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7665" yWindow="-15" windowWidth="7650" windowHeight="8730" tabRatio="947"/>
  </bookViews>
  <sheets>
    <sheet name="toelichting" sheetId="13" r:id="rId1"/>
    <sheet name="rooster" sheetId="4" r:id="rId2"/>
    <sheet name="wtf op en inzet (1)" sheetId="7" r:id="rId3"/>
    <sheet name="WTF OBP" sheetId="5" state="hidden" r:id="rId4"/>
    <sheet name="wtf op en inzet (2)" sheetId="17" r:id="rId5"/>
    <sheet name="wtf obp en inzet" sheetId="8" r:id="rId6"/>
    <sheet name="wtf dir en inzet" sheetId="10" r:id="rId7"/>
    <sheet name="wtf vrijgesteld pers" sheetId="14" r:id="rId8"/>
    <sheet name="kort-tijdelijk" sheetId="1" state="hidden" r:id="rId9"/>
    <sheet name="OBP" sheetId="2" state="hidden" r:id="rId10"/>
    <sheet name="tab" sheetId="9" r:id="rId11"/>
    <sheet name="Tabellen" sheetId="6" state="hidden" r:id="rId12"/>
  </sheets>
  <definedNames>
    <definedName name="_xlnm._FilterDatabase" localSheetId="8" hidden="1">'kort-tijdelijk'!#REF!</definedName>
    <definedName name="_ftn1" localSheetId="0">toelichting!$C$56</definedName>
    <definedName name="_ftnref1" localSheetId="0">toelichting!$C$42</definedName>
    <definedName name="_xlnm.Print_Area" localSheetId="8">'kort-tijdelijk'!$B$2:$L$110</definedName>
    <definedName name="_xlnm.Print_Area" localSheetId="9">OBP!$A$1:$K$58</definedName>
    <definedName name="_xlnm.Print_Area" localSheetId="1">rooster!$B$2:$K$163</definedName>
    <definedName name="_xlnm.Print_Area" localSheetId="10">tab!$B$2:$G$45</definedName>
    <definedName name="_xlnm.Print_Area" localSheetId="0">toelichting!$B$2:$N$325</definedName>
    <definedName name="_xlnm.Print_Area" localSheetId="6">'wtf dir en inzet'!$B$2:$N$261</definedName>
    <definedName name="_xlnm.Print_Area" localSheetId="5">'wtf obp en inzet'!$B$2:$N$159</definedName>
    <definedName name="_xlnm.Print_Area" localSheetId="2">'wtf op en inzet (1)'!$B$2:$N$196</definedName>
    <definedName name="_xlnm.Print_Area" localSheetId="4">'wtf op en inzet (2)'!$B$2:$N$196</definedName>
    <definedName name="_xlnm.Print_Area" localSheetId="7">'wtf vrijgesteld pers'!$B$2:$N$256</definedName>
    <definedName name="bapo" localSheetId="6">'wtf dir en inzet'!$T$78:$U$80</definedName>
    <definedName name="bapo">'wtf obp en inzet'!$Q$89:$R$91</definedName>
    <definedName name="groepen">rooster!$G$155:$H$157</definedName>
    <definedName name="leeftijdsuren">tab!$C$67:$D$76</definedName>
    <definedName name="maanden">tab!$B$52:$D$63</definedName>
    <definedName name="maxregel">'kort-tijdelijk'!$T$14:$U$49</definedName>
    <definedName name="maxregelOOP">'wtf obp en inzet'!$AE$71:$AF$84</definedName>
    <definedName name="salarisOOP">tab!$B$29:$T$42</definedName>
    <definedName name="salaristabel">tab!$B$4:$V$49</definedName>
    <definedName name="vakverlofOOP" localSheetId="6">'wtf dir en inzet'!$Q$46:$Q$49</definedName>
    <definedName name="vakverlofOOP">'wtf obp en inzet'!$T$49:$U$52</definedName>
  </definedNames>
  <calcPr calcId="125725"/>
</workbook>
</file>

<file path=xl/calcChain.xml><?xml version="1.0" encoding="utf-8"?>
<calcChain xmlns="http://schemas.openxmlformats.org/spreadsheetml/2006/main">
  <c r="C8" i="2"/>
  <c r="C8" i="5"/>
  <c r="W43" i="9"/>
  <c r="W44"/>
  <c r="F8" i="7" l="1"/>
  <c r="F8" i="17" s="1"/>
  <c r="F15" l="1"/>
  <c r="H86" i="14"/>
  <c r="H87"/>
  <c r="AB47" s="1"/>
  <c r="H90" i="10"/>
  <c r="H91" s="1"/>
  <c r="V65" i="8"/>
  <c r="W65" s="1"/>
  <c r="F17"/>
  <c r="T66" s="1"/>
  <c r="U80"/>
  <c r="X80" s="1"/>
  <c r="U81" s="1"/>
  <c r="H68"/>
  <c r="H70"/>
  <c r="K96" i="14"/>
  <c r="H84" i="7"/>
  <c r="H85" s="1"/>
  <c r="K96" s="1"/>
  <c r="Q11" i="4"/>
  <c r="Q13"/>
  <c r="S72" i="17"/>
  <c r="T72" s="1"/>
  <c r="F20"/>
  <c r="F24"/>
  <c r="G24"/>
  <c r="H24" s="1"/>
  <c r="F25"/>
  <c r="G25"/>
  <c r="H25" s="1"/>
  <c r="F26"/>
  <c r="G26"/>
  <c r="H26"/>
  <c r="F27"/>
  <c r="G27"/>
  <c r="H27" s="1"/>
  <c r="F28"/>
  <c r="G28"/>
  <c r="H28" s="1"/>
  <c r="H35"/>
  <c r="H36"/>
  <c r="H37"/>
  <c r="H38"/>
  <c r="H39"/>
  <c r="H40"/>
  <c r="H41" s="1"/>
  <c r="H43" s="1"/>
  <c r="H46" s="1"/>
  <c r="F61"/>
  <c r="F63"/>
  <c r="F64"/>
  <c r="F65"/>
  <c r="F66"/>
  <c r="F68"/>
  <c r="H112"/>
  <c r="H117" s="1"/>
  <c r="H118" s="1"/>
  <c r="H113"/>
  <c r="H114"/>
  <c r="H115"/>
  <c r="H116"/>
  <c r="H126"/>
  <c r="H127"/>
  <c r="H128"/>
  <c r="H129"/>
  <c r="H130"/>
  <c r="H131"/>
  <c r="H132" s="1"/>
  <c r="H96"/>
  <c r="K117"/>
  <c r="L117"/>
  <c r="K131"/>
  <c r="L131"/>
  <c r="W79"/>
  <c r="W80" s="1"/>
  <c r="W81"/>
  <c r="H84"/>
  <c r="J74" s="1"/>
  <c r="V84"/>
  <c r="V83" s="1"/>
  <c r="H85"/>
  <c r="K96" s="1"/>
  <c r="V85"/>
  <c r="F88"/>
  <c r="T94"/>
  <c r="U94" s="1"/>
  <c r="F90"/>
  <c r="V97"/>
  <c r="Y98" s="1"/>
  <c r="W97"/>
  <c r="Y97"/>
  <c r="V98" s="1"/>
  <c r="Z97"/>
  <c r="H98"/>
  <c r="W98"/>
  <c r="Z98"/>
  <c r="U101"/>
  <c r="U102" s="1"/>
  <c r="H140"/>
  <c r="H145" s="1"/>
  <c r="H146" s="1"/>
  <c r="H141"/>
  <c r="H142"/>
  <c r="H143"/>
  <c r="H144"/>
  <c r="K145"/>
  <c r="L145" s="1"/>
  <c r="L165" s="1"/>
  <c r="H154"/>
  <c r="H155"/>
  <c r="H156"/>
  <c r="H157"/>
  <c r="H158"/>
  <c r="H159"/>
  <c r="H160" s="1"/>
  <c r="K159"/>
  <c r="L159"/>
  <c r="H192"/>
  <c r="W30" i="9"/>
  <c r="AF72" i="8" s="1"/>
  <c r="W29" i="9"/>
  <c r="AF71" i="8" s="1"/>
  <c r="C47" i="9"/>
  <c r="C48"/>
  <c r="F14" i="14"/>
  <c r="T14" s="1"/>
  <c r="F15" i="10"/>
  <c r="T14" s="1"/>
  <c r="V47"/>
  <c r="V49"/>
  <c r="U47"/>
  <c r="U48"/>
  <c r="U49"/>
  <c r="U51"/>
  <c r="U50" s="1"/>
  <c r="V51"/>
  <c r="T51"/>
  <c r="AB50" i="8"/>
  <c r="AB52"/>
  <c r="AC50"/>
  <c r="AC52"/>
  <c r="U65"/>
  <c r="W79" i="7"/>
  <c r="W80" s="1"/>
  <c r="W82"/>
  <c r="W84" s="1"/>
  <c r="V84"/>
  <c r="H59" i="8"/>
  <c r="U66"/>
  <c r="Q16"/>
  <c r="R16" s="1"/>
  <c r="J38" i="9"/>
  <c r="F66" i="7"/>
  <c r="F68"/>
  <c r="S72"/>
  <c r="T72" s="1"/>
  <c r="T94"/>
  <c r="F24"/>
  <c r="F25"/>
  <c r="F26"/>
  <c r="F27"/>
  <c r="F28"/>
  <c r="H28" s="1"/>
  <c r="G28"/>
  <c r="H61" i="8"/>
  <c r="S23" i="4"/>
  <c r="Q9"/>
  <c r="Q10"/>
  <c r="Q12"/>
  <c r="I49" i="9"/>
  <c r="H49"/>
  <c r="G49"/>
  <c r="F49"/>
  <c r="E49"/>
  <c r="D49"/>
  <c r="J48"/>
  <c r="I48"/>
  <c r="H48"/>
  <c r="G48"/>
  <c r="F48"/>
  <c r="E48"/>
  <c r="D48"/>
  <c r="I47"/>
  <c r="H47"/>
  <c r="G47"/>
  <c r="F47"/>
  <c r="E47"/>
  <c r="D47"/>
  <c r="C25"/>
  <c r="C46"/>
  <c r="C24"/>
  <c r="C45"/>
  <c r="W45" s="1"/>
  <c r="U45" i="1" s="1"/>
  <c r="M42" i="9"/>
  <c r="L42"/>
  <c r="K42"/>
  <c r="J42"/>
  <c r="I42"/>
  <c r="H42"/>
  <c r="G42"/>
  <c r="F42"/>
  <c r="E42"/>
  <c r="D42"/>
  <c r="C42"/>
  <c r="O41"/>
  <c r="N41"/>
  <c r="M41"/>
  <c r="L41"/>
  <c r="K41"/>
  <c r="J41"/>
  <c r="I41"/>
  <c r="H41"/>
  <c r="G41"/>
  <c r="F41"/>
  <c r="E41"/>
  <c r="D41"/>
  <c r="C41"/>
  <c r="W41" s="1"/>
  <c r="R40"/>
  <c r="Q40"/>
  <c r="P40"/>
  <c r="O40"/>
  <c r="N40"/>
  <c r="M40"/>
  <c r="L40"/>
  <c r="K40"/>
  <c r="J40"/>
  <c r="I40"/>
  <c r="H40"/>
  <c r="G40"/>
  <c r="F40"/>
  <c r="E40"/>
  <c r="D40"/>
  <c r="C40"/>
  <c r="T39"/>
  <c r="S39"/>
  <c r="R39"/>
  <c r="Q39"/>
  <c r="P39"/>
  <c r="O39"/>
  <c r="N39"/>
  <c r="M39"/>
  <c r="L39"/>
  <c r="K39"/>
  <c r="J39"/>
  <c r="I39"/>
  <c r="H39"/>
  <c r="G39"/>
  <c r="F39"/>
  <c r="E39"/>
  <c r="D39"/>
  <c r="C39"/>
  <c r="W39" s="1"/>
  <c r="O38"/>
  <c r="N38"/>
  <c r="M38"/>
  <c r="L38"/>
  <c r="K38"/>
  <c r="I38"/>
  <c r="H38"/>
  <c r="G38"/>
  <c r="F38"/>
  <c r="E38"/>
  <c r="D38"/>
  <c r="C38"/>
  <c r="L37"/>
  <c r="K37"/>
  <c r="J37"/>
  <c r="I37"/>
  <c r="H37"/>
  <c r="G37"/>
  <c r="F37"/>
  <c r="E37"/>
  <c r="D37"/>
  <c r="C37"/>
  <c r="W37" s="1"/>
  <c r="Q28"/>
  <c r="P28"/>
  <c r="O28"/>
  <c r="N28"/>
  <c r="M28"/>
  <c r="L28"/>
  <c r="K28"/>
  <c r="J28"/>
  <c r="I28"/>
  <c r="H28"/>
  <c r="G28"/>
  <c r="F28"/>
  <c r="E28"/>
  <c r="D28"/>
  <c r="W28" s="1"/>
  <c r="U30" i="1" s="1"/>
  <c r="C28" i="9"/>
  <c r="Q27"/>
  <c r="P27"/>
  <c r="O27"/>
  <c r="N27"/>
  <c r="M27"/>
  <c r="L27"/>
  <c r="K27"/>
  <c r="J27"/>
  <c r="I27"/>
  <c r="H27"/>
  <c r="G27"/>
  <c r="F27"/>
  <c r="E27"/>
  <c r="D27"/>
  <c r="C27"/>
  <c r="Q26"/>
  <c r="P26"/>
  <c r="O26"/>
  <c r="N26"/>
  <c r="M26"/>
  <c r="L26"/>
  <c r="K26"/>
  <c r="J26"/>
  <c r="I26"/>
  <c r="H26"/>
  <c r="G26"/>
  <c r="F26"/>
  <c r="E26"/>
  <c r="D26"/>
  <c r="W26" s="1"/>
  <c r="U28" i="1" s="1"/>
  <c r="C26" i="9"/>
  <c r="Q25"/>
  <c r="P25"/>
  <c r="O25"/>
  <c r="N25"/>
  <c r="M25"/>
  <c r="L25"/>
  <c r="K25"/>
  <c r="J25"/>
  <c r="I25"/>
  <c r="H25"/>
  <c r="G25"/>
  <c r="F25"/>
  <c r="E25"/>
  <c r="D25"/>
  <c r="Q24"/>
  <c r="P24"/>
  <c r="O24"/>
  <c r="N24"/>
  <c r="M24"/>
  <c r="L24"/>
  <c r="K24"/>
  <c r="J24"/>
  <c r="I24"/>
  <c r="H24"/>
  <c r="G24"/>
  <c r="F24"/>
  <c r="E24"/>
  <c r="W24" s="1"/>
  <c r="U26" i="1" s="1"/>
  <c r="D24" i="9"/>
  <c r="U23"/>
  <c r="T23"/>
  <c r="S23"/>
  <c r="R23"/>
  <c r="Q23"/>
  <c r="P23"/>
  <c r="O23"/>
  <c r="N23"/>
  <c r="M23"/>
  <c r="L23"/>
  <c r="K23"/>
  <c r="J23"/>
  <c r="I23"/>
  <c r="H23"/>
  <c r="G23"/>
  <c r="F23"/>
  <c r="E23"/>
  <c r="D23"/>
  <c r="C23"/>
  <c r="V22"/>
  <c r="U22"/>
  <c r="T22"/>
  <c r="S22"/>
  <c r="R22"/>
  <c r="Q22"/>
  <c r="P22"/>
  <c r="O22"/>
  <c r="N22"/>
  <c r="M22"/>
  <c r="L22"/>
  <c r="K22"/>
  <c r="J22"/>
  <c r="I22"/>
  <c r="H22"/>
  <c r="G22"/>
  <c r="F22"/>
  <c r="E22"/>
  <c r="D22"/>
  <c r="C22"/>
  <c r="W22" s="1"/>
  <c r="U24" i="1" s="1"/>
  <c r="T21" i="9"/>
  <c r="S21"/>
  <c r="R21"/>
  <c r="Q21"/>
  <c r="P21"/>
  <c r="O21"/>
  <c r="N21"/>
  <c r="M21"/>
  <c r="L21"/>
  <c r="K21"/>
  <c r="J21"/>
  <c r="I21"/>
  <c r="H21"/>
  <c r="G21"/>
  <c r="F21"/>
  <c r="E21"/>
  <c r="D21"/>
  <c r="C21"/>
  <c r="N20"/>
  <c r="M20"/>
  <c r="L20"/>
  <c r="K20"/>
  <c r="J20"/>
  <c r="I20"/>
  <c r="H20"/>
  <c r="G20"/>
  <c r="F20"/>
  <c r="E20"/>
  <c r="D20"/>
  <c r="W20" s="1"/>
  <c r="U22" i="1" s="1"/>
  <c r="C20" i="9"/>
  <c r="M19"/>
  <c r="L19"/>
  <c r="K19"/>
  <c r="J19"/>
  <c r="I19"/>
  <c r="H19"/>
  <c r="G19"/>
  <c r="F19"/>
  <c r="E19"/>
  <c r="D19"/>
  <c r="C19"/>
  <c r="T18"/>
  <c r="S18"/>
  <c r="R18"/>
  <c r="Q18"/>
  <c r="P18"/>
  <c r="O18"/>
  <c r="N18"/>
  <c r="M18"/>
  <c r="L18"/>
  <c r="K18"/>
  <c r="J18"/>
  <c r="I18"/>
  <c r="H18"/>
  <c r="G18"/>
  <c r="F18"/>
  <c r="E18"/>
  <c r="D18"/>
  <c r="C18"/>
  <c r="W18" s="1"/>
  <c r="U20" i="1" s="1"/>
  <c r="T17" i="9"/>
  <c r="S17"/>
  <c r="R17"/>
  <c r="Q17"/>
  <c r="P17"/>
  <c r="O17"/>
  <c r="N17"/>
  <c r="M17"/>
  <c r="L17"/>
  <c r="K17"/>
  <c r="J17"/>
  <c r="I17"/>
  <c r="H17"/>
  <c r="G17"/>
  <c r="F17"/>
  <c r="E17"/>
  <c r="D17"/>
  <c r="C17"/>
  <c r="H100" i="1"/>
  <c r="R55"/>
  <c r="H101" s="1"/>
  <c r="H102"/>
  <c r="H108" s="1"/>
  <c r="H77"/>
  <c r="H78"/>
  <c r="H84" s="1"/>
  <c r="H54"/>
  <c r="H55"/>
  <c r="H56" s="1"/>
  <c r="H34"/>
  <c r="H35" s="1"/>
  <c r="H36"/>
  <c r="H42" s="1"/>
  <c r="T9"/>
  <c r="T10"/>
  <c r="T11" s="1"/>
  <c r="J11" s="1"/>
  <c r="J12" s="1"/>
  <c r="H18" s="1"/>
  <c r="J17"/>
  <c r="R80"/>
  <c r="R79"/>
  <c r="H62"/>
  <c r="D49" i="2"/>
  <c r="I39" s="1"/>
  <c r="I49"/>
  <c r="D48"/>
  <c r="I38"/>
  <c r="I48" s="1"/>
  <c r="D47"/>
  <c r="I37" s="1"/>
  <c r="I47"/>
  <c r="D46"/>
  <c r="I36"/>
  <c r="I46" s="1"/>
  <c r="D45"/>
  <c r="I35" s="1"/>
  <c r="I45"/>
  <c r="I50" s="1"/>
  <c r="I51" s="1"/>
  <c r="E53" s="1"/>
  <c r="E54"/>
  <c r="D40"/>
  <c r="D41" s="1"/>
  <c r="D50"/>
  <c r="D51" s="1"/>
  <c r="I40"/>
  <c r="I41" s="1"/>
  <c r="F9"/>
  <c r="G9" s="1"/>
  <c r="G6" s="1"/>
  <c r="K5"/>
  <c r="H23"/>
  <c r="H22"/>
  <c r="H21"/>
  <c r="H20"/>
  <c r="H17"/>
  <c r="H16"/>
  <c r="H15"/>
  <c r="H14"/>
  <c r="F27"/>
  <c r="I153" i="4"/>
  <c r="I154"/>
  <c r="I155"/>
  <c r="I156"/>
  <c r="I157"/>
  <c r="I136"/>
  <c r="I137"/>
  <c r="I138"/>
  <c r="I139"/>
  <c r="I140"/>
  <c r="I141"/>
  <c r="G56"/>
  <c r="G67"/>
  <c r="G78" s="1"/>
  <c r="G89"/>
  <c r="G100" s="1"/>
  <c r="G111" s="1"/>
  <c r="G122" s="1"/>
  <c r="G133"/>
  <c r="I125"/>
  <c r="I126"/>
  <c r="I127"/>
  <c r="I128"/>
  <c r="I129"/>
  <c r="I114"/>
  <c r="I115"/>
  <c r="I116"/>
  <c r="I117"/>
  <c r="I118"/>
  <c r="I119"/>
  <c r="I120" s="1"/>
  <c r="I103"/>
  <c r="I104"/>
  <c r="I105"/>
  <c r="I106"/>
  <c r="I107"/>
  <c r="I92"/>
  <c r="I93"/>
  <c r="I94"/>
  <c r="I95"/>
  <c r="I96"/>
  <c r="I97"/>
  <c r="I98" s="1"/>
  <c r="I81"/>
  <c r="I82"/>
  <c r="I83"/>
  <c r="I84"/>
  <c r="I85"/>
  <c r="I70"/>
  <c r="I71"/>
  <c r="I72"/>
  <c r="I73"/>
  <c r="I74"/>
  <c r="I75"/>
  <c r="I76" s="1"/>
  <c r="I59"/>
  <c r="I60"/>
  <c r="I61"/>
  <c r="I62"/>
  <c r="I63"/>
  <c r="I48"/>
  <c r="I49"/>
  <c r="I50"/>
  <c r="I51"/>
  <c r="I52"/>
  <c r="I53"/>
  <c r="I54" s="1"/>
  <c r="I33"/>
  <c r="I34"/>
  <c r="I35"/>
  <c r="I36"/>
  <c r="I37"/>
  <c r="I19"/>
  <c r="I20"/>
  <c r="I21"/>
  <c r="I22"/>
  <c r="I18"/>
  <c r="I23"/>
  <c r="I24" s="1"/>
  <c r="W5" i="9"/>
  <c r="W6"/>
  <c r="W7"/>
  <c r="W8"/>
  <c r="W9"/>
  <c r="W10"/>
  <c r="W11"/>
  <c r="W12"/>
  <c r="U14" i="1" s="1"/>
  <c r="W13" i="9"/>
  <c r="U15" i="1" s="1"/>
  <c r="W14" i="9"/>
  <c r="U16" i="1" s="1"/>
  <c r="W15" i="9"/>
  <c r="U17" i="1" s="1"/>
  <c r="W16" i="9"/>
  <c r="U18" i="1" s="1"/>
  <c r="W17" i="9"/>
  <c r="U19" i="1" s="1"/>
  <c r="W19" i="9"/>
  <c r="U21" i="1" s="1"/>
  <c r="W21" i="9"/>
  <c r="U23" i="1" s="1"/>
  <c r="W23" i="9"/>
  <c r="U25" i="1" s="1"/>
  <c r="W25" i="9"/>
  <c r="U27" i="1" s="1"/>
  <c r="W27" i="9"/>
  <c r="U29" i="1" s="1"/>
  <c r="W32" i="9"/>
  <c r="AF74" i="8" s="1"/>
  <c r="W33" i="9"/>
  <c r="W34"/>
  <c r="W35"/>
  <c r="W36"/>
  <c r="AF78" i="8" s="1"/>
  <c r="W38" i="9"/>
  <c r="W40"/>
  <c r="U42" i="1" s="1"/>
  <c r="W42" i="9"/>
  <c r="W46"/>
  <c r="U46" i="1" s="1"/>
  <c r="W4" i="9"/>
  <c r="D64"/>
  <c r="C64"/>
  <c r="E8" i="6"/>
  <c r="E7"/>
  <c r="E6"/>
  <c r="F8" i="10"/>
  <c r="V73"/>
  <c r="X73"/>
  <c r="V74" s="1"/>
  <c r="U73"/>
  <c r="V13"/>
  <c r="H95"/>
  <c r="H93"/>
  <c r="R10"/>
  <c r="T10" s="1"/>
  <c r="F14"/>
  <c r="H105"/>
  <c r="T52"/>
  <c r="H120"/>
  <c r="H121"/>
  <c r="H122"/>
  <c r="H123"/>
  <c r="H124"/>
  <c r="H125"/>
  <c r="H126" s="1"/>
  <c r="H134"/>
  <c r="H135"/>
  <c r="H136"/>
  <c r="H137"/>
  <c r="H138"/>
  <c r="H148"/>
  <c r="H149"/>
  <c r="H150"/>
  <c r="H151"/>
  <c r="H152"/>
  <c r="H153"/>
  <c r="H154" s="1"/>
  <c r="H162"/>
  <c r="H163"/>
  <c r="H164"/>
  <c r="H165"/>
  <c r="H166"/>
  <c r="K187"/>
  <c r="L187"/>
  <c r="K200"/>
  <c r="L200"/>
  <c r="K213"/>
  <c r="L213"/>
  <c r="K226"/>
  <c r="L226"/>
  <c r="H63"/>
  <c r="H68" s="1"/>
  <c r="H40"/>
  <c r="H41"/>
  <c r="H42"/>
  <c r="H43"/>
  <c r="H44"/>
  <c r="F22"/>
  <c r="H187"/>
  <c r="H188"/>
  <c r="H200"/>
  <c r="H201"/>
  <c r="H213"/>
  <c r="H214"/>
  <c r="H226"/>
  <c r="H227"/>
  <c r="H253"/>
  <c r="H254"/>
  <c r="H84" s="1"/>
  <c r="F26"/>
  <c r="F68"/>
  <c r="H83"/>
  <c r="H257"/>
  <c r="G30"/>
  <c r="F30"/>
  <c r="H30" s="1"/>
  <c r="G29"/>
  <c r="F29"/>
  <c r="H29" s="1"/>
  <c r="G28"/>
  <c r="F28"/>
  <c r="H28" s="1"/>
  <c r="G27"/>
  <c r="F27"/>
  <c r="H27" s="1"/>
  <c r="G26"/>
  <c r="H26"/>
  <c r="X13"/>
  <c r="T50"/>
  <c r="H107"/>
  <c r="H106" s="1"/>
  <c r="X74"/>
  <c r="D40" i="5"/>
  <c r="D41"/>
  <c r="D45"/>
  <c r="D46"/>
  <c r="I36" s="1"/>
  <c r="D47"/>
  <c r="D48"/>
  <c r="I38" s="1"/>
  <c r="D49"/>
  <c r="D50"/>
  <c r="D51" s="1"/>
  <c r="I35"/>
  <c r="I37"/>
  <c r="I47" s="1"/>
  <c r="I39"/>
  <c r="I49" s="1"/>
  <c r="I46"/>
  <c r="I48"/>
  <c r="E54"/>
  <c r="K5" s="1"/>
  <c r="F9"/>
  <c r="G9"/>
  <c r="G6" s="1"/>
  <c r="E56" s="1"/>
  <c r="C30"/>
  <c r="F27"/>
  <c r="H23"/>
  <c r="H22"/>
  <c r="H21"/>
  <c r="H20"/>
  <c r="H17"/>
  <c r="H16"/>
  <c r="H15"/>
  <c r="H14"/>
  <c r="F8" i="8"/>
  <c r="T80"/>
  <c r="W80" s="1"/>
  <c r="T81" s="1"/>
  <c r="S80"/>
  <c r="V80" s="1"/>
  <c r="S81" s="1"/>
  <c r="W50"/>
  <c r="H64" s="1"/>
  <c r="AC56"/>
  <c r="AB56"/>
  <c r="AA54"/>
  <c r="K98"/>
  <c r="L98" s="1"/>
  <c r="K112"/>
  <c r="L112" s="1"/>
  <c r="K126"/>
  <c r="L126" s="1"/>
  <c r="K140"/>
  <c r="L140" s="1"/>
  <c r="L146"/>
  <c r="H98"/>
  <c r="H99" s="1"/>
  <c r="H112"/>
  <c r="H113" s="1"/>
  <c r="H145" s="1"/>
  <c r="H126"/>
  <c r="H127" s="1"/>
  <c r="H140"/>
  <c r="H141" s="1"/>
  <c r="H24"/>
  <c r="X81"/>
  <c r="AA55"/>
  <c r="AA53"/>
  <c r="V81"/>
  <c r="H32"/>
  <c r="H39"/>
  <c r="F61" i="7"/>
  <c r="T93"/>
  <c r="U93" s="1"/>
  <c r="J77"/>
  <c r="H96"/>
  <c r="W81" s="1"/>
  <c r="V85"/>
  <c r="Y79"/>
  <c r="K74"/>
  <c r="K131"/>
  <c r="L131"/>
  <c r="K145"/>
  <c r="L145"/>
  <c r="K117"/>
  <c r="L117"/>
  <c r="K159"/>
  <c r="L159"/>
  <c r="W85"/>
  <c r="J78"/>
  <c r="J76"/>
  <c r="J74"/>
  <c r="H192"/>
  <c r="H112"/>
  <c r="H113"/>
  <c r="H114"/>
  <c r="H115"/>
  <c r="H116"/>
  <c r="H117"/>
  <c r="H118" s="1"/>
  <c r="H126"/>
  <c r="H127"/>
  <c r="H128"/>
  <c r="H129"/>
  <c r="H130"/>
  <c r="H140"/>
  <c r="H141"/>
  <c r="H142"/>
  <c r="H143"/>
  <c r="H144"/>
  <c r="H145"/>
  <c r="H146" s="1"/>
  <c r="H154"/>
  <c r="H155"/>
  <c r="H156"/>
  <c r="H157"/>
  <c r="H158"/>
  <c r="H100"/>
  <c r="H189"/>
  <c r="H86"/>
  <c r="U101"/>
  <c r="U102"/>
  <c r="H77"/>
  <c r="U94"/>
  <c r="V83"/>
  <c r="H98"/>
  <c r="F20"/>
  <c r="H35"/>
  <c r="H36"/>
  <c r="H37"/>
  <c r="H38"/>
  <c r="H39"/>
  <c r="H40"/>
  <c r="H41" s="1"/>
  <c r="H43" s="1"/>
  <c r="H46" s="1"/>
  <c r="F65"/>
  <c r="F64"/>
  <c r="F63"/>
  <c r="H102"/>
  <c r="H101" s="1"/>
  <c r="G27"/>
  <c r="G26"/>
  <c r="G25"/>
  <c r="G24"/>
  <c r="H25"/>
  <c r="H27"/>
  <c r="F7" i="14"/>
  <c r="V73"/>
  <c r="X73"/>
  <c r="V74" s="1"/>
  <c r="U73"/>
  <c r="W73"/>
  <c r="U74"/>
  <c r="Z47"/>
  <c r="Z49" s="1"/>
  <c r="H101" s="1"/>
  <c r="H116"/>
  <c r="H117"/>
  <c r="H118"/>
  <c r="H119"/>
  <c r="H120"/>
  <c r="H130"/>
  <c r="H131"/>
  <c r="H132"/>
  <c r="H133"/>
  <c r="H134"/>
  <c r="H135"/>
  <c r="H136" s="1"/>
  <c r="H144"/>
  <c r="H145"/>
  <c r="H146"/>
  <c r="H147"/>
  <c r="H148"/>
  <c r="H158"/>
  <c r="H159"/>
  <c r="H160"/>
  <c r="H161"/>
  <c r="H162"/>
  <c r="H163"/>
  <c r="H164" s="1"/>
  <c r="H183"/>
  <c r="H184" s="1"/>
  <c r="H196"/>
  <c r="H197" s="1"/>
  <c r="H209"/>
  <c r="H210" s="1"/>
  <c r="H222"/>
  <c r="H223" s="1"/>
  <c r="H227"/>
  <c r="H248"/>
  <c r="H252"/>
  <c r="K183"/>
  <c r="L183"/>
  <c r="K196"/>
  <c r="L196"/>
  <c r="K209"/>
  <c r="L209"/>
  <c r="K222"/>
  <c r="L222"/>
  <c r="V13"/>
  <c r="X13" s="1"/>
  <c r="H89"/>
  <c r="H91"/>
  <c r="H79"/>
  <c r="X74"/>
  <c r="W74"/>
  <c r="H61"/>
  <c r="H39"/>
  <c r="H40"/>
  <c r="H41"/>
  <c r="H42"/>
  <c r="H43"/>
  <c r="F21"/>
  <c r="X52"/>
  <c r="Y52" s="1"/>
  <c r="X51"/>
  <c r="X50" s="1"/>
  <c r="Y49"/>
  <c r="Y48"/>
  <c r="Y47"/>
  <c r="T47"/>
  <c r="R32"/>
  <c r="F25"/>
  <c r="G25"/>
  <c r="H25" s="1"/>
  <c r="F26"/>
  <c r="G26"/>
  <c r="F27"/>
  <c r="H27" s="1"/>
  <c r="G27"/>
  <c r="F28"/>
  <c r="G28"/>
  <c r="H28" s="1"/>
  <c r="F29"/>
  <c r="G29"/>
  <c r="H29" s="1"/>
  <c r="R10"/>
  <c r="T10" s="1"/>
  <c r="F13" s="1"/>
  <c r="U14" l="1"/>
  <c r="T15"/>
  <c r="F92" s="1"/>
  <c r="H92" s="1"/>
  <c r="V14"/>
  <c r="X14" s="1"/>
  <c r="V14" i="10"/>
  <c r="X14" s="1"/>
  <c r="U14"/>
  <c r="Z99" i="17"/>
  <c r="W99" s="1"/>
  <c r="F91"/>
  <c r="H91" s="1"/>
  <c r="H26" i="14"/>
  <c r="F89" i="17"/>
  <c r="H89" s="1"/>
  <c r="F97" s="1"/>
  <c r="H97" s="1"/>
  <c r="W81" i="8"/>
  <c r="Y99" i="17"/>
  <c r="V99" s="1"/>
  <c r="T93"/>
  <c r="U93" s="1"/>
  <c r="U38" i="1"/>
  <c r="AF82" i="8"/>
  <c r="W47" i="9"/>
  <c r="U47" i="1" s="1"/>
  <c r="U31"/>
  <c r="U32"/>
  <c r="H80" i="14"/>
  <c r="H249"/>
  <c r="H102"/>
  <c r="H103"/>
  <c r="H50" i="8"/>
  <c r="H30" i="14"/>
  <c r="H31" s="1"/>
  <c r="H44"/>
  <c r="L227"/>
  <c r="H247"/>
  <c r="H78"/>
  <c r="H149"/>
  <c r="H150" s="1"/>
  <c r="H121"/>
  <c r="H122" s="1"/>
  <c r="X75"/>
  <c r="V75" s="1"/>
  <c r="V15"/>
  <c r="X15" s="1"/>
  <c r="U15"/>
  <c r="H159" i="7"/>
  <c r="H160" s="1"/>
  <c r="H131"/>
  <c r="H132" s="1"/>
  <c r="H164" s="1"/>
  <c r="H146" i="8"/>
  <c r="H51" s="1"/>
  <c r="T71"/>
  <c r="I40" i="5"/>
  <c r="I41" s="1"/>
  <c r="I45"/>
  <c r="I50" s="1"/>
  <c r="I51" s="1"/>
  <c r="H31" i="10"/>
  <c r="H32" s="1"/>
  <c r="H45"/>
  <c r="H46" s="1"/>
  <c r="H48" s="1"/>
  <c r="H69" s="1"/>
  <c r="H70" s="1"/>
  <c r="L231"/>
  <c r="AF84" i="8"/>
  <c r="U44" i="1"/>
  <c r="AF80" i="8"/>
  <c r="U40" i="1"/>
  <c r="I158" i="4"/>
  <c r="I159" s="1"/>
  <c r="H65" i="14"/>
  <c r="F65"/>
  <c r="F90"/>
  <c r="H90" s="1"/>
  <c r="W75"/>
  <c r="U75" s="1"/>
  <c r="H165" i="7"/>
  <c r="L165"/>
  <c r="H65" i="8"/>
  <c r="H231" i="10"/>
  <c r="H167"/>
  <c r="H168" s="1"/>
  <c r="H139"/>
  <c r="H140" s="1"/>
  <c r="H172" s="1"/>
  <c r="W73"/>
  <c r="U74" s="1"/>
  <c r="W74"/>
  <c r="E56" i="2"/>
  <c r="C30"/>
  <c r="E55"/>
  <c r="K4"/>
  <c r="K6" s="1"/>
  <c r="H26" i="7"/>
  <c r="H24"/>
  <c r="F14"/>
  <c r="F67"/>
  <c r="K76" i="8"/>
  <c r="AE50"/>
  <c r="H81"/>
  <c r="V97" i="7"/>
  <c r="F88"/>
  <c r="F90"/>
  <c r="F91" s="1"/>
  <c r="W97"/>
  <c r="K77"/>
  <c r="K76" s="1"/>
  <c r="AF76" i="8"/>
  <c r="U36" i="1"/>
  <c r="I38" i="4"/>
  <c r="I39" s="1"/>
  <c r="I64"/>
  <c r="I65" s="1"/>
  <c r="I86"/>
  <c r="I87" s="1"/>
  <c r="I108"/>
  <c r="I109" s="1"/>
  <c r="I130"/>
  <c r="I131" s="1"/>
  <c r="I142"/>
  <c r="AF79" i="8"/>
  <c r="U39" i="1"/>
  <c r="AF81" i="8"/>
  <c r="U41" i="1"/>
  <c r="AF83" i="8"/>
  <c r="U43" i="1"/>
  <c r="Q14" i="4"/>
  <c r="Y99" i="7"/>
  <c r="V99" s="1"/>
  <c r="F89"/>
  <c r="H89" s="1"/>
  <c r="W83"/>
  <c r="V52" i="10"/>
  <c r="V50"/>
  <c r="T15"/>
  <c r="U34" i="1"/>
  <c r="W82" i="17"/>
  <c r="W85"/>
  <c r="H164"/>
  <c r="H29"/>
  <c r="H30" s="1"/>
  <c r="W31" i="9"/>
  <c r="C49"/>
  <c r="W49" s="1"/>
  <c r="U49" i="1" s="1"/>
  <c r="AF77" i="8"/>
  <c r="U37" i="1"/>
  <c r="AF75" i="8"/>
  <c r="U35" i="1"/>
  <c r="U52" i="10"/>
  <c r="W48" i="9"/>
  <c r="U48" i="1" s="1"/>
  <c r="H165" i="17"/>
  <c r="F67"/>
  <c r="F99" s="1"/>
  <c r="F14"/>
  <c r="V66" i="8"/>
  <c r="W66" s="1"/>
  <c r="F16" s="1"/>
  <c r="T67"/>
  <c r="F69" s="1"/>
  <c r="H69" s="1"/>
  <c r="X47" i="10"/>
  <c r="K100"/>
  <c r="H86" i="17"/>
  <c r="Y79"/>
  <c r="J78"/>
  <c r="J77"/>
  <c r="H100"/>
  <c r="J76"/>
  <c r="K74"/>
  <c r="F71" i="8" l="1"/>
  <c r="H71" s="1"/>
  <c r="T73" s="1"/>
  <c r="H97" i="14"/>
  <c r="H99" s="1"/>
  <c r="J99" s="1"/>
  <c r="E57" i="2"/>
  <c r="H241" i="10"/>
  <c r="H246" s="1"/>
  <c r="H251" s="1"/>
  <c r="H166" i="7"/>
  <c r="H191" s="1"/>
  <c r="H193" s="1"/>
  <c r="H79" s="1"/>
  <c r="H175"/>
  <c r="H186" s="1"/>
  <c r="H76" s="1"/>
  <c r="H74"/>
  <c r="T74" i="8"/>
  <c r="H63"/>
  <c r="H99" i="17"/>
  <c r="I99"/>
  <c r="AF73" i="8"/>
  <c r="I14" s="1"/>
  <c r="U33" i="1"/>
  <c r="X75" i="10"/>
  <c r="V75" s="1"/>
  <c r="V15"/>
  <c r="X15" s="1"/>
  <c r="F94"/>
  <c r="H94" s="1"/>
  <c r="U15"/>
  <c r="Q16" i="4"/>
  <c r="Q20"/>
  <c r="Q21" s="1"/>
  <c r="Q23" s="1"/>
  <c r="Z97" i="7"/>
  <c r="W98" s="1"/>
  <c r="Z99"/>
  <c r="Z98"/>
  <c r="H152" i="8"/>
  <c r="H52" s="1"/>
  <c r="H82"/>
  <c r="H83"/>
  <c r="H82" i="10"/>
  <c r="H252"/>
  <c r="H75" i="7"/>
  <c r="K75" s="1"/>
  <c r="K78" s="1"/>
  <c r="H187"/>
  <c r="H53" i="8"/>
  <c r="H77" i="17"/>
  <c r="H189"/>
  <c r="H102"/>
  <c r="H101" s="1"/>
  <c r="V67" i="8"/>
  <c r="W67" s="1"/>
  <c r="U67"/>
  <c r="V82"/>
  <c r="S82" s="1"/>
  <c r="X82"/>
  <c r="U82" s="1"/>
  <c r="H75" i="17"/>
  <c r="K75" s="1"/>
  <c r="H187"/>
  <c r="H175"/>
  <c r="H186" s="1"/>
  <c r="H76" s="1"/>
  <c r="H74"/>
  <c r="H78" s="1"/>
  <c r="H166"/>
  <c r="H191" s="1"/>
  <c r="H193" s="1"/>
  <c r="H79" s="1"/>
  <c r="W84"/>
  <c r="K77"/>
  <c r="K76" s="1"/>
  <c r="W83"/>
  <c r="W75" i="10"/>
  <c r="U75" s="1"/>
  <c r="T75" i="8"/>
  <c r="H62" s="1"/>
  <c r="Y97" i="7"/>
  <c r="V98" s="1"/>
  <c r="Y98"/>
  <c r="H29"/>
  <c r="H30" s="1"/>
  <c r="F96" i="10"/>
  <c r="H96" s="1"/>
  <c r="W82" i="8"/>
  <c r="T82" s="1"/>
  <c r="E53" i="5"/>
  <c r="H168" i="14"/>
  <c r="H45"/>
  <c r="R30"/>
  <c r="H147" i="8"/>
  <c r="H154" s="1"/>
  <c r="H101" i="10" l="1"/>
  <c r="H103" s="1"/>
  <c r="J103" s="1"/>
  <c r="K78" i="17"/>
  <c r="H256" i="10"/>
  <c r="H258" s="1"/>
  <c r="H86" s="1"/>
  <c r="H81"/>
  <c r="H85" s="1"/>
  <c r="R31" i="14"/>
  <c r="H47"/>
  <c r="E55" i="5"/>
  <c r="E57" s="1"/>
  <c r="K4"/>
  <c r="K6" s="1"/>
  <c r="AC57" i="8"/>
  <c r="H66"/>
  <c r="H155" s="1"/>
  <c r="H156" s="1"/>
  <c r="H54" s="1"/>
  <c r="AB57"/>
  <c r="H78" i="7"/>
  <c r="H236" i="14"/>
  <c r="H241" s="1"/>
  <c r="H246"/>
  <c r="W99" i="7"/>
  <c r="H91" s="1"/>
  <c r="F97" s="1"/>
  <c r="T76" i="8"/>
  <c r="H77" s="1"/>
  <c r="H97" i="7" l="1"/>
  <c r="F99"/>
  <c r="H80" i="8"/>
  <c r="H79"/>
  <c r="I79" s="1"/>
  <c r="I80" s="1"/>
  <c r="H77" i="14"/>
  <c r="H81" s="1"/>
  <c r="H251"/>
  <c r="H253" s="1"/>
  <c r="H82" s="1"/>
  <c r="H66"/>
  <c r="H67" s="1"/>
  <c r="R33"/>
  <c r="I99" i="7" l="1"/>
  <c r="H99"/>
</calcChain>
</file>

<file path=xl/comments1.xml><?xml version="1.0" encoding="utf-8"?>
<comments xmlns="http://schemas.openxmlformats.org/spreadsheetml/2006/main">
  <authors>
    <author>Keizer</author>
  </authors>
  <commentList>
    <comment ref="E13" authorId="0">
      <text>
        <r>
          <rPr>
            <sz val="8"/>
            <color indexed="81"/>
            <rFont val="Tahoma"/>
            <family val="2"/>
          </rPr>
          <t xml:space="preserve">
De keuze van het aantal schoolweken is aan de school / het bestuur.</t>
        </r>
      </text>
    </comment>
    <comment ref="E28" authorId="0">
      <text>
        <r>
          <rPr>
            <sz val="8"/>
            <color indexed="81"/>
            <rFont val="Tahoma"/>
            <family val="2"/>
          </rPr>
          <t xml:space="preserve">
De keuze van het aantal schoolweken is aan de school / het bestuur.</t>
        </r>
      </text>
    </comment>
    <comment ref="E43" authorId="0">
      <text>
        <r>
          <rPr>
            <sz val="8"/>
            <color indexed="81"/>
            <rFont val="Tahoma"/>
            <family val="2"/>
          </rPr>
          <t xml:space="preserve">
De keuze van het aantal schoolweken is aan de school / het bestuur.</t>
        </r>
      </text>
    </comment>
    <comment ref="E146" authorId="0">
      <text>
        <r>
          <rPr>
            <sz val="9"/>
            <color indexed="81"/>
            <rFont val="Tahoma"/>
            <family val="2"/>
          </rPr>
          <t xml:space="preserve">
Betreft specifiek rooster van bepaalde groep die van toepassing is.</t>
        </r>
      </text>
    </comment>
  </commentList>
</comments>
</file>

<file path=xl/comments2.xml><?xml version="1.0" encoding="utf-8"?>
<comments xmlns="http://schemas.openxmlformats.org/spreadsheetml/2006/main">
  <authors>
    <author>Keizer</author>
  </authors>
  <commentList>
    <comment ref="H42" authorId="0">
      <text>
        <r>
          <rPr>
            <b/>
            <sz val="9"/>
            <color indexed="81"/>
            <rFont val="Tahoma"/>
            <family val="2"/>
          </rPr>
          <t xml:space="preserve">Aantal uren boven norm van 930 (naar rato) desgewenst te compenseren in tijd, geld (WTF), sparen of in taakbeleid.
</t>
        </r>
      </text>
    </comment>
    <comment ref="H48" authorId="0">
      <text>
        <r>
          <rPr>
            <b/>
            <sz val="9"/>
            <color indexed="81"/>
            <rFont val="Tahoma"/>
            <family val="2"/>
          </rPr>
          <t xml:space="preserve">
Het is soms verstandig de werktijdfactor iets naar boven af te ronden. Dat geeft dan wat meer flexibiliteit bij de inzet van het personeel.</t>
        </r>
      </text>
    </comment>
    <comment ref="G58" authorId="0">
      <text>
        <r>
          <rPr>
            <sz val="8"/>
            <color indexed="81"/>
            <rFont val="Tahoma"/>
            <family val="2"/>
          </rPr>
          <t xml:space="preserve">
Dit werkblad is ook van toepassing voor OBP met les- en behandeltaken. OBP-ers van 60 jaar of ouder met een fulltime aanstelling, hebben recht op verkorting van de dagelijkse werktijd met een half uur wanneer zij daarom verzoeken. Omdat daar slechts incidenteel sprake van zal zijn voor deze categorien OBP-ers, is dit buiten beschouwing gelaten. In het werkblad voor OBP-ers zonder les- en/of behandeltaken is het wel integraal verwerkt in de berekeningen.</t>
        </r>
      </text>
    </comment>
    <comment ref="D75" authorId="0">
      <text>
        <r>
          <rPr>
            <sz val="9"/>
            <color indexed="81"/>
            <rFont val="Tahoma"/>
            <family val="2"/>
          </rPr>
          <t>Omvat alle BAPO-uren:
BAPO-lesgevende uren x 340/208.</t>
        </r>
      </text>
    </comment>
    <comment ref="F96" authorId="0">
      <text>
        <r>
          <rPr>
            <sz val="9"/>
            <color indexed="81"/>
            <rFont val="Tahoma"/>
            <family val="2"/>
          </rPr>
          <t>Hier opgave van het aantal uren BAPO verlof dat op jaarbasis door betrokkene wordt opgenomen, afgerond op hele of halve uren.</t>
        </r>
      </text>
    </comment>
    <comment ref="F97" authorId="0">
      <text>
        <r>
          <rPr>
            <sz val="9"/>
            <color indexed="81"/>
            <rFont val="Tahoma"/>
            <family val="2"/>
          </rPr>
          <t xml:space="preserve">
Dit is het maximaal aantal BAPO-uren dat op jaarbasis door betrokkene wordt opgebouwd.
Als de uitkomst minder is dan 45 uren, dan wordt het nul (CAO, Bijlage XI, art. 1 lid 2).</t>
        </r>
      </text>
    </comment>
    <comment ref="F98" authorId="0">
      <text>
        <r>
          <rPr>
            <b/>
            <sz val="9"/>
            <color indexed="81"/>
            <rFont val="Tahoma"/>
            <family val="2"/>
          </rPr>
          <t xml:space="preserve">Gespaard in voorgaande jaren conform </t>
        </r>
        <r>
          <rPr>
            <b/>
            <u/>
            <sz val="9"/>
            <color indexed="81"/>
            <rFont val="Tahoma"/>
            <family val="2"/>
          </rPr>
          <t>vooraf</t>
        </r>
        <r>
          <rPr>
            <b/>
            <sz val="9"/>
            <color indexed="81"/>
            <rFont val="Tahoma"/>
            <family val="2"/>
          </rPr>
          <t xml:space="preserve"> gemaakte afspraken.</t>
        </r>
      </text>
    </comment>
    <comment ref="H100" authorId="0">
      <text>
        <r>
          <rPr>
            <sz val="9"/>
            <color indexed="81"/>
            <rFont val="Tahoma"/>
            <family val="2"/>
          </rPr>
          <t>De omvang bedraagt 10% van de normjaartaak  (naar rato WTF) minus het BAPO-verlof dat opgenomen wordt.</t>
        </r>
      </text>
    </comment>
    <comment ref="F102" authorId="0">
      <text>
        <r>
          <rPr>
            <sz val="9"/>
            <color indexed="81"/>
            <rFont val="Tahoma"/>
            <family val="2"/>
          </rPr>
          <t>Maximaal 50% voor persoonlijke scholing en ontwikkeling , in overleg tussen werkgever en werknemer.</t>
        </r>
      </text>
    </comment>
    <comment ref="H166" authorId="0">
      <text>
        <r>
          <rPr>
            <b/>
            <sz val="8"/>
            <color indexed="81"/>
            <rFont val="Tahoma"/>
            <family val="2"/>
          </rPr>
          <t xml:space="preserve">
Aantal uren boven norm van 930 (naar rato) desgewenst en in overleg te compenseren in tijd, geld, sparen of in taakbeleid.</t>
        </r>
      </text>
    </comment>
    <comment ref="F175" authorId="0">
      <text>
        <r>
          <rPr>
            <sz val="8"/>
            <color indexed="81"/>
            <rFont val="Tahoma"/>
            <family val="2"/>
          </rPr>
          <t xml:space="preserve">
Deze rekenfactor kunt u aanpassen naar de factor die van toepassing is.</t>
        </r>
      </text>
    </comment>
    <comment ref="H189" authorId="0">
      <text>
        <r>
          <rPr>
            <sz val="8"/>
            <color indexed="81"/>
            <rFont val="Tahoma"/>
            <family val="2"/>
          </rPr>
          <t>De tijd voor de deskundigheidsbevordering is gesteld op 10% van de voor betrokkene geldende normjaartaak minus BAPO.</t>
        </r>
      </text>
    </comment>
  </commentList>
</comments>
</file>

<file path=xl/comments3.xml><?xml version="1.0" encoding="utf-8"?>
<comments xmlns="http://schemas.openxmlformats.org/spreadsheetml/2006/main">
  <authors>
    <author>Keizer</author>
  </authors>
  <commentList>
    <comment ref="D3" authorId="0">
      <text>
        <r>
          <rPr>
            <sz val="8"/>
            <color indexed="81"/>
            <rFont val="Tahoma"/>
            <family val="2"/>
          </rPr>
          <t>Voor OOP dat lestaken voor een groep verricht geldt hetzelfde kader als voor OP. Voor OOP met les- of behandeltaken voor individuele leerlingen, geldt bij een fulltime aanstelling een maximale lessentaak van 823 klokuren op jaarbasis.
Voor deze categorieën dus invulling in het werkblad voor OP.
Voor overig OOP invulling in dit werkblad.</t>
        </r>
      </text>
    </comment>
    <comment ref="C29" authorId="0">
      <text>
        <r>
          <rPr>
            <sz val="8"/>
            <color indexed="81"/>
            <rFont val="Tahoma"/>
            <family val="2"/>
          </rPr>
          <t>Hier opgave van het aantal uren BAPO verlof dat op jaarbasis door betrokkene wordt opgenomen.</t>
        </r>
      </text>
    </comment>
    <comment ref="C30" authorId="0">
      <text>
        <r>
          <rPr>
            <sz val="8"/>
            <color indexed="81"/>
            <rFont val="Tahoma"/>
            <family val="2"/>
          </rPr>
          <t>Dit is het maximaal aantal BAPO-uren dat op jaarbasis door betrokkene kan worden opgenomen.</t>
        </r>
      </text>
    </comment>
  </commentList>
</comments>
</file>

<file path=xl/comments4.xml><?xml version="1.0" encoding="utf-8"?>
<comments xmlns="http://schemas.openxmlformats.org/spreadsheetml/2006/main">
  <authors>
    <author>Keizer</author>
  </authors>
  <commentList>
    <comment ref="H42" authorId="0">
      <text>
        <r>
          <rPr>
            <b/>
            <sz val="9"/>
            <color indexed="81"/>
            <rFont val="Tahoma"/>
            <family val="2"/>
          </rPr>
          <t xml:space="preserve">Aantal uren boven norm van 930 (naar rato) desgewenst te compenseren in tijd, geld (WTF), sparen of in taakbeleid.
</t>
        </r>
      </text>
    </comment>
    <comment ref="H48" authorId="0">
      <text>
        <r>
          <rPr>
            <b/>
            <sz val="9"/>
            <color indexed="81"/>
            <rFont val="Tahoma"/>
            <family val="2"/>
          </rPr>
          <t xml:space="preserve">
Het is soms verstandig de werktijdfactor iets naar boven af te ronden. Dat geeft dan wat meer flexibiliteit bij de inzet van het personeel.</t>
        </r>
      </text>
    </comment>
    <comment ref="G58" authorId="0">
      <text>
        <r>
          <rPr>
            <sz val="8"/>
            <color indexed="81"/>
            <rFont val="Tahoma"/>
            <family val="2"/>
          </rPr>
          <t xml:space="preserve">
Dit werkblad is ook van toepassing voor OBP met les- en behandeltaken. OBP-ers van 60 jaar of ouder met een fulltime aanstelling, hebben recht op verkorting van de dagelijkse werktijd met een half uur wanneer zij daarom verzoeken. Omdat daar slechts incidenteel sprake van zal zijn voor deze categorien OBP-ers, is dit buiten beschouwing gelaten. In het werkblad voor OBP-ers zonder les- en/of behandeltaken is het wel integraal verwerkt in de berekeningen.</t>
        </r>
      </text>
    </comment>
    <comment ref="D75" authorId="0">
      <text>
        <r>
          <rPr>
            <sz val="9"/>
            <color indexed="81"/>
            <rFont val="Tahoma"/>
            <family val="2"/>
          </rPr>
          <t>Omvat alle BAPO-uren:
BAPO-lesgevende uren x 340/208.</t>
        </r>
      </text>
    </comment>
    <comment ref="F96" authorId="0">
      <text>
        <r>
          <rPr>
            <sz val="9"/>
            <color indexed="81"/>
            <rFont val="Tahoma"/>
            <family val="2"/>
          </rPr>
          <t>Hier opgave van het aantal uren BAPO verlof dat op jaarbasis door betrokkene wordt opgenomen, afgerond op hele of halve uren.</t>
        </r>
      </text>
    </comment>
    <comment ref="F97" authorId="0">
      <text>
        <r>
          <rPr>
            <sz val="9"/>
            <color indexed="81"/>
            <rFont val="Tahoma"/>
            <family val="2"/>
          </rPr>
          <t xml:space="preserve">
Dit is het maximaal aantal BAPO-uren dat op jaarbasis door betrokkene wordt opgebouwd.
Als de uitkomst minder is dan 45 uren, dan wordt het nul (CAO, Bijlage XI, art. 1 lid 2).</t>
        </r>
      </text>
    </comment>
    <comment ref="F98" authorId="0">
      <text>
        <r>
          <rPr>
            <b/>
            <sz val="9"/>
            <color indexed="81"/>
            <rFont val="Tahoma"/>
            <family val="2"/>
          </rPr>
          <t xml:space="preserve">Gespaard in voorgaande jaren conform </t>
        </r>
        <r>
          <rPr>
            <b/>
            <u/>
            <sz val="9"/>
            <color indexed="81"/>
            <rFont val="Tahoma"/>
            <family val="2"/>
          </rPr>
          <t>vooraf</t>
        </r>
        <r>
          <rPr>
            <b/>
            <sz val="9"/>
            <color indexed="81"/>
            <rFont val="Tahoma"/>
            <family val="2"/>
          </rPr>
          <t xml:space="preserve"> gemaakte afspraken.</t>
        </r>
      </text>
    </comment>
    <comment ref="H100" authorId="0">
      <text>
        <r>
          <rPr>
            <sz val="9"/>
            <color indexed="81"/>
            <rFont val="Tahoma"/>
            <family val="2"/>
          </rPr>
          <t>De omvang bedraagt 10% van de normjaartaak  (naar rato WTF) minus het BAPO-verlof dat opgenomen wordt.</t>
        </r>
      </text>
    </comment>
    <comment ref="F102" authorId="0">
      <text>
        <r>
          <rPr>
            <sz val="9"/>
            <color indexed="81"/>
            <rFont val="Tahoma"/>
            <family val="2"/>
          </rPr>
          <t>Maximaal 50% voor persoonlijke scholing en ontwikkeling , in overleg tussen werkgever en werknemer.</t>
        </r>
      </text>
    </comment>
    <comment ref="H166" authorId="0">
      <text>
        <r>
          <rPr>
            <b/>
            <sz val="8"/>
            <color indexed="81"/>
            <rFont val="Tahoma"/>
            <family val="2"/>
          </rPr>
          <t xml:space="preserve">
Aantal uren boven norm van 930 (naar rato) desgewenst en in overleg te compenseren in tijd, geld, sparen of in taakbeleid.</t>
        </r>
      </text>
    </comment>
    <comment ref="F175" authorId="0">
      <text>
        <r>
          <rPr>
            <sz val="8"/>
            <color indexed="81"/>
            <rFont val="Tahoma"/>
            <family val="2"/>
          </rPr>
          <t xml:space="preserve">
Deze rekenfactor kunt u aanpassen naar de factor die van toepassing is.</t>
        </r>
      </text>
    </comment>
    <comment ref="H189" authorId="0">
      <text>
        <r>
          <rPr>
            <sz val="8"/>
            <color indexed="81"/>
            <rFont val="Tahoma"/>
            <family val="2"/>
          </rPr>
          <t>De tijd voor de deskundigheidsbevordering is gesteld op 10% van de voor betrokkene geldende normjaartaak minus BAPO.</t>
        </r>
      </text>
    </comment>
  </commentList>
</comments>
</file>

<file path=xl/comments5.xml><?xml version="1.0" encoding="utf-8"?>
<comments xmlns="http://schemas.openxmlformats.org/spreadsheetml/2006/main">
  <authors>
    <author>Keizer</author>
    <author>Bé Keizer</author>
  </authors>
  <commentList>
    <comment ref="D21" authorId="0">
      <text>
        <r>
          <rPr>
            <sz val="9"/>
            <color indexed="81"/>
            <rFont val="Tahoma"/>
            <family val="2"/>
          </rPr>
          <t>Artikel 8.5 lid 1 CAO PO in verband met vakantieverlof.</t>
        </r>
      </text>
    </comment>
    <comment ref="H41" authorId="0">
      <text>
        <r>
          <rPr>
            <b/>
            <sz val="9"/>
            <color indexed="81"/>
            <rFont val="Tahoma"/>
            <family val="2"/>
          </rPr>
          <t xml:space="preserve">
Het is soms verstandig de werktijdfactor iets naar boven af te ronden. Dat geeft dan wat meer flexibiliteit bij de inzet van het personeel.</t>
        </r>
      </text>
    </comment>
    <comment ref="D53" authorId="1">
      <text>
        <r>
          <rPr>
            <sz val="8"/>
            <color indexed="81"/>
            <rFont val="Tahoma"/>
            <family val="2"/>
          </rPr>
          <t xml:space="preserve">
Exclusief verlofuren i.v.m. leeftijd en/of inschaling. 
Zie daarvoor kolom H rij 62 t/m 65.</t>
        </r>
      </text>
    </comment>
    <comment ref="H76" authorId="0">
      <text>
        <r>
          <rPr>
            <sz val="8"/>
            <color indexed="81"/>
            <rFont val="Tahoma"/>
            <family val="2"/>
          </rPr>
          <t xml:space="preserve">
Hier opgave van het aantal uren BAPO verlof dat op jaarbasis door betrokkene wordt opgenomen, afgerond op hele of halve uren.</t>
        </r>
      </text>
    </comment>
    <comment ref="H78" authorId="0">
      <text>
        <r>
          <rPr>
            <sz val="9"/>
            <color indexed="81"/>
            <rFont val="Tahoma"/>
            <family val="2"/>
          </rPr>
          <t xml:space="preserve">
Gespaard in voorgaande jaren conform vooraf gemaakte afspraken.</t>
        </r>
      </text>
    </comment>
    <comment ref="H81" authorId="0">
      <text>
        <r>
          <rPr>
            <sz val="8"/>
            <color indexed="81"/>
            <rFont val="Tahoma"/>
            <family val="2"/>
          </rPr>
          <t xml:space="preserve">
De OOP-er zonder lesgebonden en/of behandeltaken heeft </t>
        </r>
        <r>
          <rPr>
            <u/>
            <sz val="8"/>
            <color indexed="81"/>
            <rFont val="Tahoma"/>
            <family val="2"/>
          </rPr>
          <t>geen</t>
        </r>
        <r>
          <rPr>
            <sz val="8"/>
            <color indexed="81"/>
            <rFont val="Tahoma"/>
            <family val="2"/>
          </rPr>
          <t xml:space="preserve"> recht op 10% deskundigheidsbevordering (artikel 2.1 lid 11 en artikel 2.2 lid 9 van de CAO PO 2009. </t>
        </r>
      </text>
    </comment>
    <comment ref="F83" authorId="0">
      <text>
        <r>
          <rPr>
            <sz val="9"/>
            <color indexed="81"/>
            <rFont val="Tahoma"/>
            <family val="2"/>
          </rPr>
          <t>Maximaal 50% voor persoonlijke scholing en ontwikkeling , in overleg tussen werkgever en werknemer.</t>
        </r>
      </text>
    </comment>
    <comment ref="H152" authorId="0">
      <text>
        <r>
          <rPr>
            <sz val="8"/>
            <color indexed="81"/>
            <rFont val="Tahoma"/>
            <family val="2"/>
          </rPr>
          <t xml:space="preserve">
De OOP-er zonder lesgebonden en/of behandeltaken heeft </t>
        </r>
        <r>
          <rPr>
            <u/>
            <sz val="8"/>
            <color indexed="81"/>
            <rFont val="Tahoma"/>
            <family val="2"/>
          </rPr>
          <t>geen</t>
        </r>
        <r>
          <rPr>
            <sz val="8"/>
            <color indexed="81"/>
            <rFont val="Tahoma"/>
            <family val="2"/>
          </rPr>
          <t xml:space="preserve"> recht op 10% deskundigheidsbevordering (artikel 2.1 lid 11 en artikel 2.2 lid 9 van de CAO PO 2009. </t>
        </r>
      </text>
    </comment>
  </commentList>
</comments>
</file>

<file path=xl/comments6.xml><?xml version="1.0" encoding="utf-8"?>
<comments xmlns="http://schemas.openxmlformats.org/spreadsheetml/2006/main">
  <authors>
    <author>Keizer</author>
  </authors>
  <commentList>
    <comment ref="G4" authorId="0">
      <text>
        <r>
          <rPr>
            <sz val="8"/>
            <color indexed="81"/>
            <rFont val="Tahoma"/>
            <family val="2"/>
          </rPr>
          <t>Dit werkblad is van toepassing voor directieleden met en zonder lesgevende taken</t>
        </r>
      </text>
    </comment>
    <comment ref="H47" authorId="0">
      <text>
        <r>
          <rPr>
            <b/>
            <sz val="9"/>
            <color indexed="81"/>
            <rFont val="Tahoma"/>
            <family val="2"/>
          </rPr>
          <t xml:space="preserve">Aantal uren boven norm van 930 (naar rato) desgewenst te compenseren in tijd, geld (WTF), sparen of in taakbeleid.
</t>
        </r>
      </text>
    </comment>
    <comment ref="H72" authorId="0">
      <text>
        <r>
          <rPr>
            <b/>
            <sz val="9"/>
            <color indexed="81"/>
            <rFont val="Tahoma"/>
            <family val="2"/>
          </rPr>
          <t xml:space="preserve">
Het is soms verstandig de werktijdfactor iets naar boven af te ronden. Dat geeft dan wat meer flexibiliteit bij de inzet van het personeel.</t>
        </r>
      </text>
    </comment>
    <comment ref="G76" authorId="0">
      <text>
        <r>
          <rPr>
            <sz val="8"/>
            <color indexed="81"/>
            <rFont val="Tahoma"/>
            <family val="2"/>
          </rPr>
          <t>Dit werkblad is van toepassing voor directieleden met en zonder lesgevende taken</t>
        </r>
      </text>
    </comment>
    <comment ref="D83" authorId="0">
      <text>
        <r>
          <rPr>
            <sz val="9"/>
            <color indexed="81"/>
            <rFont val="Tahoma"/>
            <family val="2"/>
          </rPr>
          <t>Omvat alle BAPO-uren.</t>
        </r>
      </text>
    </comment>
    <comment ref="H100" authorId="0">
      <text>
        <r>
          <rPr>
            <sz val="8"/>
            <color indexed="81"/>
            <rFont val="Tahoma"/>
            <family val="2"/>
          </rPr>
          <t>Hier opgave van het aantal uren BAPO verlof dat op jaarbasis door betrokkene wordt opgenomen, afgerond op hele of halve uren.</t>
        </r>
      </text>
    </comment>
    <comment ref="H102" authorId="0">
      <text>
        <r>
          <rPr>
            <sz val="9"/>
            <color indexed="81"/>
            <rFont val="Tahoma"/>
            <family val="2"/>
          </rPr>
          <t>Gespaard in voorgaande jaren conform vooraf gemaakte afspraken.</t>
        </r>
      </text>
    </comment>
    <comment ref="D105" authorId="0">
      <text>
        <r>
          <rPr>
            <sz val="9"/>
            <color indexed="81"/>
            <rFont val="Tahoma"/>
            <family val="2"/>
          </rPr>
          <t>De omvang van de deskundigheidsbevordering is 10% van de normjaartaak minus de BAPO-uren.</t>
        </r>
      </text>
    </comment>
    <comment ref="F107" authorId="0">
      <text>
        <r>
          <rPr>
            <sz val="9"/>
            <color indexed="81"/>
            <rFont val="Tahoma"/>
            <family val="2"/>
          </rPr>
          <t>Maximaal 50% voor persoonlijke scholing en ontwikkeling , in overleg tussen werkgever en werknemer.</t>
        </r>
      </text>
    </comment>
    <comment ref="F241" authorId="0">
      <text>
        <r>
          <rPr>
            <sz val="8"/>
            <color indexed="81"/>
            <rFont val="Tahoma"/>
            <family val="2"/>
          </rPr>
          <t>Deze rekenfactor kunt u aanpassen naar de factor die van toepassing is.</t>
        </r>
      </text>
    </comment>
    <comment ref="H254" authorId="0">
      <text>
        <r>
          <rPr>
            <sz val="8"/>
            <color indexed="81"/>
            <rFont val="Tahoma"/>
            <family val="2"/>
          </rPr>
          <t xml:space="preserve">
De tijd voor de deskundigheidsbevordering is gesteld op 10% van de voor betrokkene geldende normjaartaak (1659 * wtf).</t>
        </r>
      </text>
    </comment>
  </commentList>
</comments>
</file>

<file path=xl/comments7.xml><?xml version="1.0" encoding="utf-8"?>
<comments xmlns="http://schemas.openxmlformats.org/spreadsheetml/2006/main">
  <authors>
    <author>Keizer</author>
  </authors>
  <commentList>
    <comment ref="H4" authorId="0">
      <text>
        <r>
          <rPr>
            <b/>
            <sz val="8"/>
            <color indexed="81"/>
            <rFont val="Tahoma"/>
            <family val="2"/>
          </rPr>
          <t xml:space="preserve">
Dit werkblad is alleen van toepassing voor personeel dat lesgeeft en daarnaast met specifieke taken is belast, bijv. IB-er of ICT-er of bouwcoordinator.</t>
        </r>
      </text>
    </comment>
    <comment ref="H46" authorId="0">
      <text>
        <r>
          <rPr>
            <b/>
            <sz val="9"/>
            <color indexed="81"/>
            <rFont val="Tahoma"/>
            <family val="2"/>
          </rPr>
          <t xml:space="preserve">Aantal uren boven norm van 930 (naar rato) desgewenst te compenseren in tijd, geld (WTF), sparen of in taakbeleid.
</t>
        </r>
      </text>
    </comment>
    <comment ref="H69" authorId="0">
      <text>
        <r>
          <rPr>
            <b/>
            <sz val="9"/>
            <color indexed="81"/>
            <rFont val="Tahoma"/>
            <family val="2"/>
          </rPr>
          <t xml:space="preserve">
Het is soms verstandig de werktijdfactor iets naar boven af te ronden. Dat geeft dan wat meer flexibiliteit bij de inzet van het personeel.</t>
        </r>
      </text>
    </comment>
    <comment ref="G72" authorId="0">
      <text>
        <r>
          <rPr>
            <b/>
            <sz val="8"/>
            <color indexed="81"/>
            <rFont val="Tahoma"/>
            <family val="2"/>
          </rPr>
          <t xml:space="preserve">
Dit werkblad is alleen van toepassing voor personeel dat lesgeeft en daarnaast met specifieke taken is belast, bijv. IB-er of ICT-er of bouwcoordinator.</t>
        </r>
      </text>
    </comment>
    <comment ref="D79" authorId="0">
      <text>
        <r>
          <rPr>
            <sz val="9"/>
            <color indexed="81"/>
            <rFont val="Tahoma"/>
            <family val="2"/>
          </rPr>
          <t>Omvat alle BAPO-uren.</t>
        </r>
      </text>
    </comment>
    <comment ref="H96" authorId="0">
      <text>
        <r>
          <rPr>
            <sz val="8"/>
            <color indexed="81"/>
            <rFont val="Tahoma"/>
            <family val="2"/>
          </rPr>
          <t>Hier opgave van het aantal uren BAPO verlof dat op jaarbasis door betrokkene wordt opgenomen, afgerond op hele of halve uren.</t>
        </r>
      </text>
    </comment>
    <comment ref="H98" authorId="0">
      <text>
        <r>
          <rPr>
            <sz val="9"/>
            <color indexed="81"/>
            <rFont val="Tahoma"/>
            <family val="2"/>
          </rPr>
          <t>Gespaard in voorgaande jaren conform vooraf gemaakte afspraken.</t>
        </r>
      </text>
    </comment>
    <comment ref="D101" authorId="0">
      <text>
        <r>
          <rPr>
            <sz val="9"/>
            <color indexed="81"/>
            <rFont val="Tahoma"/>
            <family val="2"/>
          </rPr>
          <t>De omvang van de deskundigheidsbevordering is 10% van de normjaartaak minus de BAPO-uren.</t>
        </r>
      </text>
    </comment>
    <comment ref="F103" authorId="0">
      <text>
        <r>
          <rPr>
            <sz val="9"/>
            <color indexed="81"/>
            <rFont val="Tahoma"/>
            <family val="2"/>
          </rPr>
          <t>Maximaal 50% voor persoonlijke scholing en ontwikkeling , in overleg tussen werkgever en werknemer.</t>
        </r>
      </text>
    </comment>
    <comment ref="F236" authorId="0">
      <text>
        <r>
          <rPr>
            <sz val="8"/>
            <color indexed="81"/>
            <rFont val="Tahoma"/>
            <family val="2"/>
          </rPr>
          <t>Deze rekenfactor kunt u aanpassen naar de factor die van toepassing is.</t>
        </r>
      </text>
    </comment>
    <comment ref="H249" authorId="0">
      <text>
        <r>
          <rPr>
            <sz val="8"/>
            <color indexed="81"/>
            <rFont val="Tahoma"/>
            <family val="2"/>
          </rPr>
          <t>De tijd voor de deskundigheidsbevordering is gesteld op 10% van de voorbetrokkene geldende normjaartaak (1659 * wtf).</t>
        </r>
      </text>
    </comment>
  </commentList>
</comments>
</file>

<file path=xl/comments8.xml><?xml version="1.0" encoding="utf-8"?>
<comments xmlns="http://schemas.openxmlformats.org/spreadsheetml/2006/main">
  <authors>
    <author>Keizer</author>
  </authors>
  <commentList>
    <comment ref="F7" authorId="0">
      <text>
        <r>
          <rPr>
            <b/>
            <sz val="9"/>
            <color indexed="81"/>
            <rFont val="Tahoma"/>
            <family val="2"/>
          </rPr>
          <t>Conform CAO PO art. 6.11 lid 1.</t>
        </r>
      </text>
    </comment>
    <comment ref="F22" authorId="0">
      <text>
        <r>
          <rPr>
            <b/>
            <sz val="9"/>
            <color indexed="81"/>
            <rFont val="Tahoma"/>
            <family val="2"/>
          </rPr>
          <t>Conform CAO PO art. 6.11 lid 2.</t>
        </r>
      </text>
    </comment>
    <comment ref="H24" authorId="0">
      <text>
        <r>
          <rPr>
            <b/>
            <sz val="8"/>
            <color indexed="81"/>
            <rFont val="Tahoma"/>
          </rPr>
          <t>U kunt dit percentage aanpassen aan hetgeen bij u van toepassing is.</t>
        </r>
      </text>
    </comment>
    <comment ref="D34" authorId="0">
      <text>
        <r>
          <rPr>
            <b/>
            <sz val="8"/>
            <color indexed="81"/>
            <rFont val="Tahoma"/>
          </rPr>
          <t>Er is gerekend met een opslagfactor zoals in cel H24 is opgegeven. 
U kunt die factor aanpassen aan uw eigen situatie.</t>
        </r>
      </text>
    </comment>
    <comment ref="F46" authorId="0">
      <text>
        <r>
          <rPr>
            <b/>
            <sz val="9"/>
            <color indexed="81"/>
            <rFont val="Tahoma"/>
            <family val="2"/>
          </rPr>
          <t>Conform CAO PO art. 6.11 lid 3.</t>
        </r>
      </text>
    </comment>
    <comment ref="D54" authorId="0">
      <text>
        <r>
          <rPr>
            <b/>
            <sz val="8"/>
            <color indexed="81"/>
            <rFont val="Tahoma"/>
          </rPr>
          <t>Er is gerekend met een opslagfactor zoals in cel H24 is opgegeven. 
U kunt die factor aanpassen aan uw eigen situatie.</t>
        </r>
      </text>
    </comment>
    <comment ref="F66" authorId="0">
      <text>
        <r>
          <rPr>
            <b/>
            <sz val="9"/>
            <color indexed="81"/>
            <rFont val="Tahoma"/>
            <family val="2"/>
          </rPr>
          <t>Conform CAO PO art. 6.31 lid 1.</t>
        </r>
      </text>
    </comment>
    <comment ref="F88" authorId="0">
      <text>
        <r>
          <rPr>
            <b/>
            <sz val="9"/>
            <color indexed="81"/>
            <rFont val="Tahoma"/>
            <family val="2"/>
          </rPr>
          <t>Conform CAO PO art. 6.31 lid 2.</t>
        </r>
      </text>
    </comment>
    <comment ref="D100" authorId="0">
      <text>
        <r>
          <rPr>
            <b/>
            <sz val="8"/>
            <color indexed="81"/>
            <rFont val="Tahoma"/>
          </rPr>
          <t xml:space="preserve">
Er is hier gerekend met een vaste opslagfactor van 53,85%. Dit is bepaald in de CAO.
</t>
        </r>
      </text>
    </comment>
  </commentList>
</comments>
</file>

<file path=xl/comments9.xml><?xml version="1.0" encoding="utf-8"?>
<comments xmlns="http://schemas.openxmlformats.org/spreadsheetml/2006/main">
  <authors>
    <author>Keizer</author>
  </authors>
  <commentList>
    <comment ref="F3" authorId="0">
      <text>
        <r>
          <rPr>
            <sz val="8"/>
            <color indexed="81"/>
            <rFont val="Tahoma"/>
            <family val="2"/>
          </rPr>
          <t xml:space="preserve">
Voor OBP dat lestaken voor een groep verricht geldt hetzelfde kader als voor OP. Voor OBP met les- of behandeltaken voor individuele leerlingen, geldt bij een fulltime aanstelling een maximale lessentaak van 823 klokuren op jaarbasis.
Voor deze categorieën dus invulling in het werkblad voor OP.
Voor overig OBP invulling in dit werkblad.</t>
        </r>
      </text>
    </comment>
    <comment ref="C29" authorId="0">
      <text>
        <r>
          <rPr>
            <sz val="8"/>
            <color indexed="81"/>
            <rFont val="Tahoma"/>
            <family val="2"/>
          </rPr>
          <t>Hier opgave van het aantal uren BAPO verlof dat op jaarbasis door betrokkene wordt opgenomen.</t>
        </r>
      </text>
    </comment>
    <comment ref="C30" authorId="0">
      <text>
        <r>
          <rPr>
            <sz val="8"/>
            <color indexed="81"/>
            <rFont val="Tahoma"/>
            <family val="2"/>
          </rPr>
          <t>Dit is het maximaal aantal BAPO-uren dat op jaarbasis door betrokkene kan worden opgenomen.</t>
        </r>
      </text>
    </comment>
  </commentList>
</comments>
</file>

<file path=xl/sharedStrings.xml><?xml version="1.0" encoding="utf-8"?>
<sst xmlns="http://schemas.openxmlformats.org/spreadsheetml/2006/main" count="1809" uniqueCount="621">
  <si>
    <t>mogelijk de werktijdfactor op eenduidige wijze vast te stellen. Dat is een groot voordeel ten opzichte van de vroegere situatie.</t>
  </si>
  <si>
    <r>
      <t xml:space="preserve">1. </t>
    </r>
    <r>
      <rPr>
        <sz val="10"/>
        <color indexed="22"/>
        <rFont val="Arial"/>
        <family val="2"/>
      </rPr>
      <t xml:space="preserve">Het onderwijs wordt zodanig ingericht dat de leerlingen een ononderbroken ontwikkelingsproces kunnen doorlopen. </t>
    </r>
  </si>
  <si>
    <r>
      <t xml:space="preserve">2. </t>
    </r>
    <r>
      <rPr>
        <sz val="10"/>
        <color indexed="22"/>
        <rFont val="Arial"/>
        <family val="2"/>
      </rPr>
      <t xml:space="preserve">Het onderwijs richt zich in elk geval op de emotionele en de verstandelijke ontwikkeling, en op het ontwikkelen van </t>
    </r>
  </si>
  <si>
    <r>
      <t xml:space="preserve">3. </t>
    </r>
    <r>
      <rPr>
        <sz val="10"/>
        <color indexed="22"/>
        <rFont val="Arial"/>
        <family val="2"/>
      </rPr>
      <t>Het onderwijs:</t>
    </r>
  </si>
  <si>
    <r>
      <t xml:space="preserve">4. </t>
    </r>
    <r>
      <rPr>
        <sz val="10"/>
        <color indexed="22"/>
        <rFont val="Arial"/>
        <family val="2"/>
      </rPr>
      <t xml:space="preserve">Ten aanzien van leerlingen die extra zorg behoeven, is het onderwijs gericht op individuele begeleiding die is </t>
    </r>
  </si>
  <si>
    <r>
      <t xml:space="preserve">5. </t>
    </r>
    <r>
      <rPr>
        <sz val="10"/>
        <color indexed="22"/>
        <rFont val="Arial"/>
        <family val="2"/>
      </rPr>
      <t xml:space="preserve">Het onderwijs aan een speciale school voor basisonderwijs is tevens erop gericht leerlingen waar mogelijk tot </t>
    </r>
  </si>
  <si>
    <r>
      <t xml:space="preserve">6. </t>
    </r>
    <r>
      <rPr>
        <sz val="10"/>
        <color indexed="22"/>
        <rFont val="Arial"/>
        <family val="2"/>
      </rPr>
      <t xml:space="preserve">De scholen voorzien in een voortgangsregistratie omtrent de ontwikkeling van leerlingen die extra zorg behoeven. </t>
    </r>
  </si>
  <si>
    <r>
      <t xml:space="preserve">8. </t>
    </r>
    <r>
      <rPr>
        <sz val="10"/>
        <color indexed="22"/>
        <rFont val="Arial"/>
        <family val="2"/>
      </rPr>
      <t xml:space="preserve">Het onderwijs wordt zodanig ingericht dat leerlingen die in verband met ziekte thuis verblijven dan wel zijn opgenomen </t>
    </r>
  </si>
  <si>
    <r>
      <t xml:space="preserve">9. </t>
    </r>
    <r>
      <rPr>
        <sz val="10"/>
        <color indexed="22"/>
        <rFont val="Arial"/>
        <family val="2"/>
      </rPr>
      <t xml:space="preserve">Het onderwijs wordt zodanig ingericht dat daarbij op structurele en herkenbare wijze aandacht wordt besteed aan </t>
    </r>
  </si>
  <si>
    <t xml:space="preserve">aantal maanden </t>
  </si>
  <si>
    <t>waarin die relatie schoolrooster-werkdruk direct zichtbaar wordt.</t>
  </si>
  <si>
    <t xml:space="preserve">aantal uren die 10% berekend moet worden. Uit nadere interpretatie van hetgeen gebruikelijk is, komt naar voren dat </t>
  </si>
  <si>
    <t>de 10% berekend moet worden over de normjaartaak verminderd met de uren BAPO die iemand in een bepaald jaar</t>
  </si>
  <si>
    <t xml:space="preserve">neemt. Dit werkt ook door in het aantal uren dat als norm geldt voor het aantal lesgebonden uren en het aantal </t>
  </si>
  <si>
    <t>groep bijvoorbeeld, het rooster kan per trimester verschillen, opname verlof enzovoorts.</t>
  </si>
  <si>
    <t>Werkblad korttijdelijk (verborgen)</t>
  </si>
  <si>
    <t xml:space="preserve">Het voor- en nawerk als niet-lesgebonden taak is opgenomen met de rekenfactor 0,35 (dus 35% van de lestijd), maar </t>
  </si>
  <si>
    <t>Voor de inzet wordt uitgegaan van de weekrooster(s) die voor betrokkene gelden.</t>
  </si>
  <si>
    <t xml:space="preserve">Om de relatie schoolrooster en werkdruk duidelijk zichtbaar te maken is in dit werkblad een onderdeel opgenomen </t>
  </si>
  <si>
    <t>bapoverloffactor</t>
  </si>
  <si>
    <t>max bapo</t>
  </si>
  <si>
    <t xml:space="preserve">Recent is in de serie Basisschoolmanagement van Kluwer de publicatie 'Normjaartaak' verschenen. </t>
  </si>
  <si>
    <t xml:space="preserve">In deze publicatie wordt uitvoerig ingegaan op de normjaartaak met alle aspecten die daarbij een rol spelen </t>
  </si>
  <si>
    <t xml:space="preserve">voor het onderwijzend personeel, de directie en het onderwijsondersteunend personeel. In dat boekje, </t>
  </si>
  <si>
    <t xml:space="preserve">gemaakt door Geke Lexmond en Bé Keizer, wordt naar dit instrument verwezen. </t>
  </si>
  <si>
    <t xml:space="preserve">We bevelen kennisneming van dit boekje ten zeerste aan, ook omdat het een complexe materie blijft </t>
  </si>
  <si>
    <t>die in het boekje helder uiteen wordt gezet.</t>
  </si>
  <si>
    <t>Ook daaraan is in de publicatie 'Normjaartaak' uitvoerig aandacht besteed.</t>
  </si>
  <si>
    <r>
      <t xml:space="preserve">In dit onderdeel wordt vanaf rij 60 uitwerking gegeven aan de inzet van een leerkracht </t>
    </r>
    <r>
      <rPr>
        <u/>
        <sz val="10"/>
        <rFont val="Arial"/>
        <family val="2"/>
      </rPr>
      <t>nadat</t>
    </r>
    <r>
      <rPr>
        <sz val="10"/>
        <rFont val="Arial"/>
        <family val="2"/>
      </rPr>
      <t xml:space="preserve"> de WTF is vastgesteld.</t>
    </r>
  </si>
  <si>
    <t xml:space="preserve">aspecten de berekening uit te voeren. De BAPO wordt daarbij 'verrekend' met de directietaken. Dat is eenvoudiger en </t>
  </si>
  <si>
    <t>IB-activiteiten</t>
  </si>
  <si>
    <t>normjaartaak totaal incl. BAPO (minus extra verlof-uren)</t>
  </si>
  <si>
    <t>heeft, is in de akte van aanstelling de werktijdfactor al vastgelegd.</t>
  </si>
  <si>
    <t>expliciet opgenomen in artikel 15 lid 3 van de WMS.</t>
  </si>
  <si>
    <t>Werktijdfactor korttijdelijk aangestelden (verborgen)</t>
  </si>
  <si>
    <t>Relatie Schoolrooster en Werkdruk</t>
  </si>
  <si>
    <t>ROOSTER</t>
  </si>
  <si>
    <t xml:space="preserve">ma </t>
  </si>
  <si>
    <t>di</t>
  </si>
  <si>
    <t>wo</t>
  </si>
  <si>
    <t>do</t>
  </si>
  <si>
    <t>vr</t>
  </si>
  <si>
    <t>Per week:</t>
  </si>
  <si>
    <t>Noodzakelijk per jaar:</t>
  </si>
  <si>
    <t>BEREKENING WERKDRUK</t>
  </si>
  <si>
    <t>Alternatief:</t>
  </si>
  <si>
    <t>aantal te werken weken:</t>
  </si>
  <si>
    <t>jaartaak:</t>
  </si>
  <si>
    <t>werkdruk per schoolweek:</t>
  </si>
  <si>
    <t>Aantal klokuren lesgevende taak:</t>
  </si>
  <si>
    <t>Hulpmiddel:</t>
  </si>
  <si>
    <t>niet-lesgebonden uren.</t>
  </si>
  <si>
    <t>Dit instrument volgt deze interpretatie van de berekening van de omvang van het aantal uren deskundigheidsbevordering.</t>
  </si>
  <si>
    <t xml:space="preserve">Ook de BAPO blijft een complexe materie. De wijze van berekening zoals opgenomen in bijlage XI van de CAO wordt </t>
  </si>
  <si>
    <t>feitelijke rol bij de inzet voor het rooster en blijft daarom buiten beschouwing.</t>
  </si>
  <si>
    <t xml:space="preserve">De invoer bij de witte cellen binnen het aangegeven kader spreekt voor zich. </t>
  </si>
  <si>
    <t xml:space="preserve">reductie voorschrijven van de omvang BAPO terwijl de omvang van de BAPO-opname vervolgens zorgt voor een </t>
  </si>
  <si>
    <t>Invoer is mogelijk op alle witte velden binnen het aangegeven kader, de overige zijn beveiligd.</t>
  </si>
  <si>
    <t>c. de onderwijsactiviteiten evenwichtig over de dag worden verdeeld.</t>
  </si>
  <si>
    <t xml:space="preserve"> …</t>
  </si>
  <si>
    <t>vaststelling van de onderwijstijd; en</t>
  </si>
  <si>
    <r>
      <t>2.1</t>
    </r>
    <r>
      <rPr>
        <b/>
        <sz val="10"/>
        <rFont val="Times New Roman"/>
        <family val="1"/>
      </rPr>
      <t xml:space="preserve">              </t>
    </r>
    <r>
      <rPr>
        <b/>
        <sz val="10"/>
        <rFont val="Arial"/>
        <family val="2"/>
      </rPr>
      <t>Rooster school</t>
    </r>
  </si>
  <si>
    <r>
      <t xml:space="preserve">7. </t>
    </r>
    <r>
      <rPr>
        <sz val="10"/>
        <rFont val="Arial"/>
        <family val="2"/>
      </rPr>
      <t xml:space="preserve">Het onderwijs wordt zodanig ingericht dat: </t>
    </r>
  </si>
  <si>
    <t xml:space="preserve">Een school moet gemiddeld min. 940 klokuur per jaar verzorgen en met een marge van bijv. 10 uur betekent dit dat </t>
  </si>
  <si>
    <t>per week. Kiest men voor 38 weken dan komt men op 25 uur per week uit.</t>
  </si>
  <si>
    <t>Aangepast max BAPO-verlof:</t>
  </si>
  <si>
    <t>Leeftijdsuren 60+</t>
  </si>
  <si>
    <t>art. 6.35</t>
  </si>
  <si>
    <t>art. 8.5 lid 3</t>
  </si>
  <si>
    <t>art. 8.5 lid 2</t>
  </si>
  <si>
    <t>Sparen voor komende schoolja(a)r(en) ?</t>
  </si>
  <si>
    <t>Specifiek rooster</t>
  </si>
  <si>
    <t>Recht start in dit schooljaar:</t>
  </si>
  <si>
    <t>Recht op toename start dit schooljaar:</t>
  </si>
  <si>
    <t>Te compenseren</t>
  </si>
  <si>
    <t>Part-timers:</t>
  </si>
  <si>
    <t>Berekening werktijdfactor gedeelte maand</t>
  </si>
  <si>
    <t>(Salarisbetaling over gedeelte maand)</t>
  </si>
  <si>
    <t>vosabb</t>
  </si>
  <si>
    <t>bapo-uren</t>
  </si>
  <si>
    <t>Totaal opgenomen BAPO</t>
  </si>
  <si>
    <t xml:space="preserve">Overzicht resultaat inzet </t>
  </si>
  <si>
    <t>opname ingeroosterde BAPO:</t>
  </si>
  <si>
    <t>Invulling directietaken:</t>
  </si>
  <si>
    <t>bapo</t>
  </si>
  <si>
    <t>Totaal aantal klokuren L-taken:</t>
  </si>
  <si>
    <t>(bijv. woensdag)</t>
  </si>
  <si>
    <t>Bepaling Werktijdfactor personeel deels vrijgesteld van lestaken</t>
  </si>
  <si>
    <t>Omvang niet-lesgevende taak t.o.v lesgevende taak is vastgelegd in CAO.</t>
  </si>
  <si>
    <t>Voorwaarde is wel dat het aantal uren onderwijstijd van die groep dan tenminste 880 bedraagt.</t>
  </si>
  <si>
    <t>uur, dit is wtf:</t>
  </si>
  <si>
    <t>Het model is beveiligd met het wachtwoord:</t>
  </si>
  <si>
    <t xml:space="preserve">Het maken van een instrument om de berekening van de werktijdfactor op een eenduidige manier te laten plaatsvinden </t>
  </si>
  <si>
    <t xml:space="preserve">blijkt in de praktijk zeer gewenst. De ‘oude’ adv-regeling was voor meerdere interpretaties vatbaar waardoor in </t>
  </si>
  <si>
    <t>vergelijkbare situaties behoorlijke verschillen geconstateerd konden worden.</t>
  </si>
  <si>
    <t>de wens en de verzuchting naar voren om het toch alsjeblieft eenvoudiger te doen.</t>
  </si>
  <si>
    <t>Er is dus nog een weg te gaan.</t>
  </si>
  <si>
    <t xml:space="preserve">Nu de CAO PO de regeling van de werktijdfactor en het compensatieverlof eenduidig heeft geregeld is het echter ook </t>
  </si>
  <si>
    <t>mogelijk de werktijdfactor ook eenduidig te berekenen. Dat is de voornaamste functie van dit instrument.</t>
  </si>
  <si>
    <t>Het berekenen van de werktijdfactor zal in veel gevallen niet nodig zijn. Wanneer iemand een aanstelling</t>
  </si>
  <si>
    <t xml:space="preserve">Alleen als het gaat om een nieuwe aanstelling of een wijziging van de aanstellingsomvang is het gewenst </t>
  </si>
  <si>
    <t>op eenvoudige wijze de werktijdfactor (opnieuw) vast te stellen.</t>
  </si>
  <si>
    <r>
      <t xml:space="preserve">behandeltaken) uit van de inzet aan lesgevende taken. Om dat te kunnen doen is het noodzakelijk eerst het </t>
    </r>
    <r>
      <rPr>
        <b/>
        <sz val="10"/>
        <rFont val="Arial"/>
        <family val="2"/>
      </rPr>
      <t>rooster</t>
    </r>
    <r>
      <rPr>
        <sz val="10"/>
        <rFont val="Arial"/>
        <family val="2"/>
      </rPr>
      <t xml:space="preserve"> </t>
    </r>
  </si>
  <si>
    <t xml:space="preserve">werktijdfactor. In het eerste deel wordt als hulpmiddel het van toepassing zijnde rooster ‘opgehaald’ door in </t>
  </si>
  <si>
    <t xml:space="preserve">cel E10 de betreffende groep in te voeren. Dat geeft het aantal klokuren lesgevende tijd en het aantal </t>
  </si>
  <si>
    <t>weken van het schooljaar.</t>
  </si>
  <si>
    <t xml:space="preserve">Vervolgens wordt het rooster van de betreffende leerkracht ingevuld. Dat geeft de berekening van het aantal wekelijkse </t>
  </si>
  <si>
    <t>en jaarlijkse uren dat daaruit voortvloeit.</t>
  </si>
  <si>
    <t xml:space="preserve">Mocht de berekende werktijdfactor groter zijn dan de gewenste factor dan is het mogelijk opgave te doen van het aantal </t>
  </si>
  <si>
    <t>uren dat gecompenseerd dient te worden.</t>
  </si>
  <si>
    <t xml:space="preserve">Deze compensatie kan toegekend worden in tijd, geld, of tot uitdrukking komen in het taakbeleid, maar ook door </t>
  </si>
  <si>
    <t>deze tijd te sparen voor een latere periode.</t>
  </si>
  <si>
    <t xml:space="preserve">In de praktijk zal deze compensatie met name een rol spelen wanneer het aantal klokuren lesgebonden of </t>
  </si>
  <si>
    <t xml:space="preserve">behandeltijd tijd boven de 930 klokuur uitkomt. Deze compensatie in tijd kan verwerkt worden door dit in een tweede </t>
  </si>
  <si>
    <t xml:space="preserve">Het BAPO-verlof kan afzonderlijk worden verwerkt in het rooster door het aantal uren dat wordt opgenomen op te geven </t>
  </si>
  <si>
    <t>en tegelijkertijd die vrijgeroosterde tijd in het rooster in mindering te brengen.</t>
  </si>
  <si>
    <t xml:space="preserve">Het niet-lesgebonden deel is summier op te geven. In feite is dit de neerslag van het taakbeleid. Dat wordt in dit </t>
  </si>
  <si>
    <t xml:space="preserve">instrument niet nader uitgewerkt. Desgewenst kan men de eigen uitgebreidere werkwijze opnemen in een afzonderlijk </t>
  </si>
  <si>
    <t>werkblad (via Invoegen/Werkblad) en de gesommeerde gegevens ervan opnemen in dit niet-lesgebonden deel.</t>
  </si>
  <si>
    <t xml:space="preserve">In het werkblad worden de resultaten van de inzet in een apart overzicht kort en bondig weergegeven. Er blijkt ook </t>
  </si>
  <si>
    <t xml:space="preserve">uit of de totale jaartaak is bereikt of dat er sprake is van een (klein) verschil. Het is een zaak van onderling overleg </t>
  </si>
  <si>
    <t>om het over de inzet eens te worden.</t>
  </si>
  <si>
    <t xml:space="preserve">De berekening van de werktijdfactor loopt op hoofdlijnen analoog aan die voor de leerkracht. Alleen is de berekening </t>
  </si>
  <si>
    <t xml:space="preserve">iets gecompliceerder door speciale bepalingen in de CAO omtrent leeftijdsverlof e.d., terwijl de omvang van de BAPO </t>
  </si>
  <si>
    <t xml:space="preserve">De keuze van het aantal uren van de werkweek is van belang om het aantal vakantieuren te berekenen. </t>
  </si>
  <si>
    <t xml:space="preserve">In het werkblad directie is rekening gehouden met de mogelijkheid dat een directielid ook lesgevende taken kan hebben. </t>
  </si>
  <si>
    <t xml:space="preserve">Daarom is in dit werkblad een combinatie te zien van directie-uren en lesgebonden uren die tezamen leiden tot </t>
  </si>
  <si>
    <t>de werktijdfactor.</t>
  </si>
  <si>
    <t xml:space="preserve">Dit werkblad correspondeert in hoge mate met die van de directie omdat hier ook sprake is van een combinatie van </t>
  </si>
  <si>
    <t>lesgevende taken en andere taken.</t>
  </si>
  <si>
    <t xml:space="preserve">Dit is een rekenblad waarin gepoogd is de CAO-voorschriften voor korttijdelijke aanstellingen exact te verwerken. </t>
  </si>
  <si>
    <t>Voor een correct begrip is het dienstig om kennis te nemen van de betreffende bepalingen van de CAO die vermeld staan.</t>
  </si>
  <si>
    <t>Daarna wordt nog stilgestaan bij de afzonderlijke werkbladen.</t>
  </si>
  <si>
    <t>Gevolgde werkwijze</t>
  </si>
  <si>
    <t xml:space="preserve">Wet medezeggenschap op scholen </t>
  </si>
  <si>
    <t>…</t>
  </si>
  <si>
    <t>Artikel 15. Tenuitvoerlegging bepaalde besluiten</t>
  </si>
  <si>
    <r>
      <t>h</t>
    </r>
    <r>
      <rPr>
        <sz val="10"/>
        <rFont val="Arial"/>
        <family val="2"/>
      </rPr>
      <t>.</t>
    </r>
  </si>
  <si>
    <t xml:space="preserve">Het wordt afgestemd op de voortgang in de ontwikkeling van de leerlingen. </t>
  </si>
  <si>
    <t xml:space="preserve">creativiteit, op het verwerven van noodzakelijke kennis en van sociale, culturele en lichamelijke vaardigheden. </t>
  </si>
  <si>
    <t xml:space="preserve">   afgestemd op de behoeften van de leerling. </t>
  </si>
  <si>
    <t xml:space="preserve">   het volgen van onderwijs in basisscholen of scholen voor voortgezet onderwijs te brengen. </t>
  </si>
  <si>
    <t xml:space="preserve">b. de leerlingen in 8 schooljaren ten minste 7520 uren onderwijs ontvangen, met dien verstande dat de leerlingen in </t>
  </si>
  <si>
    <t xml:space="preserve">de eerste 4 schooljaren ten minste 3520 uren onderwijs en in de laatste 4 schooljaren ten minste 3760 uren onderwijs </t>
  </si>
  <si>
    <t xml:space="preserve">ontvangen, en aan de leerlingen in de laatste 6 schooljaren ten hoogste 7 weken van het schooljaar 4 dagen per week </t>
  </si>
  <si>
    <t xml:space="preserve">onderwijs wordt gegeven, die evenwichtig zijn verdeeld over het schooljaar, bij een schoolweek van in beginsel niet </t>
  </si>
  <si>
    <t>minder dan 5 dagen onderwijs, en</t>
  </si>
  <si>
    <t xml:space="preserve">   in een ziekenhuis, op adequate wijze voldoende onderwijs kunnen genieten. </t>
  </si>
  <si>
    <t xml:space="preserve">   het bestrijden van achterstanden in het bijzonder in de beheersing van de Nederlandse taal.</t>
  </si>
  <si>
    <t xml:space="preserve">Het bevoegd gezag van een school als bedoeld in de Wet op het primair onderwijs en de Wet op de expertisecentra, </t>
  </si>
  <si>
    <t xml:space="preserve">met uitzondering van scholen voor voortgezet speciaal onderwijs, behoeft de voorafgaande instemming van het deel </t>
  </si>
  <si>
    <t xml:space="preserve">van de medezeggenschapsraad dat uit en door de ouders of de leerlingen is gekozen, voor elk door het bevoegd gezag </t>
  </si>
  <si>
    <t>te nemen besluit met betrekking tot de volgende aangelegenheden:</t>
  </si>
  <si>
    <t xml:space="preserve">Artikel 13. Instemmingsbevoegdheid ouders/leerlingendeel medezeggenschapsraad bij een school als </t>
  </si>
  <si>
    <t>bedoeld in de WPO en de WEC, met uitzondering van scholen voor voortgezet speciaal onderwijs</t>
  </si>
  <si>
    <t xml:space="preserve">3. Een besluit met betrekking tot een aangelegenheid als bedoeld in artikel 13, onderdeel h, wordt niet genomen </t>
  </si>
  <si>
    <t>dan na raadpleging van de ouders.</t>
  </si>
  <si>
    <t>Tegelijkertijd heeft het nauwgezet volgen van de CAO-bepalingen geleerd dat de berekeningen nog steeds erg</t>
  </si>
  <si>
    <t xml:space="preserve">ingewikkeld zijn. Met moeite kon de aandrang worden onderdrukt om een aanzienlijk eenvoudiger berekening vast </t>
  </si>
  <si>
    <t>De overige cellen zijn beveiligd.</t>
  </si>
  <si>
    <t>Hierna volgt de uiteenzetting van de gevolgde werkwijze.</t>
  </si>
  <si>
    <t xml:space="preserve">weekrooster zoals dat gewoonlijk geldt. </t>
  </si>
  <si>
    <t xml:space="preserve">er per jaar gemiddeld 950 uur onderwijs ingeroosterd wordt. Kiest men voor 40 weken dan betekent dit gemiddeld 23,75 uur </t>
  </si>
  <si>
    <t xml:space="preserve">Uiteraard kan men ook eerst het aantal uren per week vastleggen en dan het totaal aantal te geven uren dat de school </t>
  </si>
  <si>
    <t>op jaarbasis moet geven delen door die weektaak. Dat leidt dan tot het aantal weken dat dan uitgevoerd moet worden.</t>
  </si>
  <si>
    <t xml:space="preserve">De keuze voor de onderwijstijd is een zaak waar de ouders van de leerlingen een zware stem in hebben. De Wet </t>
  </si>
  <si>
    <t>De bepaling WTF is vervolgens een betrekkelijk eenvoudige zaak.</t>
  </si>
  <si>
    <t xml:space="preserve">Daarom is er ruimte om maximaal vier verschillende roosters in te vullen, zodat in één overzicht wisselende roosters </t>
  </si>
  <si>
    <t xml:space="preserve">voor een betrokkene kunnen worden doorgerekend.. </t>
  </si>
  <si>
    <t>vermindering van de omvang van het vakantieverlof.</t>
  </si>
  <si>
    <t xml:space="preserve">directielid tevens belast is met lesgevende taken. In dit onderdeel wordt daarbij rekening gehouden door voor beide </t>
  </si>
  <si>
    <t xml:space="preserve">De omvang van de niet-lesgevende taak is daarbij in een aantal situaties gesteld op 40% van de lesgevende taak. </t>
  </si>
  <si>
    <t xml:space="preserve">Het model is beveiligd onder Extra/Beveiliging/Blad beveiligen, met het wachtwoord: </t>
  </si>
  <si>
    <t>Aanpassing aan de eigen gewenste situatie is mogelijk en noodzakelijk.</t>
  </si>
  <si>
    <t>lesrooster in te roosteren als de compensatie niet structureel wekelijks is.</t>
  </si>
  <si>
    <t>(Het niet-lesgebonden deel van de BAPO wordt opgenomen bij de niet-lesgebonden taken.)</t>
  </si>
  <si>
    <t xml:space="preserve">een reductie kan ondergaan die in relatie staat tot het aantal leeftijdsuren waar sprake van is. Het feit dat er geen sprake </t>
  </si>
  <si>
    <t>is van lesgebonden en niet-lesgebonden uren maakt de verwerking aanzienlijk eenvoudiger: alle uren zijn hetzelfde.</t>
  </si>
  <si>
    <t>Die omvang is in de CAO gekoppeld aan het aantal wekelijkse uren.</t>
  </si>
  <si>
    <t xml:space="preserve">van de school vast te stellen. Daarbij wordt gedoeld op het gebruikelijke weekrooster gedurende het aantal weken </t>
  </si>
  <si>
    <t xml:space="preserve">per schooljaar dat gewoonlijk van toepassing is. Dat laat de variatie die van jaar tot jaar kan optreden in de lengte van </t>
  </si>
  <si>
    <t>het schooljaar door de vakantiespreiding buiten beschouwing en voorkomt daardoor een onjuiste berekening.</t>
  </si>
  <si>
    <r>
      <t xml:space="preserve">Het berekenen van de </t>
    </r>
    <r>
      <rPr>
        <b/>
        <sz val="10"/>
        <rFont val="Arial"/>
        <family val="2"/>
      </rPr>
      <t>werktijdfactor</t>
    </r>
    <r>
      <rPr>
        <sz val="10"/>
        <rFont val="Arial"/>
        <family val="2"/>
      </rPr>
      <t xml:space="preserve"> vindt vervolgens plaats door de betrokkene in te roosteren. Niet op basis van </t>
    </r>
  </si>
  <si>
    <t>-          lesgebonden taken</t>
  </si>
  <si>
    <t>-          niet-lesgebonden taken</t>
  </si>
  <si>
    <t>-          deskundigheidsbevordering.</t>
  </si>
  <si>
    <t xml:space="preserve">het gedetailleerde rooster zoals dat voor het komende schooljaar eruit komt te zien, maar op basis van het </t>
  </si>
  <si>
    <r>
      <t xml:space="preserve">Is de werktijdfactor vastgesteld dan kan vervolgens de </t>
    </r>
    <r>
      <rPr>
        <b/>
        <sz val="10"/>
        <rFont val="Arial"/>
        <family val="2"/>
      </rPr>
      <t>inzet</t>
    </r>
    <r>
      <rPr>
        <sz val="10"/>
        <rFont val="Arial"/>
        <family val="2"/>
      </rPr>
      <t xml:space="preserve"> van het personeelslid concreet worden ingevuld en </t>
    </r>
  </si>
  <si>
    <t>berekend met betrekking tot:</t>
  </si>
  <si>
    <t xml:space="preserve">Het rooster van de school kan eenvoudig opgebouwd worden door opgave van het aantal uren dat elke </t>
  </si>
  <si>
    <t>ochtend en elke middag per week wordt gemaakt.</t>
  </si>
  <si>
    <t xml:space="preserve">Is het rooster voor alle groepen gelijk dan volstaat één rooster. Zo niet, dan dienen meerdere roosters </t>
  </si>
  <si>
    <t xml:space="preserve">gemaakt te worden. Vaak werken meerdere groepen met eenzelfde rooster. In dat geval volstaat opgave </t>
  </si>
  <si>
    <t xml:space="preserve">van die roosters die daadwerkelijk worden gebruikt. Bijvoorbeeld een rooster voor de groepen 1 en 2, </t>
  </si>
  <si>
    <t xml:space="preserve">een rooster voor de groepen 3 en 4 en een rooster voor de groepen 5 t/m 8. Is er meer variatie, dan dient </t>
  </si>
  <si>
    <t>men het rooster van die specifieke groep op te geven.</t>
  </si>
  <si>
    <t xml:space="preserve">Bij het rooster moet opgegeven worden hoeveel weken gewoonlijk in het schooljaar worden gemaakt, </t>
  </si>
  <si>
    <t xml:space="preserve">uiteraard rekening houdend met de wettelijke vereisten omtrent het te maken aantal uren. Om rekening te </t>
  </si>
  <si>
    <t xml:space="preserve">houden met de fluctuaties van het aantal schoolweken als gevolg van de vakantiespreiding, dient men uit </t>
  </si>
  <si>
    <t xml:space="preserve">te gaan van het gemiddelde van de drie jaar waarin dit kan variëren. Een alternatief is het aantal weken te </t>
  </si>
  <si>
    <t xml:space="preserve">bepalen op basis van de periode 1 oktober tot 1 oktober. Op die laatste wijze heeft men geen ‘last’ van die </t>
  </si>
  <si>
    <t xml:space="preserve">spreiding van de vakantie. Dit hanteert de inspectie van het ministerie OCW ook voor de berekening </t>
  </si>
  <si>
    <t>van de 7520 uur.</t>
  </si>
  <si>
    <t xml:space="preserve">De bepaling van het aantal weken hangt samen met het aantal uren dat per week wordt gemaakt. </t>
  </si>
  <si>
    <t xml:space="preserve">De wet geeft daar geen nadere voorschriften meer voor anders dan de bepaling dat er sprake dient te zijn </t>
  </si>
  <si>
    <t xml:space="preserve">van een evenwichtige verdeling over het schooljaar. Bij een keuze voor een relatief hoog aantal uren </t>
  </si>
  <si>
    <t xml:space="preserve">per week leidt het tot de mogelijkheid van een geringer aantal weken per schooljaar dan een keuze voor een relatief </t>
  </si>
  <si>
    <t>laag aantal uren per week.</t>
  </si>
  <si>
    <t xml:space="preserve">medezeggenschap op scholen bepaalt dat de oudergeleding instemmingsrecht heeft op de onderwijstijd. </t>
  </si>
  <si>
    <t xml:space="preserve">De personeelsgeleding ontvangt dat voorstel met toelichting dan ter kennisneming (op grond van artikel 8 lid 6 </t>
  </si>
  <si>
    <t>van de WMS).</t>
  </si>
  <si>
    <t xml:space="preserve">Bovendien wordt een besluit over de onderwijstijd ‘niet genomen dan na raadpleging van de ouders’. Dit is </t>
  </si>
  <si>
    <t xml:space="preserve">Met het oog op een goede besluitvorming zal dus ook gezorgd moeten worden voor een goede voorlichting aan </t>
  </si>
  <si>
    <t xml:space="preserve">de ouders en andere betrokkenen over de mogelijkheden en onmogelijkheden van de nieuwe bepalingen </t>
  </si>
  <si>
    <t>omtrent de onderwijstijd.</t>
  </si>
  <si>
    <t>Het rooster wordt ‘opgehaald’ dat van toepassing is voor betrokkene.</t>
  </si>
  <si>
    <t xml:space="preserve">Dit leidt tot een totaal aantal uren per schooljaar waarbij meteen het eventuele aantal uren </t>
  </si>
  <si>
    <t>compensatieverlof kan worden meegenomen.</t>
  </si>
  <si>
    <t xml:space="preserve">Dan resteert het aantal uren dat betrokkene feitelijk inzetbaar is met de daarbij behorende werktijdfactor </t>
  </si>
  <si>
    <t>met twee cijfers achter de komma.</t>
  </si>
  <si>
    <t xml:space="preserve">Vervolgens wordt de WTF vastgesteld die voor betrokkene zal gelden. Daarbij kan de WTF in sommige </t>
  </si>
  <si>
    <t xml:space="preserve">gevallen iets worden opgehoogd. Dit laatste kan verstandig zijn om ervoor te zorgen dat er enige ruimte is voor </t>
  </si>
  <si>
    <t xml:space="preserve">de inzet van betrokkene. Door de uitkomst met twee cijfers achter de komma direct over te nemen ontstaat al </t>
  </si>
  <si>
    <t>gauw een probleem in de praktische uitvoering als er door omstandigheden iets meer dan de formele WTF nodig is.</t>
  </si>
  <si>
    <t xml:space="preserve">In de situatie van twee parttimers die samen een groep hebben (bijv. een duobaan), kan men de berekening van de </t>
  </si>
  <si>
    <t xml:space="preserve">werktijdfactor van beiden samen berekenen als ware er sprake van één leerkracht. Vervolgens kan men de werktijdfactor </t>
  </si>
  <si>
    <t xml:space="preserve">per werknemer vaststellen, rekening houdend met de gewenste onderlinge verdeling. Daarbij is het aan te bevelen om </t>
  </si>
  <si>
    <t xml:space="preserve">voor één groep in principe uit te gaan van een WTF 1,00 als het aantal klokuren onderwijstijd van de groep </t>
  </si>
  <si>
    <t xml:space="preserve">tenminste 880 klokuren bedraagt. Met de huidige vrijheid omtrent de onderwijstijd is het denkbaar dat bijvoorbeeld </t>
  </si>
  <si>
    <t xml:space="preserve">groep 1 een rooster heeft van ‘slechts’ 800 uur. Daarom geldt als ondergrens in deze situaties het aantal klokuren </t>
  </si>
  <si>
    <t>onderwijstijd van een groep van tenminste 880 uur.</t>
  </si>
  <si>
    <t xml:space="preserve">groep en op bepaalde dagen in een andere groep waarbij die andere groep een ander rooster heeft dan de eerste groep. </t>
  </si>
  <si>
    <t xml:space="preserve">Dat kan men berekenen door in die speciale situatie de werktijdfactor twee maal te bepalen: één maal voor </t>
  </si>
  <si>
    <t>de ene groep en eenmaal voor de andere groep en vervolgens neemt men de som van de berekende werktijdfactoren).</t>
  </si>
  <si>
    <t xml:space="preserve">Dan dient rekening gehouden te worden met BAPO, met spaarverlof, met het taakbeleid (kan heel gedetailleerd </t>
  </si>
  <si>
    <t>worden uitgewerkt, maar dat lijkt niet verstandig), met de inzet van de tijd voor deskundigheidsbevordering, enzovoorts.</t>
  </si>
  <si>
    <r>
      <t>2.2</t>
    </r>
    <r>
      <rPr>
        <b/>
        <sz val="10"/>
        <rFont val="Times New Roman"/>
        <family val="1"/>
      </rPr>
      <t xml:space="preserve">              </t>
    </r>
    <r>
      <rPr>
        <b/>
        <sz val="10"/>
        <rFont val="Arial"/>
        <family val="2"/>
      </rPr>
      <t>Bepaling werktijdfactor (WTF)</t>
    </r>
  </si>
  <si>
    <t xml:space="preserve">2.4 </t>
  </si>
  <si>
    <t xml:space="preserve">2.5 </t>
  </si>
  <si>
    <t xml:space="preserve">Inzet directielid </t>
  </si>
  <si>
    <t xml:space="preserve">2.6 </t>
  </si>
  <si>
    <t>Inzet personeel deels vrijgesteld van les- of behandeltaken</t>
  </si>
  <si>
    <t>Voor de berekening geldt eenzelfde aanpak als voor een directielid met lesgevende taken.</t>
  </si>
  <si>
    <t>Ook hier wordt de BAPO ‘verrekend’ met het niet lesgevende deel.</t>
  </si>
  <si>
    <t xml:space="preserve">Bij de BAPO is ook hier de CAO nauwgezet gevolgd. Die berekening is nogal complex doordat de leeftijdsuren een </t>
  </si>
  <si>
    <t xml:space="preserve">De berekening van de inzet van een directielid is op zich niet erg complex, maar wordt wel ingewikkelder als het </t>
  </si>
  <si>
    <t>maakt voor de berekening van de inzet niet uit.</t>
  </si>
  <si>
    <t xml:space="preserve">Voor een personeelslid met les- of behandeltaken die tegelijkertijd deels vrijgesteld is van lesgevende of behandeltaken </t>
  </si>
  <si>
    <t xml:space="preserve">voor de uitvoering van specifieke taken geldt ook een ‘dubbele’ berekening. Het gaat hierbij om bijv. een IB-er, een </t>
  </si>
  <si>
    <t>ambulant begeleider, een systeembeheerder en dergelijke die ook les- of behandeltaken heeft.</t>
  </si>
  <si>
    <t xml:space="preserve">2.7 </t>
  </si>
  <si>
    <t xml:space="preserve">In het onderwijs is sprake van veel (kort)-tijdelijke aanstellingen. De berekening van de werktijdfactor is in die situaties </t>
  </si>
  <si>
    <t xml:space="preserve">een complexe zaak doordat nogal gedetailleerd rekening wordt gehouden met diverse uiteenlopende situaties. </t>
  </si>
  <si>
    <t>Met name wordt daarbij ingezoomd op de situaties dat een aanstelling korter dan een maand bedraagt.</t>
  </si>
  <si>
    <t xml:space="preserve">Dat maakt de berekening van die werktijdfactor in dergelijke situaties vaak een buitengewoon lastige klus. </t>
  </si>
  <si>
    <t xml:space="preserve">Daarom is deze berekening afzonderlijk toegevoegd aan de reguliere vaststelling van de werktijdfactor. </t>
  </si>
  <si>
    <t>Gemakshalve is daarbij tevens de salarisberekening van die betreffende maand opgenomen ter kennisneming.</t>
  </si>
  <si>
    <t>Desgewenst kan men die zelf aanpassen.</t>
  </si>
  <si>
    <t>3.</t>
  </si>
  <si>
    <t>Nadere toelichting bij de werkbladen voor zover nog nodig.</t>
  </si>
  <si>
    <t>Desgewenst kunt u het model dus aanpassen, maar kennis van Excel is dan wel vereist</t>
  </si>
  <si>
    <t>Voor reacties op dit programma houden we ons aanbevolen.</t>
  </si>
  <si>
    <t>Werkblad Rooster</t>
  </si>
  <si>
    <t>Er zijn enkele mogelijke roosters ingevuld.</t>
  </si>
  <si>
    <t>Dat betreft zowel het rooster als zodanig als het aantal weken van het schooljaar.</t>
  </si>
  <si>
    <t>Werkblad WTF OP en inzet</t>
  </si>
  <si>
    <t>Tegelijkertijd wordt de werktijdfactor berekend die bij dat rooster hoort.</t>
  </si>
  <si>
    <t>Werkblad WTF Directie en inzet</t>
  </si>
  <si>
    <t>Let op dat het aantal schoolweken voor de directietaken kan verschillen van de schoolweken voor de lesgevende taken.</t>
  </si>
  <si>
    <t>Ook hier kan sprake zijn van compensatie, bijvoorbeeld door het vrijroosteren van een aantal lesgevende ochtenden.</t>
  </si>
  <si>
    <t>Werkblad WTF vrijgesteld personeel en inzet</t>
  </si>
  <si>
    <t>Voor het gebruiksgemak is meteen ook het normsalaris berekend.</t>
  </si>
  <si>
    <t xml:space="preserve">Het recht op BAPO wordt in elk werkblad afzonderlijk berekend en met ingang van de maand dat het recht ontstaat </t>
  </si>
  <si>
    <t>na de 52e resp. 56e verjaardag.</t>
  </si>
  <si>
    <t>dit is zuiver als voorbeeld. Men kan die factor zelf bepalen door het eigen afgesproken percentage in te voeren.</t>
  </si>
  <si>
    <t xml:space="preserve">Zaak van goed werkgeverschap! Bovendien kan zo een leerkracht die dicht bij de 1,00 zit en een volledige groep </t>
  </si>
  <si>
    <t>draait gewoon op 1,00 worden gezet.</t>
  </si>
  <si>
    <t xml:space="preserve">(In een enkel geval kan het zijn dat men iemand in eerste instantie aan wil stellen op bepaalde dagen in de ene </t>
  </si>
  <si>
    <t xml:space="preserve">Er kan ook sprake zijn van een in de tijd wisselende inzet van betrokkene, door wijziging van inzet voor een </t>
  </si>
  <si>
    <t xml:space="preserve">c. is er mede op gericht dat leerlingen kennis hebben van en kennismaken met verschillende achtergronden en </t>
  </si>
  <si>
    <t>culturen van leeftijdgenoten.</t>
  </si>
  <si>
    <t>Formulier Tijdregistratie VO</t>
  </si>
  <si>
    <t>Schooljaar</t>
  </si>
  <si>
    <t>Werktijdfactor</t>
  </si>
  <si>
    <t>deskundigheidsbevordering</t>
  </si>
  <si>
    <t>maandag</t>
  </si>
  <si>
    <t>dinsdag</t>
  </si>
  <si>
    <t>woensdag</t>
  </si>
  <si>
    <t>donderdag</t>
  </si>
  <si>
    <t>vrijdag</t>
  </si>
  <si>
    <t>ochtend</t>
  </si>
  <si>
    <t>middag</t>
  </si>
  <si>
    <t>Omschrijving</t>
  </si>
  <si>
    <t>Deskundigheidsbevordering:</t>
  </si>
  <si>
    <t>Totaal aantal uren:</t>
  </si>
  <si>
    <t>Totaal per week</t>
  </si>
  <si>
    <t>Naam:</t>
  </si>
  <si>
    <t>Functie:</t>
  </si>
  <si>
    <t>Locatie:</t>
  </si>
  <si>
    <t>Niet-lesgebonden (in klokuren)</t>
  </si>
  <si>
    <t>Totaal niet-lesgebonden (in klokuren op jaarbasis)</t>
  </si>
  <si>
    <t>Totaal aantal niet-lesgebonden klokuren:</t>
  </si>
  <si>
    <t>klokuren</t>
  </si>
  <si>
    <t xml:space="preserve">voor- en nawerk </t>
  </si>
  <si>
    <t>rekenfactor</t>
  </si>
  <si>
    <t>Normjaartaak bij fulltime aanstelling:</t>
  </si>
  <si>
    <t>rapportbesprekingen</t>
  </si>
  <si>
    <t>maximaal</t>
  </si>
  <si>
    <t>P. Werknemer</t>
  </si>
  <si>
    <t>Hoofdvestiging</t>
  </si>
  <si>
    <t>BAPO-uren / jr</t>
  </si>
  <si>
    <t>Totaal aantal klokuren lesgevende tijd:</t>
  </si>
  <si>
    <t>52 jr e.o.</t>
  </si>
  <si>
    <t>56 jr e.o.</t>
  </si>
  <si>
    <t>klokuur</t>
  </si>
  <si>
    <t>Leeftijd:</t>
  </si>
  <si>
    <t>Norm maximaal:</t>
  </si>
  <si>
    <t>Lesgebonden</t>
  </si>
  <si>
    <t>Niet-lesgebonden</t>
  </si>
  <si>
    <t>Deskundigheidsbevordering</t>
  </si>
  <si>
    <t>Resultaat tijdregistratie</t>
  </si>
  <si>
    <t>Totaal</t>
  </si>
  <si>
    <t>Geboortedatum:</t>
  </si>
  <si>
    <t>Leeftijd berekend t.o.v.:</t>
  </si>
  <si>
    <t xml:space="preserve"> </t>
  </si>
  <si>
    <t>Onderwijs Ondersteunend personeel</t>
  </si>
  <si>
    <t>Concierge</t>
  </si>
  <si>
    <t xml:space="preserve">Werkweek bedraagt </t>
  </si>
  <si>
    <t>klokuur per week</t>
  </si>
  <si>
    <t>aantal weken:</t>
  </si>
  <si>
    <t>vakantieverlof:</t>
  </si>
  <si>
    <t>50 t/m 54 jaar</t>
  </si>
  <si>
    <t>55 t/m 59 jaar</t>
  </si>
  <si>
    <t>60 jaar en ouder</t>
  </si>
  <si>
    <t>tot 50 jaar</t>
  </si>
  <si>
    <t>aantal uren</t>
  </si>
  <si>
    <t>Omvang werkweek:</t>
  </si>
  <si>
    <t>Totaal in periode</t>
  </si>
  <si>
    <t>Totaal aantal klokuren in periodes:</t>
  </si>
  <si>
    <t>Totaal aantal klokuren periodes lesgebonden BAPO:</t>
  </si>
  <si>
    <t>Rooster 1e periode met aantal weken:</t>
  </si>
  <si>
    <t>Vermindering normjaartaak vanwege leeftijdsuren:</t>
  </si>
  <si>
    <t>Norm voor BAPO:</t>
  </si>
  <si>
    <t>Totaal aantal klokuren BAPO:</t>
  </si>
  <si>
    <t>Totaal aantal klokuren:</t>
  </si>
  <si>
    <t>Rooster 2e periode met aantal weken:</t>
  </si>
  <si>
    <t>Rooster 3e periode met aantal weken:</t>
  </si>
  <si>
    <t>Rooster 4e periode met aantal weken:</t>
  </si>
  <si>
    <t>Normjaartaak voor betrokkene:</t>
  </si>
  <si>
    <t>Roosteruren</t>
  </si>
  <si>
    <t>BAPO</t>
  </si>
  <si>
    <t>Verschil:</t>
  </si>
  <si>
    <t>Normjaartaak van betrokkene:</t>
  </si>
  <si>
    <t>Algemeen</t>
  </si>
  <si>
    <t>Desgewenst kunt u het model dus aanpassen, maar kennis van Excel is dan wel vereist.</t>
  </si>
  <si>
    <t xml:space="preserve">Normjaartaak </t>
  </si>
  <si>
    <t>lesuren</t>
  </si>
  <si>
    <t>Normjaartaak artikel 2.1</t>
  </si>
  <si>
    <t>achteraf verantwording</t>
  </si>
  <si>
    <t>in overleg maximaal 50% persoonlijke scholing en ontwikkeling</t>
  </si>
  <si>
    <t xml:space="preserve">     werknemer</t>
  </si>
  <si>
    <t xml:space="preserve">     werkgever</t>
  </si>
  <si>
    <t>taakbeleid</t>
  </si>
  <si>
    <t>Aantal weken schooljaar</t>
  </si>
  <si>
    <t>Rooster per week</t>
  </si>
  <si>
    <t>Ochtend</t>
  </si>
  <si>
    <t>Middag</t>
  </si>
  <si>
    <t>Totaal per schooljaar</t>
  </si>
  <si>
    <t>Rooster betrokken leerkracht</t>
  </si>
  <si>
    <t>Berekende werktijdfactor betrokken leerkracht</t>
  </si>
  <si>
    <t>Aantal weken schooljaar:</t>
  </si>
  <si>
    <t>Gespaarde uren BAPO</t>
  </si>
  <si>
    <t>lesgebonden uren</t>
  </si>
  <si>
    <t>Totaal aantal uren ingezet in rooster</t>
  </si>
  <si>
    <t>'Over'</t>
  </si>
  <si>
    <t>Recht op BAPO</t>
  </si>
  <si>
    <t>maanden</t>
  </si>
  <si>
    <t>Start in dit schooljaar:</t>
  </si>
  <si>
    <t>Recht op BAPO vanaf</t>
  </si>
  <si>
    <t>Toename start dit schooljaar:</t>
  </si>
  <si>
    <t>Vanaf maand</t>
  </si>
  <si>
    <t>Toekenning werktijdfactor betrokken leerkracht</t>
  </si>
  <si>
    <t>Normjaartaak:</t>
  </si>
  <si>
    <t>Groep 1</t>
  </si>
  <si>
    <t>Groep 2</t>
  </si>
  <si>
    <t>Groep 3</t>
  </si>
  <si>
    <t>Groep 4</t>
  </si>
  <si>
    <t>Groep 5</t>
  </si>
  <si>
    <t>Groep 6</t>
  </si>
  <si>
    <t>Groep 7</t>
  </si>
  <si>
    <t>Groep 8</t>
  </si>
  <si>
    <t>Lesrooster 1 met aantal weken:</t>
  </si>
  <si>
    <t>Lesrooster 2 met aantal weken:</t>
  </si>
  <si>
    <t>Lesrooster 3 met aantal weken:</t>
  </si>
  <si>
    <t>Lesrooster 4 met aantal weken:</t>
  </si>
  <si>
    <t>Groep</t>
  </si>
  <si>
    <t>1&amp;2</t>
  </si>
  <si>
    <t>3&amp;4</t>
  </si>
  <si>
    <t>5&amp;8</t>
  </si>
  <si>
    <t>Normjaartaak</t>
  </si>
  <si>
    <t>uur</t>
  </si>
  <si>
    <t>Aantal uren vakantieverlof</t>
  </si>
  <si>
    <t>Rooster werkweek</t>
  </si>
  <si>
    <t>Aantal weken schooljaar voor OOP</t>
  </si>
  <si>
    <t>Berekende werktijdfactor betrokken OOP-er</t>
  </si>
  <si>
    <t>Toekenning werktijdfactor betrokken OOP-er</t>
  </si>
  <si>
    <t>schaal</t>
  </si>
  <si>
    <t>regel</t>
  </si>
  <si>
    <t>Conciërge</t>
  </si>
  <si>
    <t>salaristabellen</t>
  </si>
  <si>
    <t>schaal / regel</t>
  </si>
  <si>
    <t>regels</t>
  </si>
  <si>
    <t>meerh bas DA11</t>
  </si>
  <si>
    <t>meerh bas DA</t>
  </si>
  <si>
    <t>meerh bas DB</t>
  </si>
  <si>
    <t>meerh bas DBuit</t>
  </si>
  <si>
    <t>meerh sbo DB10</t>
  </si>
  <si>
    <t>meerh sbo DB11</t>
  </si>
  <si>
    <t>meerh sbo DC 13</t>
  </si>
  <si>
    <t>meerh sbo DCuit15</t>
  </si>
  <si>
    <t>DA</t>
  </si>
  <si>
    <t>DB</t>
  </si>
  <si>
    <t>DBuit</t>
  </si>
  <si>
    <t>DC</t>
  </si>
  <si>
    <t>DCuit</t>
  </si>
  <si>
    <t>DD</t>
  </si>
  <si>
    <t>DE</t>
  </si>
  <si>
    <t>AA</t>
  </si>
  <si>
    <t>AB</t>
  </si>
  <si>
    <t>AC</t>
  </si>
  <si>
    <t>AD</t>
  </si>
  <si>
    <t>AE</t>
  </si>
  <si>
    <t>LA</t>
  </si>
  <si>
    <t>LB</t>
  </si>
  <si>
    <t>LC</t>
  </si>
  <si>
    <t>LD</t>
  </si>
  <si>
    <t>LE</t>
  </si>
  <si>
    <t>LIOa</t>
  </si>
  <si>
    <t>LIOb</t>
  </si>
  <si>
    <t>ID1</t>
  </si>
  <si>
    <t>ID2</t>
  </si>
  <si>
    <t>ID3</t>
  </si>
  <si>
    <t>Leeftijdsuren</t>
  </si>
  <si>
    <t>salaris &gt;= S8.13</t>
  </si>
  <si>
    <t>regelnummer klopt niet</t>
  </si>
  <si>
    <t>regelnummer klopt</t>
  </si>
  <si>
    <t>vak.verlof a.g.v. effect BAPO (art. 8.5 lid 4)</t>
  </si>
  <si>
    <t>leeftijdsuren</t>
  </si>
  <si>
    <t>60+ uren</t>
  </si>
  <si>
    <t>Norm BAPO-verlof</t>
  </si>
  <si>
    <t>Toename BAPO voor 56+</t>
  </si>
  <si>
    <t>aantal maanden dat schooljaar</t>
  </si>
  <si>
    <t>Norm maximaal dit schooljaar:</t>
  </si>
  <si>
    <t>Voor komende schoolja(a)r(en) ?</t>
  </si>
  <si>
    <t xml:space="preserve">Opname BAPO-uren / jr    </t>
  </si>
  <si>
    <t>Rooster 1 met aantal weken:</t>
  </si>
  <si>
    <t>Totaal aantal klokuren periodes BAPO:</t>
  </si>
  <si>
    <t>Uren conform rooster</t>
  </si>
  <si>
    <t>BAPO-uren</t>
  </si>
  <si>
    <t>Bepaling Werktijdfactor Directie</t>
  </si>
  <si>
    <t>Adjunct-directeur</t>
  </si>
  <si>
    <t>Aantal weken schooljaar voor directie</t>
  </si>
  <si>
    <t>Toekenning werktijdfactor betrokken directielid</t>
  </si>
  <si>
    <t>Invulling lesgevende taken</t>
  </si>
  <si>
    <t>Berekende werktijdfactor lesgeven directielid</t>
  </si>
  <si>
    <t>Berekende werktijdfactor directietaken</t>
  </si>
  <si>
    <t>Berekende werktijdfactor directielid totaal</t>
  </si>
  <si>
    <t>Inzet Directielid</t>
  </si>
  <si>
    <t>Directietaken</t>
  </si>
  <si>
    <t>klokuren:</t>
  </si>
  <si>
    <t>Totaal aantal klokuren D-taken:</t>
  </si>
  <si>
    <t>leerkracht</t>
  </si>
  <si>
    <t>Uren mbt L-taak</t>
  </si>
  <si>
    <t>Lesgevende taken</t>
  </si>
  <si>
    <t>Maand</t>
  </si>
  <si>
    <t>dagen</t>
  </si>
  <si>
    <t>januari</t>
  </si>
  <si>
    <t>februari</t>
  </si>
  <si>
    <t>maart</t>
  </si>
  <si>
    <t>april</t>
  </si>
  <si>
    <t>mei</t>
  </si>
  <si>
    <t>juni</t>
  </si>
  <si>
    <t>juli</t>
  </si>
  <si>
    <t>augustus</t>
  </si>
  <si>
    <t>september</t>
  </si>
  <si>
    <t>oktober</t>
  </si>
  <si>
    <t>november</t>
  </si>
  <si>
    <t>december</t>
  </si>
  <si>
    <t>schrikkeljaar</t>
  </si>
  <si>
    <t>totaal</t>
  </si>
  <si>
    <t>Werktijdfactor betreffende maand</t>
  </si>
  <si>
    <t>Aantal dagen betreffende maand</t>
  </si>
  <si>
    <t>:</t>
  </si>
  <si>
    <t>Gegevens werknemer:</t>
  </si>
  <si>
    <t>Salarisberekening betreffende maand:</t>
  </si>
  <si>
    <t>P.Werknemer</t>
  </si>
  <si>
    <t>opgave regelnummer onjuist</t>
  </si>
  <si>
    <t>q</t>
  </si>
  <si>
    <t>r</t>
  </si>
  <si>
    <t>aantal uren niet volledige kalenderweek</t>
  </si>
  <si>
    <t>aantal volledige kalenderweken betreffende maand</t>
  </si>
  <si>
    <t xml:space="preserve"> - aantal lesgevende uren</t>
  </si>
  <si>
    <t>weken</t>
  </si>
  <si>
    <t>w</t>
  </si>
  <si>
    <t xml:space="preserve">werktijdfactor werknemer </t>
  </si>
  <si>
    <t>effectieve werktijdfactor (delen door 36,86 uur)</t>
  </si>
  <si>
    <t xml:space="preserve"> - inclusief niet-lesgevende taken:</t>
  </si>
  <si>
    <t>W</t>
  </si>
  <si>
    <t>Effectieve WTF betreffende maand</t>
  </si>
  <si>
    <t>Maandsalaris gedeeld door aantal dagen betreffende maand</t>
  </si>
  <si>
    <t>Werktijdfactor betreffende maand: W</t>
  </si>
  <si>
    <t>dag</t>
  </si>
  <si>
    <t>onderwijs structureel alleen in ochtend</t>
  </si>
  <si>
    <t xml:space="preserve">effectieve werktijdfactor </t>
  </si>
  <si>
    <t>uren lesgevende tijd</t>
  </si>
  <si>
    <t>alle uren korter dan een ochtend of korter dan een middag</t>
  </si>
  <si>
    <t>1.</t>
  </si>
  <si>
    <t>Uitgangspunten</t>
  </si>
  <si>
    <t>2.</t>
  </si>
  <si>
    <t>Globale uitwerking</t>
  </si>
  <si>
    <t>Vervolgens wordt het rooster ingevuld dat op betreffende leerkracht van toepassing is.</t>
  </si>
  <si>
    <t>Bijlagen:</t>
  </si>
  <si>
    <t>WPO Artikel 8. Uitgangspunten en doelstelling onderwijs</t>
  </si>
  <si>
    <t>a. gaat er mede van uit dat leerlingen opgroeien in een pluriforme samenleving,</t>
  </si>
  <si>
    <t>b. is mede gericht op het bevorderen van actief burgerschap en sociale integratie, en</t>
  </si>
  <si>
    <t>a. de leerlingen in beginsel binnen een tijdvak van 8 aaneensluitende schooljaren de school kunnen doorlopen;</t>
  </si>
  <si>
    <t>ROOSTER VAN DE SCHOOL</t>
  </si>
  <si>
    <t>De hier gegeven roosters zijn voorbeelden die aangepast kunnen worden.</t>
  </si>
  <si>
    <t>-</t>
  </si>
  <si>
    <t>Werkzaam in kader rooster groep</t>
  </si>
  <si>
    <t>Leeftijd</t>
  </si>
  <si>
    <t>opmerking</t>
  </si>
  <si>
    <t>Uitgangspunt is dat de werktijdfactor van twee parttimers die samen onderwijs in een onderbouwgroep geven, normaal gesproken 1,00 bedraagt.</t>
  </si>
  <si>
    <t>tot lesgeb.</t>
  </si>
  <si>
    <t>INZET PERSONEELSLID ONDERWIJZEND PERSONEEL</t>
  </si>
  <si>
    <t>Geboortedatum</t>
  </si>
  <si>
    <t>Werkzaam in kader rooster, groep</t>
  </si>
  <si>
    <t>A. Algemeen</t>
  </si>
  <si>
    <t>B. Korttijdelijke aanstelling</t>
  </si>
  <si>
    <t>1. Aanstelling 6 maanden of korter</t>
  </si>
  <si>
    <t>2. Tijdelijke uitbreiding m.b.t. niet volledige maand</t>
  </si>
  <si>
    <t>3.a Salaris bij kortdurende vervanging</t>
  </si>
  <si>
    <t>3.b Salaris bij kortdurende vervanging</t>
  </si>
  <si>
    <t xml:space="preserve">Naam </t>
  </si>
  <si>
    <t>Schaal</t>
  </si>
  <si>
    <t xml:space="preserve">Regel </t>
  </si>
  <si>
    <t>Bij 1 en 2: Omvang niet-lesgevende taak t.o.v. lesgevende taak</t>
  </si>
  <si>
    <t>Aantal effectieve weken schooljaar</t>
  </si>
  <si>
    <r>
      <t xml:space="preserve">De keuze van het rooster is aan de school. Het betreft het </t>
    </r>
    <r>
      <rPr>
        <i/>
        <u/>
        <sz val="10"/>
        <rFont val="Arial"/>
        <family val="2"/>
      </rPr>
      <t>reguliere</t>
    </r>
    <r>
      <rPr>
        <i/>
        <sz val="10"/>
        <rFont val="Arial"/>
        <family val="2"/>
      </rPr>
      <t xml:space="preserve"> weekrooster van de school.</t>
    </r>
  </si>
  <si>
    <t xml:space="preserve">Opname BAPO-uren </t>
  </si>
  <si>
    <t>bapo desk bev</t>
  </si>
  <si>
    <t>bapo niet lesg</t>
  </si>
  <si>
    <t>Met BAPO</t>
  </si>
  <si>
    <t xml:space="preserve">(Norm)jaartaak </t>
  </si>
  <si>
    <t>Jaartaak minus opgenomen BAPO</t>
  </si>
  <si>
    <t>norm zonder BAPO</t>
  </si>
  <si>
    <t>norm met BAPO</t>
  </si>
  <si>
    <t>BAPO zonder lesgebonden deel</t>
  </si>
  <si>
    <t>Keuze invulling aantal uren per week:</t>
  </si>
  <si>
    <t>zonder bapo</t>
  </si>
  <si>
    <t>met bapo</t>
  </si>
  <si>
    <t>overige uren jaartaak</t>
  </si>
  <si>
    <t>Jaartaak incl BAPO voor betrokkene:</t>
  </si>
  <si>
    <t>Rooster 2 met aantal weken:</t>
  </si>
  <si>
    <t>Rooster 3 met aantal weken:</t>
  </si>
  <si>
    <t>Rooster 4 met aantal weken:</t>
  </si>
  <si>
    <t>Lesrooster betrokken directielid</t>
  </si>
  <si>
    <t>Lesrooster betrokkene</t>
  </si>
  <si>
    <t>Invulling van taken in plaats van lesgebonden taken:</t>
  </si>
  <si>
    <t>Inzet personeelslid deels vrijgesteld van lestaken</t>
  </si>
  <si>
    <t>Geen lestaken</t>
  </si>
  <si>
    <t>Normen bij 3.a en 3.b uit CAO art. 6.31 lid 1:</t>
  </si>
  <si>
    <t>onderwijs struct. alleen in ochtend</t>
  </si>
  <si>
    <t>week (5O+4M)</t>
  </si>
  <si>
    <t>week (5O+3M)</t>
  </si>
  <si>
    <t>normjaartaak over 45 weken:</t>
  </si>
  <si>
    <t>School</t>
  </si>
  <si>
    <t xml:space="preserve">Bij de inzet van personeelsleden zoals dat hierna in de verschillende werkbladen aan de orde komt, is het nog nodig </t>
  </si>
  <si>
    <t>afzonderlijk stil te staan bij de bepaling van de omvang van de deskundigheidsbevordering.</t>
  </si>
  <si>
    <t xml:space="preserve">In de CAO is opgenomen dat het hierbij gaat om 10% van de jaartaak, maar er is niet duidelijk aangegeven over welk </t>
  </si>
  <si>
    <t>Recht op BAPO/60+reg</t>
  </si>
  <si>
    <t>max BAPO</t>
  </si>
  <si>
    <t>Aantal weken schooljaar voor vrijgestelde</t>
  </si>
  <si>
    <t>Berekende werktijdfactor vrijgestelde taken</t>
  </si>
  <si>
    <t>Berekende werktijdfactor lesgevende taken</t>
  </si>
  <si>
    <t>Berekende werktijdfactor vrijgestelde totaal</t>
  </si>
  <si>
    <t>Totaal aantal klokuren vrijgestelde taken:</t>
  </si>
  <si>
    <t>werknemer, belang organisatie</t>
  </si>
  <si>
    <t>werknemer, belang werknemer</t>
  </si>
  <si>
    <t>compensatie</t>
  </si>
  <si>
    <t>teamvergaderingen</t>
  </si>
  <si>
    <t>(desk bev 2 u)</t>
  </si>
  <si>
    <t>project achterstandsbeleid (taal)</t>
  </si>
  <si>
    <t>coaching LIO-ers</t>
  </si>
  <si>
    <t>schooljaren</t>
  </si>
  <si>
    <t>2013-2014</t>
  </si>
  <si>
    <t>2014-2015</t>
  </si>
  <si>
    <t>2015-2016</t>
  </si>
  <si>
    <t>Handleiding bij Werktijdfactor PO 13-14 vs 2jun2013</t>
  </si>
  <si>
    <t xml:space="preserve">Sinds de CAO PO 2006-2008 is de ADV vervallen en vervangen door het begrip compensatieverlof. Daardoor is het nu </t>
  </si>
  <si>
    <t xml:space="preserve">te leggen. Ook uit diverse reacties van degenen die werkten met versies van het instrument kwam regelmatig </t>
  </si>
  <si>
    <t>2016-2017</t>
  </si>
  <si>
    <r>
      <t xml:space="preserve">Bepaling Werktijdfactor OBP </t>
    </r>
    <r>
      <rPr>
        <b/>
        <u/>
        <sz val="14"/>
        <rFont val="Arial"/>
        <family val="2"/>
      </rPr>
      <t>zonder</t>
    </r>
    <r>
      <rPr>
        <b/>
        <sz val="14"/>
        <rFont val="Arial"/>
        <family val="2"/>
      </rPr>
      <t xml:space="preserve"> les- en/of behandeltaken</t>
    </r>
  </si>
  <si>
    <t>Inzet personeelslid OBP</t>
  </si>
  <si>
    <t>OP-er of OBP-er met lesgebonden taak en vrijgestelde taken</t>
  </si>
  <si>
    <r>
      <t xml:space="preserve">Bepaling werktijdfactor OP en OBP </t>
    </r>
    <r>
      <rPr>
        <b/>
        <u/>
        <sz val="14"/>
        <rFont val="Arial"/>
        <family val="2"/>
      </rPr>
      <t>met</t>
    </r>
    <r>
      <rPr>
        <b/>
        <sz val="14"/>
        <rFont val="Arial"/>
        <family val="2"/>
      </rPr>
      <t xml:space="preserve"> les- en/of behandeltaken</t>
    </r>
  </si>
  <si>
    <t xml:space="preserve">In deze versie wordt de CAO PO 2013 gevolgd en het Kaderbesluit rechtspositie WPO/WEC. </t>
  </si>
  <si>
    <t>Daardoor is er nu sprake van ondersteunend en beheerspersoneel (OBP) en zijn de schalen 15 en 16 toegevoegd.</t>
  </si>
  <si>
    <t xml:space="preserve">Het berekenen van de werktijdfactor gaat voor het OP (en daarmee gelijk te stellen OBP met lesgebonden- en/of </t>
  </si>
  <si>
    <t>nauwgezet gevolgd. Ook bij de complexe berekening ervan voor het OBP waar leeftijdsuren bovendien ook een rol spelen.</t>
  </si>
  <si>
    <t xml:space="preserve">De doorwerking van het aantal opgenomen BAPO-uren in de omvang van het vakantieverlof bij het OBP speelt geen </t>
  </si>
  <si>
    <r>
      <t>2.3</t>
    </r>
    <r>
      <rPr>
        <b/>
        <sz val="10"/>
        <rFont val="Times New Roman"/>
        <family val="1"/>
      </rPr>
      <t xml:space="preserve">              </t>
    </r>
    <r>
      <rPr>
        <b/>
        <sz val="10"/>
        <rFont val="Arial"/>
        <family val="2"/>
      </rPr>
      <t>Inzet personeelslid OP en OBP met lesgebonden- en/of behandeltaken</t>
    </r>
  </si>
  <si>
    <t>Inzet personeelslid OBP zonder lesgebonden- en/of behandeltaken</t>
  </si>
  <si>
    <t>In dit onderdeel wordt uitwerking gegeven aan de inzet van een OBP-er nadat de WTF is vastgesteld.</t>
  </si>
  <si>
    <t>Voor vragen en reacties kan men bij de helpdesk van VOS/ABB terecht.</t>
  </si>
  <si>
    <t>of een andere besturenorganisatie resp. managementorganisatie.</t>
  </si>
  <si>
    <t>NB: Als men niet lid is van VOS/ABB dient men voor vragen zich te wenden tot de (Helpdesk van de) PO-Raad</t>
  </si>
  <si>
    <t xml:space="preserve">De gegevens van de leerkracht of OBP-er met les- of behandeltaken worden ingevoerd die van belang zijn voor de </t>
  </si>
  <si>
    <t>Werkblad WTF OBP en inzet</t>
  </si>
  <si>
    <t>Formulier Tijdregistratie PO</t>
  </si>
  <si>
    <t>Onderwijsondersteunend en BeheersPersoneel (OBP)</t>
  </si>
</sst>
</file>

<file path=xl/styles.xml><?xml version="1.0" encoding="utf-8"?>
<styleSheet xmlns="http://schemas.openxmlformats.org/spreadsheetml/2006/main">
  <numFmts count="8">
    <numFmt numFmtId="44" formatCode="_-&quot;€&quot;\ * #,##0.00_-;_-&quot;€&quot;\ * #,##0.00\-;_-&quot;€&quot;\ * &quot;-&quot;??_-;_-@_-"/>
    <numFmt numFmtId="164" formatCode="0.0000"/>
    <numFmt numFmtId="165" formatCode="dd/mmm/yy"/>
    <numFmt numFmtId="166" formatCode="dd/mm/yy"/>
    <numFmt numFmtId="167" formatCode="d/m"/>
    <numFmt numFmtId="168" formatCode="d/mm/yy"/>
    <numFmt numFmtId="169" formatCode="0.0"/>
    <numFmt numFmtId="170" formatCode="0.000%"/>
  </numFmts>
  <fonts count="40">
    <font>
      <sz val="10"/>
      <name val="Arial"/>
    </font>
    <font>
      <sz val="10"/>
      <name val="Arial"/>
    </font>
    <font>
      <b/>
      <sz val="10"/>
      <name val="Arial"/>
      <family val="2"/>
    </font>
    <font>
      <sz val="10"/>
      <color indexed="9"/>
      <name val="Arial"/>
      <family val="2"/>
    </font>
    <font>
      <sz val="10"/>
      <color indexed="12"/>
      <name val="Arial"/>
      <family val="2"/>
    </font>
    <font>
      <sz val="10"/>
      <name val="Arial"/>
      <family val="2"/>
    </font>
    <font>
      <sz val="8"/>
      <color indexed="81"/>
      <name val="Tahoma"/>
      <family val="2"/>
    </font>
    <font>
      <i/>
      <sz val="10"/>
      <name val="Arial"/>
      <family val="2"/>
    </font>
    <font>
      <b/>
      <sz val="11"/>
      <name val="Arial"/>
      <family val="2"/>
    </font>
    <font>
      <b/>
      <sz val="8"/>
      <color indexed="81"/>
      <name val="Tahoma"/>
      <family val="2"/>
    </font>
    <font>
      <b/>
      <sz val="9"/>
      <color indexed="81"/>
      <name val="Tahoma"/>
      <family val="2"/>
    </font>
    <font>
      <b/>
      <sz val="8"/>
      <name val="Arial"/>
      <family val="2"/>
    </font>
    <font>
      <sz val="8"/>
      <name val="Arial"/>
      <family val="2"/>
    </font>
    <font>
      <sz val="9"/>
      <color indexed="81"/>
      <name val="Tahoma"/>
      <family val="2"/>
    </font>
    <font>
      <sz val="10"/>
      <name val="Arial"/>
    </font>
    <font>
      <b/>
      <sz val="10"/>
      <name val="Times New Roman"/>
      <family val="1"/>
    </font>
    <font>
      <u/>
      <sz val="10"/>
      <name val="Arial"/>
      <family val="2"/>
    </font>
    <font>
      <sz val="10"/>
      <name val="Arial"/>
    </font>
    <font>
      <b/>
      <sz val="8"/>
      <color indexed="81"/>
      <name val="Tahoma"/>
    </font>
    <font>
      <b/>
      <u/>
      <sz val="9"/>
      <color indexed="81"/>
      <name val="Tahoma"/>
      <family val="2"/>
    </font>
    <font>
      <u/>
      <sz val="10"/>
      <color indexed="12"/>
      <name val="Arial"/>
    </font>
    <font>
      <u/>
      <sz val="10"/>
      <name val="Arial"/>
    </font>
    <font>
      <sz val="10"/>
      <name val="Arial"/>
    </font>
    <font>
      <sz val="14"/>
      <name val="Arial"/>
      <family val="2"/>
    </font>
    <font>
      <b/>
      <sz val="14"/>
      <name val="Arial"/>
      <family val="2"/>
    </font>
    <font>
      <b/>
      <i/>
      <sz val="10"/>
      <name val="Arial"/>
      <family val="2"/>
    </font>
    <font>
      <i/>
      <sz val="12"/>
      <name val="Arial"/>
      <family val="2"/>
    </font>
    <font>
      <b/>
      <i/>
      <sz val="12"/>
      <name val="Arial"/>
      <family val="2"/>
    </font>
    <font>
      <i/>
      <sz val="14"/>
      <name val="Arial"/>
      <family val="2"/>
    </font>
    <font>
      <i/>
      <u/>
      <sz val="10"/>
      <name val="Arial"/>
      <family val="2"/>
    </font>
    <font>
      <i/>
      <sz val="10"/>
      <color indexed="47"/>
      <name val="Arial"/>
      <family val="2"/>
    </font>
    <font>
      <sz val="10"/>
      <color indexed="47"/>
      <name val="Arial"/>
      <family val="2"/>
    </font>
    <font>
      <b/>
      <sz val="10"/>
      <color indexed="47"/>
      <name val="Arial"/>
      <family val="2"/>
    </font>
    <font>
      <sz val="9"/>
      <name val="Arial"/>
      <family val="2"/>
    </font>
    <font>
      <b/>
      <sz val="12"/>
      <name val="Arial"/>
      <family val="2"/>
    </font>
    <font>
      <b/>
      <u/>
      <sz val="14"/>
      <name val="Arial"/>
      <family val="2"/>
    </font>
    <font>
      <sz val="10"/>
      <color indexed="22"/>
      <name val="Arial"/>
      <family val="2"/>
    </font>
    <font>
      <u/>
      <sz val="8"/>
      <color indexed="81"/>
      <name val="Tahoma"/>
      <family val="2"/>
    </font>
    <font>
      <b/>
      <sz val="10"/>
      <color indexed="22"/>
      <name val="Arial"/>
      <family val="2"/>
    </font>
    <font>
      <sz val="8"/>
      <color indexed="8"/>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300">
    <xf numFmtId="0" fontId="0" fillId="0" borderId="0" xfId="0"/>
    <xf numFmtId="0" fontId="2" fillId="0" borderId="0" xfId="0" applyFont="1"/>
    <xf numFmtId="0" fontId="0" fillId="2" borderId="1" xfId="0" applyFill="1" applyBorder="1" applyProtection="1">
      <protection locked="0"/>
    </xf>
    <xf numFmtId="164" fontId="0" fillId="2" borderId="1" xfId="0" applyNumberFormat="1" applyFill="1" applyBorder="1" applyProtection="1">
      <protection locked="0"/>
    </xf>
    <xf numFmtId="0" fontId="0" fillId="0" borderId="1" xfId="0" applyFill="1" applyBorder="1" applyAlignment="1" applyProtection="1"/>
    <xf numFmtId="14" fontId="0" fillId="2" borderId="1" xfId="0" applyNumberFormat="1" applyFill="1" applyBorder="1" applyProtection="1">
      <protection locked="0"/>
    </xf>
    <xf numFmtId="0" fontId="2" fillId="0" borderId="0" xfId="0" applyFont="1" applyProtection="1"/>
    <xf numFmtId="0" fontId="0" fillId="0" borderId="0" xfId="0" applyProtection="1"/>
    <xf numFmtId="0" fontId="2" fillId="0" borderId="2" xfId="0" applyFont="1" applyBorder="1" applyProtection="1"/>
    <xf numFmtId="0" fontId="2" fillId="0" borderId="3" xfId="0" applyFont="1" applyBorder="1" applyProtection="1"/>
    <xf numFmtId="1" fontId="2" fillId="0" borderId="4" xfId="0" applyNumberFormat="1" applyFont="1" applyBorder="1" applyProtection="1"/>
    <xf numFmtId="0" fontId="2" fillId="0" borderId="5" xfId="0" applyFont="1" applyBorder="1" applyProtection="1"/>
    <xf numFmtId="0" fontId="2" fillId="0" borderId="0" xfId="0" applyFont="1" applyBorder="1" applyProtection="1"/>
    <xf numFmtId="1" fontId="2" fillId="0" borderId="6" xfId="0" applyNumberFormat="1" applyFont="1" applyBorder="1" applyProtection="1"/>
    <xf numFmtId="0" fontId="0" fillId="0" borderId="0" xfId="0" applyAlignment="1" applyProtection="1">
      <alignment horizontal="right"/>
    </xf>
    <xf numFmtId="0" fontId="0" fillId="0" borderId="7" xfId="0" applyFill="1" applyBorder="1" applyAlignment="1" applyProtection="1"/>
    <xf numFmtId="0" fontId="2" fillId="0" borderId="8" xfId="0" applyFont="1" applyBorder="1" applyProtection="1"/>
    <xf numFmtId="0" fontId="2" fillId="0" borderId="9" xfId="0" applyFont="1" applyBorder="1" applyProtection="1"/>
    <xf numFmtId="1" fontId="2" fillId="0" borderId="10" xfId="0" applyNumberFormat="1" applyFont="1" applyBorder="1" applyProtection="1"/>
    <xf numFmtId="0" fontId="0" fillId="0" borderId="0" xfId="0" applyFill="1" applyBorder="1" applyAlignment="1" applyProtection="1"/>
    <xf numFmtId="14" fontId="2" fillId="0" borderId="0" xfId="0" applyNumberFormat="1" applyFont="1" applyProtection="1"/>
    <xf numFmtId="0" fontId="3" fillId="0" borderId="0" xfId="0" applyFont="1" applyProtection="1"/>
    <xf numFmtId="1" fontId="2" fillId="0" borderId="0" xfId="0" applyNumberFormat="1" applyFont="1" applyProtection="1"/>
    <xf numFmtId="0" fontId="0" fillId="0" borderId="11" xfId="0" applyBorder="1" applyProtection="1"/>
    <xf numFmtId="0" fontId="0" fillId="0" borderId="12" xfId="0" applyBorder="1" applyProtection="1"/>
    <xf numFmtId="169" fontId="0" fillId="0" borderId="12" xfId="0" applyNumberFormat="1" applyBorder="1" applyProtection="1"/>
    <xf numFmtId="0" fontId="0" fillId="0" borderId="13" xfId="0" applyBorder="1" applyProtection="1"/>
    <xf numFmtId="0" fontId="0" fillId="0" borderId="14" xfId="0" applyBorder="1" applyProtection="1"/>
    <xf numFmtId="0" fontId="0" fillId="0" borderId="0" xfId="0" applyBorder="1" applyProtection="1"/>
    <xf numFmtId="169" fontId="0" fillId="0" borderId="0" xfId="0" applyNumberFormat="1" applyBorder="1" applyProtection="1"/>
    <xf numFmtId="0" fontId="0" fillId="0" borderId="15" xfId="0" applyBorder="1" applyProtection="1"/>
    <xf numFmtId="0" fontId="0" fillId="0" borderId="16" xfId="0" applyBorder="1" applyProtection="1"/>
    <xf numFmtId="0" fontId="0" fillId="0" borderId="17" xfId="0" applyBorder="1" applyProtection="1"/>
    <xf numFmtId="169" fontId="0" fillId="0" borderId="17" xfId="0" applyNumberFormat="1" applyBorder="1" applyProtection="1"/>
    <xf numFmtId="0" fontId="0" fillId="0" borderId="18" xfId="0" applyBorder="1" applyProtection="1"/>
    <xf numFmtId="0" fontId="3" fillId="0" borderId="0" xfId="0" applyFont="1" applyBorder="1" applyProtection="1"/>
    <xf numFmtId="0" fontId="3" fillId="0" borderId="17" xfId="0" applyFont="1" applyBorder="1" applyProtection="1"/>
    <xf numFmtId="0" fontId="5" fillId="0" borderId="11" xfId="0" applyFont="1" applyBorder="1" applyProtection="1"/>
    <xf numFmtId="0" fontId="5" fillId="0" borderId="12" xfId="0" applyFont="1" applyBorder="1" applyProtection="1"/>
    <xf numFmtId="0" fontId="5" fillId="0" borderId="13" xfId="0" applyFont="1" applyBorder="1" applyProtection="1"/>
    <xf numFmtId="0" fontId="4" fillId="0" borderId="0" xfId="0" applyFont="1" applyBorder="1" applyProtection="1"/>
    <xf numFmtId="0" fontId="5" fillId="0" borderId="14" xfId="0" applyFont="1" applyBorder="1" applyProtection="1"/>
    <xf numFmtId="0" fontId="5" fillId="0" borderId="0" xfId="0" applyFont="1" applyBorder="1" applyProtection="1"/>
    <xf numFmtId="0" fontId="5" fillId="0" borderId="15" xfId="0" applyFont="1" applyBorder="1" applyProtection="1"/>
    <xf numFmtId="0" fontId="5" fillId="0" borderId="16" xfId="0" applyFont="1" applyBorder="1" applyProtection="1"/>
    <xf numFmtId="0" fontId="5" fillId="0" borderId="17" xfId="0" applyFont="1" applyBorder="1" applyProtection="1"/>
    <xf numFmtId="0" fontId="5" fillId="0" borderId="18" xfId="0" applyFont="1" applyBorder="1" applyProtection="1"/>
    <xf numFmtId="0" fontId="5" fillId="0" borderId="0" xfId="0" applyFont="1" applyFill="1" applyBorder="1" applyProtection="1"/>
    <xf numFmtId="1" fontId="0" fillId="0" borderId="0" xfId="0" applyNumberFormat="1" applyProtection="1"/>
    <xf numFmtId="0" fontId="7" fillId="0" borderId="0" xfId="0" applyFont="1" applyProtection="1"/>
    <xf numFmtId="1" fontId="7" fillId="0" borderId="0" xfId="0" applyNumberFormat="1" applyFont="1" applyProtection="1"/>
    <xf numFmtId="0" fontId="2" fillId="0" borderId="0" xfId="0" applyFont="1" applyAlignment="1" applyProtection="1">
      <alignment horizontal="right"/>
    </xf>
    <xf numFmtId="0" fontId="0" fillId="0" borderId="0" xfId="0" applyAlignment="1">
      <alignment horizontal="right"/>
    </xf>
    <xf numFmtId="0" fontId="0" fillId="0" borderId="0" xfId="0" applyAlignment="1">
      <alignment horizontal="left"/>
    </xf>
    <xf numFmtId="9" fontId="0" fillId="2" borderId="0" xfId="0" applyNumberFormat="1" applyFill="1" applyAlignment="1">
      <alignment horizontal="right"/>
    </xf>
    <xf numFmtId="0" fontId="5" fillId="0" borderId="0" xfId="0" applyFont="1" applyProtection="1"/>
    <xf numFmtId="0" fontId="11" fillId="0" borderId="0" xfId="0" applyFont="1" applyProtection="1"/>
    <xf numFmtId="168" fontId="12" fillId="2" borderId="0" xfId="0" applyNumberFormat="1" applyFont="1" applyFill="1" applyProtection="1">
      <protection locked="0"/>
    </xf>
    <xf numFmtId="0" fontId="12" fillId="0" borderId="0" xfId="0" applyFont="1" applyProtection="1"/>
    <xf numFmtId="0" fontId="12" fillId="0" borderId="0" xfId="0" applyFont="1" applyFill="1" applyProtection="1"/>
    <xf numFmtId="0" fontId="12" fillId="0" borderId="0" xfId="0" applyNumberFormat="1" applyFont="1" applyProtection="1"/>
    <xf numFmtId="1" fontId="12" fillId="0" borderId="0" xfId="0" applyNumberFormat="1" applyFont="1" applyAlignment="1" applyProtection="1">
      <alignment horizontal="right"/>
    </xf>
    <xf numFmtId="0" fontId="12" fillId="0" borderId="0" xfId="0" applyFont="1" applyAlignment="1" applyProtection="1">
      <alignment horizontal="right"/>
    </xf>
    <xf numFmtId="3" fontId="12" fillId="2" borderId="0" xfId="0" applyNumberFormat="1" applyFont="1" applyFill="1" applyBorder="1" applyAlignment="1" applyProtection="1">
      <alignment horizontal="right"/>
      <protection locked="0"/>
    </xf>
    <xf numFmtId="49" fontId="12" fillId="0" borderId="0" xfId="0" applyNumberFormat="1" applyFont="1" applyAlignment="1" applyProtection="1">
      <alignment horizontal="right"/>
    </xf>
    <xf numFmtId="170" fontId="0" fillId="0" borderId="0" xfId="0" applyNumberFormat="1" applyProtection="1"/>
    <xf numFmtId="0" fontId="2" fillId="0" borderId="0" xfId="0" applyFont="1" applyAlignment="1">
      <alignment horizontal="right"/>
    </xf>
    <xf numFmtId="0" fontId="2" fillId="3" borderId="0" xfId="0" applyFont="1" applyFill="1" applyBorder="1" applyProtection="1"/>
    <xf numFmtId="0" fontId="23" fillId="3" borderId="0" xfId="0" applyFont="1" applyFill="1" applyBorder="1" applyProtection="1"/>
    <xf numFmtId="0" fontId="24" fillId="3" borderId="0" xfId="0" applyFont="1" applyFill="1" applyBorder="1" applyProtection="1"/>
    <xf numFmtId="0" fontId="8" fillId="3" borderId="0" xfId="0" applyFont="1" applyFill="1" applyBorder="1" applyProtection="1"/>
    <xf numFmtId="0" fontId="5" fillId="3" borderId="0" xfId="0" applyFont="1" applyFill="1" applyBorder="1" applyProtection="1"/>
    <xf numFmtId="0" fontId="23" fillId="3" borderId="0" xfId="0" applyFont="1" applyFill="1" applyBorder="1" applyAlignment="1" applyProtection="1">
      <alignment horizontal="center"/>
    </xf>
    <xf numFmtId="0" fontId="23" fillId="3" borderId="19" xfId="0" applyFont="1" applyFill="1" applyBorder="1" applyProtection="1"/>
    <xf numFmtId="0" fontId="23" fillId="3" borderId="20" xfId="0" applyFont="1" applyFill="1" applyBorder="1" applyProtection="1"/>
    <xf numFmtId="0" fontId="5" fillId="3" borderId="0" xfId="0" applyFont="1" applyFill="1" applyBorder="1" applyAlignment="1" applyProtection="1">
      <alignment horizontal="center"/>
    </xf>
    <xf numFmtId="0" fontId="5" fillId="3" borderId="21" xfId="0" applyFont="1" applyFill="1" applyBorder="1" applyProtection="1"/>
    <xf numFmtId="0" fontId="5" fillId="3" borderId="22" xfId="0" applyFont="1" applyFill="1" applyBorder="1" applyProtection="1"/>
    <xf numFmtId="0" fontId="5" fillId="3" borderId="22" xfId="0" applyFont="1" applyFill="1" applyBorder="1" applyAlignment="1" applyProtection="1">
      <alignment horizontal="center"/>
    </xf>
    <xf numFmtId="0" fontId="5" fillId="3" borderId="23" xfId="0" applyFont="1" applyFill="1" applyBorder="1" applyProtection="1"/>
    <xf numFmtId="0" fontId="5" fillId="3" borderId="19" xfId="0" applyFont="1" applyFill="1" applyBorder="1" applyProtection="1"/>
    <xf numFmtId="0" fontId="5" fillId="3" borderId="20" xfId="0" applyFont="1" applyFill="1" applyBorder="1" applyProtection="1"/>
    <xf numFmtId="1" fontId="5" fillId="3" borderId="0" xfId="0" applyNumberFormat="1" applyFont="1" applyFill="1" applyBorder="1" applyProtection="1"/>
    <xf numFmtId="0" fontId="5" fillId="3" borderId="0" xfId="0" applyFont="1" applyFill="1" applyBorder="1" applyAlignment="1" applyProtection="1">
      <alignment horizontal="center"/>
      <protection locked="0"/>
    </xf>
    <xf numFmtId="2" fontId="5" fillId="3" borderId="0" xfId="0" applyNumberFormat="1" applyFont="1" applyFill="1" applyBorder="1" applyAlignment="1" applyProtection="1">
      <alignment horizontal="center"/>
      <protection locked="0"/>
    </xf>
    <xf numFmtId="0" fontId="5" fillId="3" borderId="0" xfId="0" applyFont="1" applyFill="1" applyBorder="1" applyAlignment="1" applyProtection="1">
      <alignment horizontal="right"/>
    </xf>
    <xf numFmtId="0" fontId="5" fillId="3" borderId="24" xfId="0" applyFont="1" applyFill="1" applyBorder="1" applyProtection="1"/>
    <xf numFmtId="0" fontId="5" fillId="3" borderId="25" xfId="0" applyFont="1" applyFill="1" applyBorder="1" applyProtection="1"/>
    <xf numFmtId="0" fontId="5" fillId="3" borderId="25" xfId="0" applyFont="1" applyFill="1" applyBorder="1" applyAlignment="1" applyProtection="1">
      <alignment horizontal="center"/>
    </xf>
    <xf numFmtId="0" fontId="5" fillId="3" borderId="26" xfId="0" applyFont="1" applyFill="1" applyBorder="1" applyProtection="1"/>
    <xf numFmtId="0" fontId="5" fillId="4" borderId="0" xfId="0" applyFont="1" applyFill="1" applyBorder="1" applyProtection="1"/>
    <xf numFmtId="0" fontId="8" fillId="4" borderId="0" xfId="0" applyFont="1" applyFill="1" applyBorder="1" applyProtection="1"/>
    <xf numFmtId="0" fontId="5" fillId="4" borderId="0" xfId="0" applyFont="1" applyFill="1" applyBorder="1" applyAlignment="1" applyProtection="1">
      <alignment horizontal="center"/>
    </xf>
    <xf numFmtId="0" fontId="2" fillId="4" borderId="0" xfId="0" applyFont="1" applyFill="1" applyBorder="1" applyProtection="1"/>
    <xf numFmtId="0" fontId="5" fillId="4" borderId="0" xfId="0" applyFont="1" applyFill="1" applyBorder="1" applyAlignment="1" applyProtection="1"/>
    <xf numFmtId="0" fontId="2" fillId="4" borderId="0" xfId="0" applyFont="1" applyFill="1" applyBorder="1" applyAlignment="1" applyProtection="1">
      <alignment horizontal="center"/>
    </xf>
    <xf numFmtId="4" fontId="5" fillId="4" borderId="0" xfId="0" applyNumberFormat="1" applyFont="1" applyFill="1" applyBorder="1" applyAlignment="1" applyProtection="1">
      <alignment horizontal="center"/>
    </xf>
    <xf numFmtId="0" fontId="5" fillId="4" borderId="0" xfId="0" applyFont="1" applyFill="1" applyBorder="1" applyAlignment="1" applyProtection="1">
      <alignment horizontal="right"/>
    </xf>
    <xf numFmtId="3" fontId="5" fillId="4" borderId="0" xfId="0" applyNumberFormat="1" applyFont="1" applyFill="1" applyBorder="1" applyAlignment="1" applyProtection="1">
      <alignment horizontal="center"/>
    </xf>
    <xf numFmtId="2" fontId="5" fillId="4" borderId="0" xfId="0" applyNumberFormat="1" applyFont="1" applyFill="1" applyBorder="1" applyAlignment="1" applyProtection="1">
      <alignment horizontal="center"/>
    </xf>
    <xf numFmtId="0" fontId="2" fillId="4" borderId="0" xfId="0" applyFont="1" applyFill="1" applyBorder="1" applyAlignment="1" applyProtection="1">
      <alignment horizontal="left"/>
    </xf>
    <xf numFmtId="0" fontId="5" fillId="5" borderId="0" xfId="0" applyFont="1" applyFill="1" applyBorder="1" applyAlignment="1" applyProtection="1">
      <alignment horizontal="center"/>
    </xf>
    <xf numFmtId="4" fontId="5" fillId="5" borderId="0" xfId="0" applyNumberFormat="1" applyFont="1" applyFill="1" applyBorder="1" applyAlignment="1" applyProtection="1">
      <alignment horizontal="center"/>
    </xf>
    <xf numFmtId="0" fontId="25" fillId="4" borderId="0" xfId="0" applyFont="1" applyFill="1" applyBorder="1" applyAlignment="1" applyProtection="1">
      <alignment horizontal="center"/>
    </xf>
    <xf numFmtId="0" fontId="2" fillId="4" borderId="0" xfId="0" applyFont="1" applyFill="1" applyBorder="1" applyAlignment="1" applyProtection="1">
      <alignment horizontal="right"/>
    </xf>
    <xf numFmtId="4" fontId="2" fillId="5" borderId="0" xfId="0" applyNumberFormat="1" applyFont="1" applyFill="1" applyBorder="1" applyAlignment="1" applyProtection="1">
      <alignment horizontal="center"/>
    </xf>
    <xf numFmtId="3" fontId="2" fillId="5" borderId="0" xfId="0" applyNumberFormat="1" applyFont="1" applyFill="1" applyBorder="1" applyAlignment="1" applyProtection="1">
      <alignment horizontal="center"/>
    </xf>
    <xf numFmtId="0" fontId="2" fillId="5" borderId="0" xfId="0" applyFont="1" applyFill="1" applyBorder="1" applyAlignment="1" applyProtection="1">
      <alignment horizontal="center"/>
    </xf>
    <xf numFmtId="0" fontId="25" fillId="3" borderId="0" xfId="0" applyFont="1" applyFill="1" applyBorder="1" applyProtection="1"/>
    <xf numFmtId="0" fontId="7" fillId="3" borderId="0" xfId="0" applyFont="1" applyFill="1" applyBorder="1" applyProtection="1"/>
    <xf numFmtId="0" fontId="5" fillId="3" borderId="0" xfId="0" quotePrefix="1" applyFont="1" applyFill="1" applyBorder="1" applyProtection="1"/>
    <xf numFmtId="2" fontId="5" fillId="3" borderId="0" xfId="0" applyNumberFormat="1" applyFont="1" applyFill="1" applyBorder="1" applyProtection="1"/>
    <xf numFmtId="0" fontId="5" fillId="3" borderId="0" xfId="0" applyFont="1" applyFill="1" applyBorder="1" applyAlignment="1" applyProtection="1">
      <protection locked="0"/>
    </xf>
    <xf numFmtId="1" fontId="2" fillId="3" borderId="0" xfId="0" applyNumberFormat="1" applyFont="1" applyFill="1" applyBorder="1" applyProtection="1"/>
    <xf numFmtId="0" fontId="5" fillId="3" borderId="0" xfId="0" applyFont="1" applyFill="1" applyBorder="1" applyProtection="1">
      <protection locked="0"/>
    </xf>
    <xf numFmtId="14" fontId="5" fillId="3" borderId="0" xfId="0" applyNumberFormat="1" applyFont="1" applyFill="1" applyBorder="1" applyProtection="1"/>
    <xf numFmtId="1" fontId="2" fillId="3" borderId="20" xfId="0" applyNumberFormat="1" applyFont="1" applyFill="1" applyBorder="1" applyProtection="1"/>
    <xf numFmtId="3" fontId="5" fillId="3" borderId="20" xfId="0" applyNumberFormat="1" applyFont="1" applyFill="1" applyBorder="1" applyProtection="1"/>
    <xf numFmtId="14" fontId="2" fillId="4" borderId="0" xfId="0" applyNumberFormat="1" applyFont="1" applyFill="1" applyBorder="1" applyProtection="1"/>
    <xf numFmtId="1" fontId="2" fillId="4" borderId="0" xfId="0" applyNumberFormat="1" applyFont="1" applyFill="1" applyBorder="1" applyProtection="1"/>
    <xf numFmtId="3" fontId="5" fillId="4" borderId="0" xfId="0" applyNumberFormat="1" applyFont="1" applyFill="1" applyBorder="1" applyProtection="1"/>
    <xf numFmtId="2" fontId="5" fillId="4" borderId="0" xfId="0" applyNumberFormat="1" applyFont="1" applyFill="1" applyBorder="1" applyProtection="1"/>
    <xf numFmtId="0" fontId="7" fillId="4" borderId="0" xfId="0" applyFont="1" applyFill="1" applyBorder="1" applyProtection="1"/>
    <xf numFmtId="0" fontId="5" fillId="3" borderId="0" xfId="0" applyFont="1" applyFill="1" applyBorder="1" applyAlignment="1" applyProtection="1">
      <alignment horizontal="left"/>
      <protection locked="0"/>
    </xf>
    <xf numFmtId="14" fontId="5" fillId="3" borderId="0" xfId="0" applyNumberFormat="1" applyFont="1" applyFill="1" applyBorder="1" applyAlignment="1" applyProtection="1">
      <alignment horizontal="left"/>
      <protection locked="0"/>
    </xf>
    <xf numFmtId="0" fontId="5" fillId="5" borderId="0" xfId="0" applyFont="1" applyFill="1" applyBorder="1" applyAlignment="1" applyProtection="1"/>
    <xf numFmtId="0" fontId="5" fillId="5" borderId="0" xfId="0" applyFont="1" applyFill="1" applyBorder="1" applyAlignment="1" applyProtection="1">
      <alignment horizontal="left"/>
    </xf>
    <xf numFmtId="0" fontId="5" fillId="5" borderId="0" xfId="0" applyFont="1" applyFill="1" applyBorder="1" applyAlignment="1" applyProtection="1">
      <alignment horizontal="right"/>
    </xf>
    <xf numFmtId="0" fontId="5" fillId="5" borderId="0" xfId="0" applyFont="1" applyFill="1" applyBorder="1" applyProtection="1"/>
    <xf numFmtId="14" fontId="5" fillId="5" borderId="0" xfId="0" applyNumberFormat="1" applyFont="1" applyFill="1" applyBorder="1" applyAlignment="1" applyProtection="1">
      <alignment horizontal="left"/>
    </xf>
    <xf numFmtId="0" fontId="2" fillId="5" borderId="0" xfId="0" applyFont="1" applyFill="1" applyBorder="1" applyProtection="1"/>
    <xf numFmtId="0" fontId="2" fillId="3" borderId="0" xfId="0" applyFont="1" applyFill="1" applyBorder="1" applyAlignment="1" applyProtection="1">
      <alignment horizontal="center"/>
      <protection locked="0"/>
    </xf>
    <xf numFmtId="0" fontId="25" fillId="4" borderId="0" xfId="0" applyFont="1" applyFill="1" applyBorder="1" applyProtection="1"/>
    <xf numFmtId="14" fontId="5" fillId="4" borderId="0" xfId="0" applyNumberFormat="1" applyFont="1" applyFill="1" applyBorder="1" applyProtection="1"/>
    <xf numFmtId="22" fontId="5" fillId="4" borderId="0" xfId="0" applyNumberFormat="1" applyFont="1" applyFill="1" applyBorder="1" applyProtection="1"/>
    <xf numFmtId="166" fontId="5" fillId="4" borderId="0" xfId="0" applyNumberFormat="1" applyFont="1" applyFill="1" applyBorder="1" applyProtection="1"/>
    <xf numFmtId="1" fontId="5" fillId="4" borderId="0" xfId="0" applyNumberFormat="1" applyFont="1" applyFill="1" applyBorder="1" applyProtection="1"/>
    <xf numFmtId="0" fontId="5" fillId="4" borderId="0" xfId="0" applyFont="1" applyFill="1" applyBorder="1" applyAlignment="1" applyProtection="1">
      <alignment horizontal="left"/>
    </xf>
    <xf numFmtId="166" fontId="5" fillId="5" borderId="0" xfId="0" applyNumberFormat="1" applyFont="1" applyFill="1" applyBorder="1" applyAlignment="1" applyProtection="1">
      <alignment horizontal="left"/>
    </xf>
    <xf numFmtId="1" fontId="5" fillId="5" borderId="0" xfId="0" applyNumberFormat="1" applyFont="1" applyFill="1" applyBorder="1" applyAlignment="1" applyProtection="1">
      <alignment horizontal="center"/>
    </xf>
    <xf numFmtId="0" fontId="2" fillId="3" borderId="20" xfId="0" applyFont="1" applyFill="1" applyBorder="1" applyProtection="1"/>
    <xf numFmtId="166" fontId="5" fillId="3" borderId="20" xfId="0" applyNumberFormat="1" applyFont="1" applyFill="1" applyBorder="1" applyProtection="1"/>
    <xf numFmtId="0" fontId="5" fillId="3" borderId="20" xfId="0" applyFont="1" applyFill="1" applyBorder="1" applyAlignment="1" applyProtection="1">
      <alignment horizontal="right"/>
    </xf>
    <xf numFmtId="0" fontId="5" fillId="4" borderId="0" xfId="0" applyFont="1" applyFill="1" applyBorder="1" applyAlignment="1" applyProtection="1">
      <alignment horizontal="left" indent="1"/>
    </xf>
    <xf numFmtId="9" fontId="5" fillId="3" borderId="0" xfId="0" applyNumberFormat="1" applyFont="1" applyFill="1" applyBorder="1" applyAlignment="1" applyProtection="1">
      <alignment horizontal="center"/>
      <protection locked="0"/>
    </xf>
    <xf numFmtId="1" fontId="2" fillId="5" borderId="0" xfId="0" applyNumberFormat="1" applyFont="1" applyFill="1" applyBorder="1" applyAlignment="1" applyProtection="1">
      <alignment horizontal="center"/>
    </xf>
    <xf numFmtId="0" fontId="25" fillId="3" borderId="19" xfId="0" applyFont="1" applyFill="1" applyBorder="1" applyProtection="1"/>
    <xf numFmtId="0" fontId="25" fillId="3" borderId="20" xfId="0" applyFont="1" applyFill="1" applyBorder="1" applyProtection="1"/>
    <xf numFmtId="1" fontId="7" fillId="4" borderId="0" xfId="0" applyNumberFormat="1" applyFont="1" applyFill="1" applyBorder="1" applyAlignment="1" applyProtection="1">
      <alignment horizontal="center"/>
    </xf>
    <xf numFmtId="1" fontId="7" fillId="5" borderId="0" xfId="0" applyNumberFormat="1" applyFont="1" applyFill="1" applyBorder="1" applyAlignment="1" applyProtection="1">
      <alignment horizontal="center"/>
    </xf>
    <xf numFmtId="0" fontId="7" fillId="4" borderId="0" xfId="0" applyFont="1" applyFill="1" applyBorder="1" applyAlignment="1" applyProtection="1">
      <alignment horizontal="right"/>
    </xf>
    <xf numFmtId="0" fontId="7" fillId="4" borderId="0" xfId="0" applyFont="1" applyFill="1" applyBorder="1" applyAlignment="1" applyProtection="1">
      <alignment horizontal="center"/>
    </xf>
    <xf numFmtId="0" fontId="7" fillId="5" borderId="0" xfId="0" applyFont="1" applyFill="1" applyBorder="1" applyAlignment="1" applyProtection="1">
      <alignment horizontal="center"/>
    </xf>
    <xf numFmtId="2" fontId="5" fillId="5" borderId="0" xfId="0" applyNumberFormat="1" applyFont="1" applyFill="1" applyBorder="1" applyAlignment="1" applyProtection="1">
      <alignment horizontal="center"/>
    </xf>
    <xf numFmtId="165" fontId="5" fillId="5" borderId="0" xfId="0" applyNumberFormat="1" applyFont="1" applyFill="1" applyBorder="1" applyAlignment="1" applyProtection="1">
      <alignment horizontal="left"/>
    </xf>
    <xf numFmtId="0" fontId="7" fillId="4" borderId="0" xfId="0" applyFont="1" applyFill="1" applyBorder="1" applyAlignment="1" applyProtection="1">
      <alignment horizontal="left"/>
    </xf>
    <xf numFmtId="169" fontId="5" fillId="3" borderId="0" xfId="0" applyNumberFormat="1" applyFont="1" applyFill="1" applyBorder="1" applyAlignment="1" applyProtection="1">
      <alignment horizontal="center"/>
      <protection locked="0"/>
    </xf>
    <xf numFmtId="2" fontId="2" fillId="4" borderId="0" xfId="0" applyNumberFormat="1" applyFont="1" applyFill="1" applyBorder="1" applyProtection="1"/>
    <xf numFmtId="2" fontId="2" fillId="3" borderId="0" xfId="0" applyNumberFormat="1" applyFont="1" applyFill="1" applyBorder="1" applyProtection="1"/>
    <xf numFmtId="0" fontId="5" fillId="4" borderId="0" xfId="0" quotePrefix="1" applyFont="1" applyFill="1" applyBorder="1" applyProtection="1"/>
    <xf numFmtId="0" fontId="5" fillId="3" borderId="0" xfId="0" applyFont="1" applyFill="1" applyBorder="1" applyAlignment="1" applyProtection="1">
      <alignment horizontal="left"/>
    </xf>
    <xf numFmtId="9" fontId="5" fillId="3" borderId="0" xfId="0" applyNumberFormat="1" applyFont="1" applyFill="1" applyBorder="1" applyAlignment="1" applyProtection="1">
      <alignment horizontal="right"/>
    </xf>
    <xf numFmtId="14" fontId="5" fillId="3" borderId="0" xfId="0" applyNumberFormat="1" applyFont="1" applyFill="1" applyBorder="1" applyAlignment="1" applyProtection="1">
      <alignment horizontal="right"/>
    </xf>
    <xf numFmtId="0" fontId="5" fillId="3" borderId="0" xfId="0" applyNumberFormat="1" applyFont="1" applyFill="1" applyBorder="1" applyAlignment="1" applyProtection="1"/>
    <xf numFmtId="166" fontId="5" fillId="3" borderId="0" xfId="0" applyNumberFormat="1" applyFont="1" applyFill="1" applyBorder="1" applyProtection="1"/>
    <xf numFmtId="3" fontId="5" fillId="3" borderId="0" xfId="0" applyNumberFormat="1" applyFont="1" applyFill="1" applyBorder="1" applyProtection="1"/>
    <xf numFmtId="0" fontId="2" fillId="3" borderId="0" xfId="0" quotePrefix="1" applyFont="1" applyFill="1" applyBorder="1" applyProtection="1"/>
    <xf numFmtId="169" fontId="5" fillId="3" borderId="0" xfId="0" applyNumberFormat="1" applyFont="1" applyFill="1" applyBorder="1" applyProtection="1"/>
    <xf numFmtId="0" fontId="2" fillId="3" borderId="0" xfId="0" applyFont="1" applyFill="1" applyBorder="1" applyAlignment="1" applyProtection="1">
      <alignment horizontal="left"/>
    </xf>
    <xf numFmtId="14" fontId="7" fillId="4" borderId="0" xfId="0" applyNumberFormat="1" applyFont="1" applyFill="1" applyBorder="1" applyAlignment="1" applyProtection="1">
      <alignment horizontal="left"/>
    </xf>
    <xf numFmtId="0" fontId="7" fillId="4" borderId="0" xfId="0" applyFont="1" applyFill="1" applyBorder="1" applyAlignment="1" applyProtection="1"/>
    <xf numFmtId="2" fontId="2" fillId="5" borderId="0" xfId="0" applyNumberFormat="1" applyFont="1" applyFill="1" applyBorder="1" applyAlignment="1" applyProtection="1">
      <alignment horizontal="center"/>
    </xf>
    <xf numFmtId="20" fontId="5" fillId="4" borderId="0" xfId="0" applyNumberFormat="1" applyFont="1" applyFill="1" applyBorder="1" applyAlignment="1" applyProtection="1">
      <alignment horizontal="center"/>
    </xf>
    <xf numFmtId="2" fontId="2" fillId="3" borderId="0" xfId="0" applyNumberFormat="1" applyFont="1" applyFill="1" applyBorder="1" applyAlignment="1" applyProtection="1">
      <alignment horizontal="center"/>
      <protection locked="0"/>
    </xf>
    <xf numFmtId="0" fontId="26" fillId="3" borderId="0" xfId="0" applyFont="1" applyFill="1" applyBorder="1" applyProtection="1"/>
    <xf numFmtId="169" fontId="5" fillId="4" borderId="0" xfId="0" applyNumberFormat="1" applyFont="1" applyFill="1" applyBorder="1" applyProtection="1"/>
    <xf numFmtId="1" fontId="7" fillId="4" borderId="0" xfId="0" applyNumberFormat="1" applyFont="1" applyFill="1" applyBorder="1" applyProtection="1"/>
    <xf numFmtId="169" fontId="5" fillId="5" borderId="0" xfId="0" applyNumberFormat="1" applyFont="1" applyFill="1" applyBorder="1" applyAlignment="1" applyProtection="1">
      <alignment horizontal="center"/>
    </xf>
    <xf numFmtId="49" fontId="5" fillId="3" borderId="0" xfId="0" applyNumberFormat="1" applyFont="1" applyFill="1" applyBorder="1" applyAlignment="1" applyProtection="1">
      <alignment horizontal="right"/>
    </xf>
    <xf numFmtId="164" fontId="5" fillId="3" borderId="0" xfId="0" applyNumberFormat="1" applyFont="1" applyFill="1" applyBorder="1" applyProtection="1"/>
    <xf numFmtId="2" fontId="2" fillId="4" borderId="0" xfId="0" applyNumberFormat="1" applyFont="1" applyFill="1" applyBorder="1" applyAlignment="1" applyProtection="1">
      <alignment horizontal="center"/>
    </xf>
    <xf numFmtId="0" fontId="7" fillId="3" borderId="0" xfId="0" applyFont="1" applyFill="1" applyBorder="1" applyAlignment="1" applyProtection="1">
      <alignment horizontal="left"/>
    </xf>
    <xf numFmtId="44" fontId="2" fillId="3" borderId="0" xfId="0" applyNumberFormat="1" applyFont="1" applyFill="1" applyBorder="1" applyAlignment="1" applyProtection="1">
      <alignment horizontal="left"/>
    </xf>
    <xf numFmtId="164" fontId="5" fillId="3" borderId="0" xfId="0" applyNumberFormat="1" applyFont="1" applyFill="1" applyBorder="1" applyAlignment="1" applyProtection="1">
      <alignment horizontal="center"/>
    </xf>
    <xf numFmtId="164" fontId="2" fillId="4" borderId="0" xfId="0" applyNumberFormat="1" applyFont="1" applyFill="1" applyBorder="1" applyAlignment="1" applyProtection="1">
      <alignment horizontal="left"/>
    </xf>
    <xf numFmtId="44" fontId="2" fillId="4" borderId="0" xfId="0" applyNumberFormat="1" applyFont="1" applyFill="1" applyBorder="1" applyAlignment="1" applyProtection="1">
      <alignment horizontal="left"/>
    </xf>
    <xf numFmtId="0" fontId="24" fillId="3" borderId="0" xfId="0" applyFont="1" applyFill="1" applyBorder="1" applyAlignment="1" applyProtection="1">
      <alignment horizontal="left"/>
    </xf>
    <xf numFmtId="0" fontId="23" fillId="3" borderId="0" xfId="0" applyFont="1" applyFill="1" applyBorder="1" applyAlignment="1" applyProtection="1">
      <alignment horizontal="left"/>
    </xf>
    <xf numFmtId="0" fontId="26" fillId="3" borderId="0" xfId="0" applyFont="1" applyFill="1" applyBorder="1" applyAlignment="1" applyProtection="1">
      <alignment horizontal="left"/>
    </xf>
    <xf numFmtId="0" fontId="27" fillId="3" borderId="0" xfId="0" applyFont="1" applyFill="1" applyBorder="1" applyAlignment="1" applyProtection="1">
      <alignment horizontal="left"/>
    </xf>
    <xf numFmtId="0" fontId="27" fillId="3" borderId="0" xfId="0" applyFont="1" applyFill="1" applyBorder="1" applyAlignment="1" applyProtection="1">
      <alignment horizontal="center"/>
    </xf>
    <xf numFmtId="0" fontId="5" fillId="3" borderId="19" xfId="0" applyFont="1" applyFill="1" applyBorder="1" applyAlignment="1" applyProtection="1">
      <alignment horizontal="left"/>
    </xf>
    <xf numFmtId="0" fontId="23" fillId="3" borderId="19" xfId="0" applyFont="1" applyFill="1" applyBorder="1" applyAlignment="1" applyProtection="1">
      <alignment horizontal="left"/>
    </xf>
    <xf numFmtId="0" fontId="26" fillId="3" borderId="19" xfId="0" applyFont="1" applyFill="1" applyBorder="1" applyAlignment="1" applyProtection="1">
      <alignment horizontal="left"/>
    </xf>
    <xf numFmtId="0" fontId="26" fillId="3" borderId="20" xfId="0" applyFont="1" applyFill="1" applyBorder="1" applyProtection="1"/>
    <xf numFmtId="0" fontId="5" fillId="3" borderId="22" xfId="0" applyFont="1" applyFill="1" applyBorder="1" applyAlignment="1" applyProtection="1">
      <alignment horizontal="left"/>
    </xf>
    <xf numFmtId="0" fontId="5" fillId="3" borderId="25" xfId="0" applyFont="1" applyFill="1" applyBorder="1" applyAlignment="1" applyProtection="1">
      <alignment horizontal="left"/>
    </xf>
    <xf numFmtId="0" fontId="5" fillId="3" borderId="22" xfId="0" applyFont="1" applyFill="1" applyBorder="1" applyAlignment="1" applyProtection="1">
      <alignment horizontal="right"/>
    </xf>
    <xf numFmtId="0" fontId="5" fillId="3" borderId="25" xfId="0" applyFont="1" applyFill="1" applyBorder="1" applyAlignment="1" applyProtection="1">
      <alignment horizontal="right"/>
    </xf>
    <xf numFmtId="44" fontId="5" fillId="5" borderId="0" xfId="0" applyNumberFormat="1" applyFont="1" applyFill="1" applyBorder="1" applyAlignment="1" applyProtection="1">
      <alignment horizontal="left"/>
    </xf>
    <xf numFmtId="0" fontId="28" fillId="3" borderId="0" xfId="0" applyFont="1" applyFill="1" applyBorder="1" applyAlignment="1" applyProtection="1">
      <alignment horizontal="left"/>
    </xf>
    <xf numFmtId="0" fontId="25"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7" fillId="3" borderId="25" xfId="0" applyFont="1" applyFill="1" applyBorder="1" applyProtection="1"/>
    <xf numFmtId="0" fontId="7" fillId="3" borderId="0" xfId="0" applyFont="1" applyFill="1" applyBorder="1" applyAlignment="1" applyProtection="1">
      <alignment horizontal="left"/>
      <protection locked="0"/>
    </xf>
    <xf numFmtId="9" fontId="7" fillId="3" borderId="0" xfId="0" applyNumberFormat="1" applyFont="1" applyFill="1" applyBorder="1" applyAlignment="1" applyProtection="1">
      <alignment horizontal="center"/>
      <protection locked="0"/>
    </xf>
    <xf numFmtId="164" fontId="5" fillId="5" borderId="0" xfId="0" applyNumberFormat="1" applyFont="1" applyFill="1" applyBorder="1" applyAlignment="1" applyProtection="1">
      <alignment horizontal="center"/>
    </xf>
    <xf numFmtId="1" fontId="5" fillId="3" borderId="0" xfId="0" applyNumberFormat="1" applyFont="1" applyFill="1" applyBorder="1" applyAlignment="1" applyProtection="1">
      <alignment horizontal="center"/>
      <protection locked="0"/>
    </xf>
    <xf numFmtId="0" fontId="25" fillId="3" borderId="0" xfId="0" applyFont="1" applyFill="1" applyBorder="1" applyAlignment="1" applyProtection="1">
      <alignment horizontal="center"/>
    </xf>
    <xf numFmtId="0" fontId="7" fillId="3" borderId="0" xfId="0" applyFont="1" applyFill="1" applyBorder="1" applyAlignment="1" applyProtection="1">
      <alignment horizontal="center"/>
    </xf>
    <xf numFmtId="0" fontId="7" fillId="4" borderId="0" xfId="0" applyFont="1" applyFill="1" applyBorder="1" applyAlignment="1" applyProtection="1">
      <alignment horizontal="left" indent="1"/>
    </xf>
    <xf numFmtId="0" fontId="7" fillId="3" borderId="0" xfId="0" applyFont="1" applyFill="1" applyBorder="1" applyAlignment="1" applyProtection="1">
      <alignment horizontal="left" indent="1"/>
    </xf>
    <xf numFmtId="0" fontId="7" fillId="5" borderId="0" xfId="0" applyFont="1" applyFill="1" applyBorder="1" applyAlignment="1" applyProtection="1">
      <alignment horizontal="left" indent="1"/>
    </xf>
    <xf numFmtId="164" fontId="2" fillId="5" borderId="0" xfId="0" applyNumberFormat="1" applyFont="1" applyFill="1" applyBorder="1" applyAlignment="1" applyProtection="1">
      <alignment horizontal="center"/>
    </xf>
    <xf numFmtId="169" fontId="7" fillId="4" borderId="0" xfId="0" applyNumberFormat="1" applyFont="1" applyFill="1" applyBorder="1" applyAlignment="1" applyProtection="1">
      <alignment horizontal="left" indent="1"/>
    </xf>
    <xf numFmtId="0" fontId="7" fillId="4" borderId="0" xfId="0" applyFont="1" applyFill="1" applyBorder="1" applyAlignment="1" applyProtection="1">
      <alignment horizontal="left" indent="7"/>
    </xf>
    <xf numFmtId="0" fontId="25" fillId="4" borderId="0" xfId="0" applyFont="1" applyFill="1" applyBorder="1" applyAlignment="1" applyProtection="1">
      <alignment horizontal="right"/>
    </xf>
    <xf numFmtId="165" fontId="5" fillId="4" borderId="0" xfId="0" applyNumberFormat="1" applyFont="1" applyFill="1" applyBorder="1" applyAlignment="1" applyProtection="1">
      <alignment horizontal="left"/>
    </xf>
    <xf numFmtId="0" fontId="7" fillId="4" borderId="0" xfId="0" applyFont="1" applyFill="1" applyBorder="1" applyAlignment="1" applyProtection="1">
      <alignment horizontal="left" indent="15"/>
    </xf>
    <xf numFmtId="169" fontId="2" fillId="5" borderId="0" xfId="0" applyNumberFormat="1" applyFont="1" applyFill="1" applyBorder="1" applyAlignment="1" applyProtection="1">
      <alignment horizontal="center"/>
    </xf>
    <xf numFmtId="0" fontId="14" fillId="3" borderId="0" xfId="0" applyFont="1" applyFill="1" applyProtection="1"/>
    <xf numFmtId="9" fontId="5" fillId="3" borderId="20" xfId="0" applyNumberFormat="1" applyFont="1" applyFill="1" applyBorder="1" applyAlignment="1" applyProtection="1">
      <alignment horizontal="right"/>
    </xf>
    <xf numFmtId="0" fontId="8" fillId="3" borderId="0" xfId="0" applyFont="1" applyFill="1" applyProtection="1"/>
    <xf numFmtId="0" fontId="2" fillId="3" borderId="0" xfId="0" applyFont="1" applyFill="1" applyProtection="1"/>
    <xf numFmtId="0" fontId="5" fillId="3" borderId="0" xfId="0" applyFont="1" applyFill="1" applyProtection="1"/>
    <xf numFmtId="0" fontId="2" fillId="3" borderId="0" xfId="0" applyFont="1" applyFill="1" applyAlignment="1" applyProtection="1">
      <alignment horizontal="center"/>
    </xf>
    <xf numFmtId="0" fontId="21" fillId="3" borderId="0" xfId="1" applyFont="1" applyFill="1" applyAlignment="1" applyProtection="1"/>
    <xf numFmtId="0" fontId="22" fillId="3" borderId="0" xfId="0" applyFont="1" applyFill="1" applyProtection="1"/>
    <xf numFmtId="0" fontId="16" fillId="3" borderId="0" xfId="1" applyFont="1" applyFill="1" applyAlignment="1" applyProtection="1"/>
    <xf numFmtId="0" fontId="17" fillId="3" borderId="0" xfId="0" applyFont="1" applyFill="1" applyProtection="1"/>
    <xf numFmtId="0" fontId="5" fillId="3" borderId="0" xfId="0" applyFont="1" applyFill="1" applyAlignment="1" applyProtection="1">
      <alignment horizontal="left" indent="2"/>
    </xf>
    <xf numFmtId="0" fontId="2" fillId="3" borderId="0" xfId="0" applyFont="1" applyFill="1" applyAlignment="1" applyProtection="1"/>
    <xf numFmtId="0" fontId="5" fillId="3" borderId="0" xfId="0" applyFont="1" applyFill="1" applyAlignment="1" applyProtection="1">
      <alignment horizontal="left" indent="1"/>
    </xf>
    <xf numFmtId="0" fontId="7" fillId="3" borderId="0" xfId="0" applyFont="1" applyFill="1" applyProtection="1"/>
    <xf numFmtId="0" fontId="7" fillId="3" borderId="0" xfId="0" applyFont="1" applyFill="1" applyBorder="1" applyAlignment="1" applyProtection="1">
      <alignment horizontal="left" indent="1"/>
      <protection locked="0"/>
    </xf>
    <xf numFmtId="167" fontId="5" fillId="3" borderId="0" xfId="0" applyNumberFormat="1" applyFont="1" applyFill="1" applyBorder="1" applyProtection="1"/>
    <xf numFmtId="0" fontId="30" fillId="4" borderId="0" xfId="0" applyFont="1" applyFill="1" applyBorder="1" applyAlignment="1" applyProtection="1">
      <alignment horizontal="left"/>
    </xf>
    <xf numFmtId="0" fontId="30" fillId="4" borderId="0" xfId="0" applyFont="1" applyFill="1" applyBorder="1" applyAlignment="1" applyProtection="1">
      <alignment horizontal="right"/>
    </xf>
    <xf numFmtId="0" fontId="30" fillId="4" borderId="0" xfId="0" applyFont="1" applyFill="1" applyBorder="1" applyAlignment="1" applyProtection="1">
      <alignment horizontal="center"/>
    </xf>
    <xf numFmtId="0" fontId="31" fillId="4" borderId="0" xfId="0" applyFont="1" applyFill="1" applyBorder="1" applyProtection="1"/>
    <xf numFmtId="1" fontId="30" fillId="4" borderId="0" xfId="0" applyNumberFormat="1" applyFont="1" applyFill="1" applyBorder="1" applyAlignment="1" applyProtection="1">
      <alignment horizontal="center"/>
    </xf>
    <xf numFmtId="169" fontId="5" fillId="4" borderId="0" xfId="0" applyNumberFormat="1" applyFont="1" applyFill="1" applyBorder="1" applyAlignment="1" applyProtection="1">
      <alignment horizontal="center"/>
    </xf>
    <xf numFmtId="1" fontId="5" fillId="4" borderId="0" xfId="0" applyNumberFormat="1" applyFont="1" applyFill="1" applyBorder="1" applyAlignment="1" applyProtection="1">
      <alignment horizontal="center"/>
    </xf>
    <xf numFmtId="0" fontId="3" fillId="3" borderId="0" xfId="0" applyFont="1" applyFill="1" applyBorder="1" applyProtection="1"/>
    <xf numFmtId="0" fontId="12" fillId="3" borderId="0" xfId="0" applyFont="1" applyFill="1" applyAlignment="1" applyProtection="1">
      <alignment horizontal="right"/>
    </xf>
    <xf numFmtId="0" fontId="31" fillId="4" borderId="0" xfId="0" applyFont="1" applyFill="1" applyBorder="1" applyAlignment="1" applyProtection="1">
      <alignment horizontal="center"/>
    </xf>
    <xf numFmtId="0" fontId="32" fillId="4" borderId="0" xfId="0" applyFont="1" applyFill="1" applyBorder="1" applyAlignment="1" applyProtection="1">
      <alignment horizontal="left"/>
    </xf>
    <xf numFmtId="0" fontId="30" fillId="4" borderId="0" xfId="0" applyFont="1" applyFill="1" applyBorder="1" applyProtection="1"/>
    <xf numFmtId="169" fontId="31" fillId="4" borderId="0" xfId="0" applyNumberFormat="1" applyFont="1" applyFill="1" applyBorder="1" applyAlignment="1" applyProtection="1">
      <alignment horizontal="center"/>
    </xf>
    <xf numFmtId="9" fontId="5" fillId="3" borderId="26" xfId="0" applyNumberFormat="1" applyFont="1" applyFill="1" applyBorder="1" applyAlignment="1" applyProtection="1">
      <alignment horizontal="right"/>
    </xf>
    <xf numFmtId="9" fontId="5" fillId="3" borderId="23" xfId="0" applyNumberFormat="1" applyFont="1" applyFill="1" applyBorder="1" applyAlignment="1" applyProtection="1">
      <alignment horizontal="right"/>
    </xf>
    <xf numFmtId="0" fontId="2" fillId="0" borderId="0" xfId="0" applyFont="1" applyAlignment="1" applyProtection="1">
      <alignment horizontal="center"/>
    </xf>
    <xf numFmtId="0" fontId="0" fillId="3" borderId="0" xfId="0" applyFill="1" applyAlignment="1" applyProtection="1">
      <alignment horizontal="right"/>
    </xf>
    <xf numFmtId="0" fontId="33" fillId="3" borderId="0" xfId="0" applyFont="1" applyFill="1" applyAlignment="1" applyProtection="1">
      <alignment horizontal="right"/>
    </xf>
    <xf numFmtId="0" fontId="0" fillId="3" borderId="0" xfId="0" applyFill="1" applyProtection="1"/>
    <xf numFmtId="0" fontId="8" fillId="4" borderId="0" xfId="0" applyFont="1" applyFill="1" applyProtection="1"/>
    <xf numFmtId="0" fontId="31" fillId="3" borderId="19" xfId="0" applyFont="1" applyFill="1" applyBorder="1" applyProtection="1"/>
    <xf numFmtId="0" fontId="30" fillId="4" borderId="0" xfId="0" applyFont="1" applyFill="1" applyBorder="1" applyAlignment="1" applyProtection="1">
      <alignment horizontal="left" indent="1"/>
    </xf>
    <xf numFmtId="0" fontId="31" fillId="3" borderId="20" xfId="0" applyFont="1" applyFill="1" applyBorder="1" applyProtection="1"/>
    <xf numFmtId="15" fontId="5" fillId="5" borderId="0" xfId="0" applyNumberFormat="1" applyFont="1" applyFill="1" applyBorder="1" applyAlignment="1" applyProtection="1">
      <alignment horizontal="center"/>
    </xf>
    <xf numFmtId="14" fontId="31" fillId="4" borderId="0" xfId="0" applyNumberFormat="1" applyFont="1" applyFill="1" applyBorder="1" applyProtection="1"/>
    <xf numFmtId="0" fontId="3" fillId="3" borderId="0" xfId="0" applyFont="1" applyFill="1" applyProtection="1"/>
    <xf numFmtId="3" fontId="12" fillId="3" borderId="0" xfId="0" applyNumberFormat="1" applyFont="1" applyFill="1" applyProtection="1"/>
    <xf numFmtId="0" fontId="1" fillId="3" borderId="0" xfId="0" applyFont="1" applyFill="1" applyProtection="1"/>
    <xf numFmtId="0" fontId="5" fillId="2" borderId="0" xfId="0" applyFont="1" applyFill="1" applyBorder="1" applyAlignment="1" applyProtection="1">
      <alignment horizontal="center"/>
      <protection locked="0"/>
    </xf>
    <xf numFmtId="0" fontId="12" fillId="3" borderId="0" xfId="0" applyFont="1" applyFill="1" applyProtection="1"/>
    <xf numFmtId="3" fontId="12" fillId="0" borderId="0" xfId="0" applyNumberFormat="1" applyFont="1" applyFill="1" applyBorder="1" applyAlignment="1" applyProtection="1">
      <alignment horizontal="right"/>
      <protection locked="0"/>
    </xf>
    <xf numFmtId="0" fontId="36" fillId="4" borderId="0" xfId="0" applyFont="1" applyFill="1" applyBorder="1" applyAlignment="1" applyProtection="1">
      <alignment horizontal="center"/>
    </xf>
    <xf numFmtId="0" fontId="36" fillId="4" borderId="0" xfId="0" applyFont="1" applyFill="1" applyBorder="1" applyProtection="1"/>
    <xf numFmtId="0" fontId="2" fillId="0" borderId="0" xfId="0" applyFont="1" applyFill="1" applyBorder="1" applyProtection="1"/>
    <xf numFmtId="0" fontId="32" fillId="4" borderId="0" xfId="0" applyFont="1" applyFill="1" applyBorder="1" applyAlignment="1" applyProtection="1">
      <alignment horizontal="right"/>
    </xf>
    <xf numFmtId="0" fontId="5" fillId="4" borderId="11" xfId="0" applyFont="1" applyFill="1" applyBorder="1" applyProtection="1"/>
    <xf numFmtId="0" fontId="5" fillId="4" borderId="12" xfId="0" applyFont="1" applyFill="1" applyBorder="1" applyProtection="1"/>
    <xf numFmtId="0" fontId="5" fillId="4" borderId="13" xfId="0" applyFont="1" applyFill="1" applyBorder="1" applyProtection="1"/>
    <xf numFmtId="0" fontId="5" fillId="4" borderId="14" xfId="0" applyFont="1" applyFill="1" applyBorder="1" applyProtection="1"/>
    <xf numFmtId="0" fontId="5" fillId="4" borderId="15" xfId="0" applyFont="1" applyFill="1" applyBorder="1" applyProtection="1"/>
    <xf numFmtId="0" fontId="5" fillId="4" borderId="15" xfId="0" applyFont="1" applyFill="1" applyBorder="1" applyAlignment="1" applyProtection="1">
      <alignment horizontal="center"/>
    </xf>
    <xf numFmtId="0" fontId="5" fillId="4" borderId="16" xfId="0" applyFont="1" applyFill="1" applyBorder="1" applyProtection="1"/>
    <xf numFmtId="0" fontId="5" fillId="4" borderId="17" xfId="0" applyFont="1" applyFill="1" applyBorder="1" applyProtection="1"/>
    <xf numFmtId="0" fontId="5" fillId="4" borderId="18" xfId="0" applyFont="1" applyFill="1" applyBorder="1" applyProtection="1"/>
    <xf numFmtId="0" fontId="34" fillId="4" borderId="0" xfId="0" applyFont="1" applyFill="1" applyBorder="1" applyProtection="1"/>
    <xf numFmtId="0" fontId="0" fillId="4" borderId="0" xfId="0" applyFill="1" applyBorder="1" applyProtection="1"/>
    <xf numFmtId="169" fontId="2" fillId="4" borderId="0" xfId="0" applyNumberFormat="1" applyFont="1" applyFill="1" applyBorder="1" applyProtection="1"/>
    <xf numFmtId="0" fontId="0" fillId="4" borderId="0" xfId="0" applyFill="1" applyBorder="1" applyAlignment="1" applyProtection="1">
      <alignment horizontal="right"/>
    </xf>
    <xf numFmtId="0" fontId="0" fillId="3" borderId="1" xfId="0" applyFill="1" applyBorder="1" applyProtection="1">
      <protection locked="0"/>
    </xf>
    <xf numFmtId="0" fontId="2" fillId="3" borderId="0" xfId="0" applyFont="1" applyFill="1" applyBorder="1" applyProtection="1">
      <protection locked="0"/>
    </xf>
    <xf numFmtId="0" fontId="0" fillId="5" borderId="0" xfId="0" applyFill="1" applyBorder="1" applyProtection="1"/>
    <xf numFmtId="169" fontId="2" fillId="5" borderId="0" xfId="0" applyNumberFormat="1" applyFont="1" applyFill="1" applyBorder="1" applyProtection="1"/>
    <xf numFmtId="0" fontId="5" fillId="3" borderId="19" xfId="0" applyFont="1" applyFill="1" applyBorder="1" applyAlignment="1" applyProtection="1">
      <alignment horizontal="left"/>
      <protection locked="0"/>
    </xf>
    <xf numFmtId="164" fontId="5" fillId="5" borderId="0" xfId="0" applyNumberFormat="1" applyFont="1" applyFill="1" applyBorder="1" applyProtection="1"/>
    <xf numFmtId="0" fontId="38" fillId="3" borderId="0" xfId="0" applyFont="1" applyFill="1" applyProtection="1"/>
    <xf numFmtId="0" fontId="36" fillId="3" borderId="0" xfId="0" applyFont="1" applyFill="1" applyProtection="1"/>
    <xf numFmtId="0" fontId="36" fillId="3" borderId="0" xfId="0" applyFont="1" applyFill="1" applyAlignment="1" applyProtection="1">
      <alignment horizontal="left" indent="1"/>
    </xf>
    <xf numFmtId="0" fontId="5" fillId="0" borderId="0" xfId="0" applyFont="1"/>
    <xf numFmtId="3" fontId="39" fillId="2" borderId="0" xfId="0" applyNumberFormat="1" applyFont="1" applyFill="1" applyBorder="1" applyAlignment="1" applyProtection="1">
      <alignment horizontal="right"/>
      <protection locked="0"/>
    </xf>
    <xf numFmtId="0" fontId="0" fillId="2" borderId="7" xfId="0" applyFill="1" applyBorder="1" applyAlignment="1" applyProtection="1">
      <protection locked="0"/>
    </xf>
    <xf numFmtId="0" fontId="0" fillId="2" borderId="27" xfId="0" applyFill="1" applyBorder="1" applyAlignment="1" applyProtection="1">
      <protection locked="0"/>
    </xf>
    <xf numFmtId="0" fontId="0" fillId="2" borderId="28" xfId="0" applyFill="1" applyBorder="1" applyAlignment="1" applyProtection="1">
      <protection locked="0"/>
    </xf>
    <xf numFmtId="0" fontId="0" fillId="0" borderId="27" xfId="0" applyBorder="1" applyAlignment="1" applyProtection="1">
      <protection locked="0"/>
    </xf>
    <xf numFmtId="0" fontId="0" fillId="0" borderId="28" xfId="0" applyBorder="1" applyAlignment="1" applyProtection="1">
      <protection locked="0"/>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533400</xdr:colOff>
      <xdr:row>1</xdr:row>
      <xdr:rowOff>38100</xdr:rowOff>
    </xdr:from>
    <xdr:to>
      <xdr:col>10</xdr:col>
      <xdr:colOff>123825</xdr:colOff>
      <xdr:row>4</xdr:row>
      <xdr:rowOff>161925</xdr:rowOff>
    </xdr:to>
    <xdr:pic>
      <xdr:nvPicPr>
        <xdr:cNvPr id="3095" name="Picture 2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819775" y="209550"/>
          <a:ext cx="2028825" cy="6762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885825</xdr:colOff>
      <xdr:row>1</xdr:row>
      <xdr:rowOff>66675</xdr:rowOff>
    </xdr:from>
    <xdr:to>
      <xdr:col>13</xdr:col>
      <xdr:colOff>85725</xdr:colOff>
      <xdr:row>6</xdr:row>
      <xdr:rowOff>0</xdr:rowOff>
    </xdr:to>
    <xdr:pic>
      <xdr:nvPicPr>
        <xdr:cNvPr id="5158" name="Picture 38"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020050" y="238125"/>
          <a:ext cx="2085975" cy="876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885825</xdr:colOff>
      <xdr:row>1</xdr:row>
      <xdr:rowOff>66675</xdr:rowOff>
    </xdr:from>
    <xdr:to>
      <xdr:col>13</xdr:col>
      <xdr:colOff>85725</xdr:colOff>
      <xdr:row>6</xdr:row>
      <xdr:rowOff>0</xdr:rowOff>
    </xdr:to>
    <xdr:pic>
      <xdr:nvPicPr>
        <xdr:cNvPr id="14347" name="Picture 11"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020050" y="238125"/>
          <a:ext cx="2085975" cy="876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914400</xdr:colOff>
      <xdr:row>1</xdr:row>
      <xdr:rowOff>57150</xdr:rowOff>
    </xdr:from>
    <xdr:to>
      <xdr:col>13</xdr:col>
      <xdr:colOff>95250</xdr:colOff>
      <xdr:row>5</xdr:row>
      <xdr:rowOff>19050</xdr:rowOff>
    </xdr:to>
    <xdr:pic>
      <xdr:nvPicPr>
        <xdr:cNvPr id="6165" name="Picture 21"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53375" y="228600"/>
          <a:ext cx="2019300" cy="6762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876300</xdr:colOff>
      <xdr:row>1</xdr:row>
      <xdr:rowOff>104775</xdr:rowOff>
    </xdr:from>
    <xdr:to>
      <xdr:col>13</xdr:col>
      <xdr:colOff>57150</xdr:colOff>
      <xdr:row>5</xdr:row>
      <xdr:rowOff>76200</xdr:rowOff>
    </xdr:to>
    <xdr:pic>
      <xdr:nvPicPr>
        <xdr:cNvPr id="8212" name="Picture 20"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34325" y="276225"/>
          <a:ext cx="2019300" cy="685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876300</xdr:colOff>
      <xdr:row>1</xdr:row>
      <xdr:rowOff>19050</xdr:rowOff>
    </xdr:from>
    <xdr:to>
      <xdr:col>13</xdr:col>
      <xdr:colOff>57150</xdr:colOff>
      <xdr:row>5</xdr:row>
      <xdr:rowOff>0</xdr:rowOff>
    </xdr:to>
    <xdr:pic>
      <xdr:nvPicPr>
        <xdr:cNvPr id="11265" name="Picture 1"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34325" y="190500"/>
          <a:ext cx="2019300" cy="6953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514350</xdr:colOff>
      <xdr:row>1</xdr:row>
      <xdr:rowOff>0</xdr:rowOff>
    </xdr:from>
    <xdr:to>
      <xdr:col>11</xdr:col>
      <xdr:colOff>85725</xdr:colOff>
      <xdr:row>4</xdr:row>
      <xdr:rowOff>171450</xdr:rowOff>
    </xdr:to>
    <xdr:pic>
      <xdr:nvPicPr>
        <xdr:cNvPr id="1060" name="Picture 36"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381750" y="171450"/>
          <a:ext cx="2019300" cy="800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361950</xdr:colOff>
      <xdr:row>55</xdr:row>
      <xdr:rowOff>28575</xdr:rowOff>
    </xdr:from>
    <xdr:to>
      <xdr:col>12</xdr:col>
      <xdr:colOff>266700</xdr:colOff>
      <xdr:row>63</xdr:row>
      <xdr:rowOff>0</xdr:rowOff>
    </xdr:to>
    <xdr:pic>
      <xdr:nvPicPr>
        <xdr:cNvPr id="7178" name="Picture 10"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219700" y="8610600"/>
          <a:ext cx="3800475" cy="12668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dimension ref="C3:K349"/>
  <sheetViews>
    <sheetView tabSelected="1" zoomScaleNormal="100" zoomScaleSheetLayoutView="75" workbookViewId="0">
      <selection activeCell="B2" sqref="B2"/>
    </sheetView>
  </sheetViews>
  <sheetFormatPr defaultRowHeight="12.75"/>
  <cols>
    <col min="1" max="1" width="5.5703125" style="220" customWidth="1"/>
    <col min="2" max="2" width="2.5703125" style="220" customWidth="1"/>
    <col min="3" max="13" width="9.140625" style="220"/>
    <col min="14" max="14" width="2.7109375" style="220" customWidth="1"/>
    <col min="15" max="16384" width="9.140625" style="220"/>
  </cols>
  <sheetData>
    <row r="3" spans="3:3" ht="15">
      <c r="C3" s="222" t="s">
        <v>598</v>
      </c>
    </row>
    <row r="4" spans="3:3">
      <c r="C4" s="233"/>
    </row>
    <row r="5" spans="3:3">
      <c r="C5" s="224" t="s">
        <v>92</v>
      </c>
    </row>
    <row r="6" spans="3:3">
      <c r="C6" s="220" t="s">
        <v>93</v>
      </c>
    </row>
    <row r="7" spans="3:3">
      <c r="C7" s="220" t="s">
        <v>94</v>
      </c>
    </row>
    <row r="8" spans="3:3">
      <c r="C8" s="224"/>
    </row>
    <row r="9" spans="3:3">
      <c r="C9" s="224" t="s">
        <v>599</v>
      </c>
    </row>
    <row r="10" spans="3:3">
      <c r="C10" s="224" t="s">
        <v>0</v>
      </c>
    </row>
    <row r="11" spans="3:3">
      <c r="C11" s="224"/>
    </row>
    <row r="12" spans="3:3">
      <c r="C12" s="224" t="s">
        <v>157</v>
      </c>
    </row>
    <row r="13" spans="3:3">
      <c r="C13" s="224" t="s">
        <v>158</v>
      </c>
    </row>
    <row r="14" spans="3:3">
      <c r="C14" s="224" t="s">
        <v>600</v>
      </c>
    </row>
    <row r="15" spans="3:3">
      <c r="C15" s="224" t="s">
        <v>95</v>
      </c>
    </row>
    <row r="16" spans="3:3">
      <c r="C16" s="224" t="s">
        <v>96</v>
      </c>
    </row>
    <row r="17" spans="3:7">
      <c r="C17" s="224"/>
    </row>
    <row r="18" spans="3:7">
      <c r="C18" s="224" t="s">
        <v>97</v>
      </c>
    </row>
    <row r="19" spans="3:7">
      <c r="C19" s="224" t="s">
        <v>98</v>
      </c>
    </row>
    <row r="20" spans="3:7">
      <c r="C20" s="224"/>
    </row>
    <row r="21" spans="3:7">
      <c r="C21" s="223" t="s">
        <v>21</v>
      </c>
    </row>
    <row r="22" spans="3:7">
      <c r="C22" s="223" t="s">
        <v>22</v>
      </c>
    </row>
    <row r="23" spans="3:7">
      <c r="C23" s="223" t="s">
        <v>23</v>
      </c>
    </row>
    <row r="24" spans="3:7">
      <c r="C24" s="223" t="s">
        <v>24</v>
      </c>
    </row>
    <row r="25" spans="3:7">
      <c r="C25" s="223" t="s">
        <v>25</v>
      </c>
    </row>
    <row r="26" spans="3:7">
      <c r="C26" s="223" t="s">
        <v>26</v>
      </c>
    </row>
    <row r="27" spans="3:7">
      <c r="C27" s="224"/>
    </row>
    <row r="28" spans="3:7">
      <c r="C28" s="220" t="s">
        <v>91</v>
      </c>
      <c r="G28" s="225" t="s">
        <v>78</v>
      </c>
    </row>
    <row r="29" spans="3:7">
      <c r="C29" s="220" t="s">
        <v>354</v>
      </c>
    </row>
    <row r="31" spans="3:7">
      <c r="C31" s="224" t="s">
        <v>606</v>
      </c>
    </row>
    <row r="32" spans="3:7">
      <c r="C32" s="224" t="s">
        <v>607</v>
      </c>
    </row>
    <row r="33" spans="3:4">
      <c r="C33" s="263"/>
    </row>
    <row r="34" spans="3:4">
      <c r="C34" s="220" t="s">
        <v>55</v>
      </c>
    </row>
    <row r="35" spans="3:4">
      <c r="C35" s="220" t="s">
        <v>159</v>
      </c>
    </row>
    <row r="37" spans="3:4">
      <c r="C37" s="220" t="s">
        <v>160</v>
      </c>
    </row>
    <row r="38" spans="3:4">
      <c r="C38" s="220" t="s">
        <v>132</v>
      </c>
    </row>
    <row r="39" spans="3:4">
      <c r="C39" s="224"/>
    </row>
    <row r="40" spans="3:4" ht="15">
      <c r="C40" s="222" t="s">
        <v>133</v>
      </c>
    </row>
    <row r="41" spans="3:4">
      <c r="C41" s="223" t="s">
        <v>516</v>
      </c>
      <c r="D41" s="223" t="s">
        <v>517</v>
      </c>
    </row>
    <row r="42" spans="3:4">
      <c r="C42" s="224" t="s">
        <v>99</v>
      </c>
    </row>
    <row r="43" spans="3:4">
      <c r="C43" s="224" t="s">
        <v>32</v>
      </c>
    </row>
    <row r="44" spans="3:4">
      <c r="C44" s="224" t="s">
        <v>100</v>
      </c>
    </row>
    <row r="45" spans="3:4">
      <c r="C45" s="224" t="s">
        <v>101</v>
      </c>
    </row>
    <row r="46" spans="3:4" s="227" customFormat="1">
      <c r="C46" s="226"/>
    </row>
    <row r="47" spans="3:4">
      <c r="C47" s="224" t="s">
        <v>608</v>
      </c>
    </row>
    <row r="48" spans="3:4">
      <c r="C48" s="224" t="s">
        <v>102</v>
      </c>
    </row>
    <row r="49" spans="3:4">
      <c r="C49" s="220" t="s">
        <v>179</v>
      </c>
    </row>
    <row r="50" spans="3:4">
      <c r="C50" s="220" t="s">
        <v>180</v>
      </c>
    </row>
    <row r="51" spans="3:4">
      <c r="C51" s="220" t="s">
        <v>181</v>
      </c>
    </row>
    <row r="53" spans="3:4">
      <c r="C53" s="224" t="s">
        <v>182</v>
      </c>
    </row>
    <row r="54" spans="3:4">
      <c r="C54" s="224" t="s">
        <v>186</v>
      </c>
    </row>
    <row r="55" spans="3:4">
      <c r="C55" s="224" t="s">
        <v>161</v>
      </c>
    </row>
    <row r="56" spans="3:4" s="229" customFormat="1">
      <c r="C56" s="228"/>
    </row>
    <row r="57" spans="3:4">
      <c r="C57" s="224" t="s">
        <v>187</v>
      </c>
    </row>
    <row r="58" spans="3:4">
      <c r="C58" s="224" t="s">
        <v>188</v>
      </c>
    </row>
    <row r="59" spans="3:4">
      <c r="C59" s="230" t="s">
        <v>183</v>
      </c>
    </row>
    <row r="60" spans="3:4">
      <c r="C60" s="230" t="s">
        <v>184</v>
      </c>
    </row>
    <row r="61" spans="3:4">
      <c r="C61" s="230" t="s">
        <v>185</v>
      </c>
    </row>
    <row r="62" spans="3:4">
      <c r="C62" s="224" t="s">
        <v>17</v>
      </c>
    </row>
    <row r="63" spans="3:4">
      <c r="C63" s="224"/>
    </row>
    <row r="64" spans="3:4">
      <c r="C64" s="223" t="s">
        <v>518</v>
      </c>
      <c r="D64" s="223" t="s">
        <v>519</v>
      </c>
    </row>
    <row r="65" spans="3:3">
      <c r="C65" s="231" t="s">
        <v>61</v>
      </c>
    </row>
    <row r="66" spans="3:3">
      <c r="C66" s="224" t="s">
        <v>189</v>
      </c>
    </row>
    <row r="67" spans="3:3">
      <c r="C67" s="224" t="s">
        <v>190</v>
      </c>
    </row>
    <row r="68" spans="3:3">
      <c r="C68" s="224" t="s">
        <v>191</v>
      </c>
    </row>
    <row r="69" spans="3:3">
      <c r="C69" s="224" t="s">
        <v>192</v>
      </c>
    </row>
    <row r="70" spans="3:3">
      <c r="C70" s="224" t="s">
        <v>193</v>
      </c>
    </row>
    <row r="71" spans="3:3">
      <c r="C71" s="224" t="s">
        <v>194</v>
      </c>
    </row>
    <row r="72" spans="3:3">
      <c r="C72" s="224" t="s">
        <v>195</v>
      </c>
    </row>
    <row r="73" spans="3:3">
      <c r="C73" s="224"/>
    </row>
    <row r="74" spans="3:3">
      <c r="C74" s="224" t="s">
        <v>196</v>
      </c>
    </row>
    <row r="75" spans="3:3">
      <c r="C75" s="224" t="s">
        <v>197</v>
      </c>
    </row>
    <row r="76" spans="3:3">
      <c r="C76" s="224" t="s">
        <v>198</v>
      </c>
    </row>
    <row r="77" spans="3:3">
      <c r="C77" s="224" t="s">
        <v>199</v>
      </c>
    </row>
    <row r="78" spans="3:3">
      <c r="C78" s="224" t="s">
        <v>200</v>
      </c>
    </row>
    <row r="79" spans="3:3">
      <c r="C79" s="224" t="s">
        <v>201</v>
      </c>
    </row>
    <row r="80" spans="3:3">
      <c r="C80" s="224" t="s">
        <v>202</v>
      </c>
    </row>
    <row r="81" spans="3:3">
      <c r="C81" s="224"/>
    </row>
    <row r="82" spans="3:3">
      <c r="C82" s="224" t="s">
        <v>203</v>
      </c>
    </row>
    <row r="83" spans="3:3">
      <c r="C83" s="224" t="s">
        <v>204</v>
      </c>
    </row>
    <row r="84" spans="3:3">
      <c r="C84" s="224" t="s">
        <v>205</v>
      </c>
    </row>
    <row r="85" spans="3:3">
      <c r="C85" s="224" t="s">
        <v>206</v>
      </c>
    </row>
    <row r="86" spans="3:3">
      <c r="C86" s="224" t="s">
        <v>207</v>
      </c>
    </row>
    <row r="87" spans="3:3">
      <c r="C87" s="224"/>
    </row>
    <row r="88" spans="3:3">
      <c r="C88" s="224" t="s">
        <v>63</v>
      </c>
    </row>
    <row r="89" spans="3:3">
      <c r="C89" s="224" t="s">
        <v>162</v>
      </c>
    </row>
    <row r="90" spans="3:3">
      <c r="C90" s="224" t="s">
        <v>64</v>
      </c>
    </row>
    <row r="91" spans="3:3">
      <c r="C91" s="224" t="s">
        <v>163</v>
      </c>
    </row>
    <row r="92" spans="3:3">
      <c r="C92" s="224" t="s">
        <v>164</v>
      </c>
    </row>
    <row r="93" spans="3:3">
      <c r="C93" s="224"/>
    </row>
    <row r="94" spans="3:3">
      <c r="C94" s="233" t="s">
        <v>18</v>
      </c>
    </row>
    <row r="95" spans="3:3">
      <c r="C95" s="233" t="s">
        <v>10</v>
      </c>
    </row>
    <row r="96" spans="3:3">
      <c r="C96" s="224"/>
    </row>
    <row r="97" spans="3:3">
      <c r="C97" s="224" t="s">
        <v>165</v>
      </c>
    </row>
    <row r="98" spans="3:3">
      <c r="C98" s="220" t="s">
        <v>208</v>
      </c>
    </row>
    <row r="99" spans="3:3">
      <c r="C99" s="224" t="s">
        <v>209</v>
      </c>
    </row>
    <row r="100" spans="3:3">
      <c r="C100" s="224" t="s">
        <v>210</v>
      </c>
    </row>
    <row r="101" spans="3:3">
      <c r="C101" s="224"/>
    </row>
    <row r="102" spans="3:3">
      <c r="C102" s="224" t="s">
        <v>211</v>
      </c>
    </row>
    <row r="103" spans="3:3">
      <c r="C103" s="224" t="s">
        <v>33</v>
      </c>
    </row>
    <row r="104" spans="3:3">
      <c r="C104" s="224"/>
    </row>
    <row r="105" spans="3:3">
      <c r="C105" s="224" t="s">
        <v>212</v>
      </c>
    </row>
    <row r="106" spans="3:3">
      <c r="C106" s="220" t="s">
        <v>213</v>
      </c>
    </row>
    <row r="107" spans="3:3">
      <c r="C107" s="224" t="s">
        <v>214</v>
      </c>
    </row>
    <row r="108" spans="3:3">
      <c r="C108" s="224" t="s">
        <v>27</v>
      </c>
    </row>
    <row r="109" spans="3:3">
      <c r="C109" s="224"/>
    </row>
    <row r="110" spans="3:3">
      <c r="C110" s="231" t="s">
        <v>236</v>
      </c>
    </row>
    <row r="111" spans="3:3">
      <c r="C111" s="224" t="s">
        <v>166</v>
      </c>
    </row>
    <row r="112" spans="3:3">
      <c r="C112" s="224" t="s">
        <v>215</v>
      </c>
    </row>
    <row r="113" spans="3:3">
      <c r="C113" s="224" t="s">
        <v>520</v>
      </c>
    </row>
    <row r="114" spans="3:3">
      <c r="C114" s="224" t="s">
        <v>216</v>
      </c>
    </row>
    <row r="115" spans="3:3">
      <c r="C115" s="224" t="s">
        <v>217</v>
      </c>
    </row>
    <row r="116" spans="3:3">
      <c r="C116" s="224" t="s">
        <v>218</v>
      </c>
    </row>
    <row r="117" spans="3:3">
      <c r="C117" s="224" t="s">
        <v>219</v>
      </c>
    </row>
    <row r="118" spans="3:3">
      <c r="C118" s="224"/>
    </row>
    <row r="119" spans="3:3">
      <c r="C119" s="224" t="s">
        <v>220</v>
      </c>
    </row>
    <row r="120" spans="3:3">
      <c r="C120" s="224" t="s">
        <v>221</v>
      </c>
    </row>
    <row r="121" spans="3:3">
      <c r="C121" s="224" t="s">
        <v>222</v>
      </c>
    </row>
    <row r="122" spans="3:3">
      <c r="C122" s="224" t="s">
        <v>223</v>
      </c>
    </row>
    <row r="123" spans="3:3">
      <c r="C123" s="224"/>
    </row>
    <row r="124" spans="3:3">
      <c r="C124" s="224" t="s">
        <v>275</v>
      </c>
    </row>
    <row r="125" spans="3:3">
      <c r="C125" s="224" t="s">
        <v>276</v>
      </c>
    </row>
    <row r="126" spans="3:3">
      <c r="C126" s="224"/>
    </row>
    <row r="127" spans="3:3">
      <c r="C127" s="224" t="s">
        <v>224</v>
      </c>
    </row>
    <row r="128" spans="3:3">
      <c r="C128" s="224" t="s">
        <v>225</v>
      </c>
    </row>
    <row r="129" spans="3:3">
      <c r="C129" s="224" t="s">
        <v>226</v>
      </c>
    </row>
    <row r="130" spans="3:3">
      <c r="C130" s="224" t="s">
        <v>227</v>
      </c>
    </row>
    <row r="131" spans="3:3">
      <c r="C131" s="224" t="s">
        <v>228</v>
      </c>
    </row>
    <row r="132" spans="3:3">
      <c r="C132" s="224" t="s">
        <v>229</v>
      </c>
    </row>
    <row r="133" spans="3:3">
      <c r="C133" s="224" t="s">
        <v>230</v>
      </c>
    </row>
    <row r="134" spans="3:3">
      <c r="C134" s="224"/>
    </row>
    <row r="135" spans="3:3">
      <c r="C135" s="224" t="s">
        <v>277</v>
      </c>
    </row>
    <row r="136" spans="3:3">
      <c r="C136" s="220" t="s">
        <v>231</v>
      </c>
    </row>
    <row r="137" spans="3:3">
      <c r="C137" s="224" t="s">
        <v>232</v>
      </c>
    </row>
    <row r="138" spans="3:3">
      <c r="C138" s="220" t="s">
        <v>233</v>
      </c>
    </row>
    <row r="140" spans="3:3">
      <c r="C140" s="223" t="s">
        <v>319</v>
      </c>
    </row>
    <row r="141" spans="3:3">
      <c r="C141" s="220" t="s">
        <v>577</v>
      </c>
    </row>
    <row r="142" spans="3:3">
      <c r="C142" s="220" t="s">
        <v>578</v>
      </c>
    </row>
    <row r="143" spans="3:3">
      <c r="C143" s="220" t="s">
        <v>579</v>
      </c>
    </row>
    <row r="144" spans="3:3">
      <c r="C144" s="220" t="s">
        <v>11</v>
      </c>
    </row>
    <row r="145" spans="3:3">
      <c r="C145" s="220" t="s">
        <v>12</v>
      </c>
    </row>
    <row r="146" spans="3:3">
      <c r="C146" s="220" t="s">
        <v>13</v>
      </c>
    </row>
    <row r="147" spans="3:3">
      <c r="C147" s="220" t="s">
        <v>51</v>
      </c>
    </row>
    <row r="148" spans="3:3">
      <c r="C148" s="220" t="s">
        <v>52</v>
      </c>
    </row>
    <row r="150" spans="3:3">
      <c r="C150" s="223" t="s">
        <v>350</v>
      </c>
    </row>
    <row r="151" spans="3:3">
      <c r="C151" s="220" t="s">
        <v>53</v>
      </c>
    </row>
    <row r="152" spans="3:3">
      <c r="C152" s="224" t="s">
        <v>609</v>
      </c>
    </row>
    <row r="153" spans="3:3">
      <c r="C153" s="224" t="s">
        <v>610</v>
      </c>
    </row>
    <row r="154" spans="3:3">
      <c r="C154" s="220" t="s">
        <v>54</v>
      </c>
    </row>
    <row r="156" spans="3:3">
      <c r="C156" s="231" t="s">
        <v>611</v>
      </c>
    </row>
    <row r="157" spans="3:3">
      <c r="C157" s="224" t="s">
        <v>28</v>
      </c>
    </row>
    <row r="158" spans="3:3">
      <c r="C158" s="224" t="s">
        <v>234</v>
      </c>
    </row>
    <row r="159" spans="3:3">
      <c r="C159" s="224" t="s">
        <v>235</v>
      </c>
    </row>
    <row r="160" spans="3:3">
      <c r="C160" s="224"/>
    </row>
    <row r="161" spans="3:4">
      <c r="C161" s="224" t="s">
        <v>278</v>
      </c>
    </row>
    <row r="162" spans="3:4">
      <c r="C162" s="224" t="s">
        <v>14</v>
      </c>
    </row>
    <row r="163" spans="3:4">
      <c r="C163" s="224" t="s">
        <v>167</v>
      </c>
    </row>
    <row r="164" spans="3:4">
      <c r="C164" s="224" t="s">
        <v>168</v>
      </c>
    </row>
    <row r="166" spans="3:4">
      <c r="C166" s="223" t="s">
        <v>237</v>
      </c>
      <c r="D166" s="223" t="s">
        <v>612</v>
      </c>
    </row>
    <row r="167" spans="3:4">
      <c r="C167" s="224" t="s">
        <v>613</v>
      </c>
    </row>
    <row r="168" spans="3:4">
      <c r="C168" s="224" t="s">
        <v>244</v>
      </c>
    </row>
    <row r="169" spans="3:4">
      <c r="C169" s="224" t="s">
        <v>56</v>
      </c>
    </row>
    <row r="170" spans="3:4">
      <c r="C170" s="224" t="s">
        <v>169</v>
      </c>
    </row>
    <row r="171" spans="3:4">
      <c r="C171" s="224"/>
    </row>
    <row r="172" spans="3:4" ht="15">
      <c r="C172" s="223" t="s">
        <v>238</v>
      </c>
      <c r="D172" s="222" t="s">
        <v>239</v>
      </c>
    </row>
    <row r="173" spans="3:4">
      <c r="C173" s="224" t="s">
        <v>245</v>
      </c>
    </row>
    <row r="174" spans="3:4">
      <c r="C174" s="224" t="s">
        <v>170</v>
      </c>
    </row>
    <row r="175" spans="3:4">
      <c r="C175" s="224" t="s">
        <v>29</v>
      </c>
    </row>
    <row r="176" spans="3:4">
      <c r="C176" s="224" t="s">
        <v>246</v>
      </c>
    </row>
    <row r="177" spans="3:4">
      <c r="C177" s="224"/>
    </row>
    <row r="178" spans="3:4" s="224" customFormat="1">
      <c r="C178" s="223" t="s">
        <v>240</v>
      </c>
      <c r="D178" s="223" t="s">
        <v>241</v>
      </c>
    </row>
    <row r="179" spans="3:4">
      <c r="C179" s="224" t="s">
        <v>247</v>
      </c>
    </row>
    <row r="180" spans="3:4">
      <c r="C180" s="224" t="s">
        <v>248</v>
      </c>
    </row>
    <row r="181" spans="3:4">
      <c r="C181" s="224" t="s">
        <v>249</v>
      </c>
    </row>
    <row r="182" spans="3:4">
      <c r="C182" s="224"/>
    </row>
    <row r="183" spans="3:4">
      <c r="C183" s="224" t="s">
        <v>242</v>
      </c>
    </row>
    <row r="184" spans="3:4">
      <c r="C184" s="224" t="s">
        <v>243</v>
      </c>
    </row>
    <row r="186" spans="3:4">
      <c r="C186" s="223" t="s">
        <v>250</v>
      </c>
      <c r="D186" s="223" t="s">
        <v>34</v>
      </c>
    </row>
    <row r="187" spans="3:4">
      <c r="C187" s="224" t="s">
        <v>251</v>
      </c>
      <c r="D187" s="224"/>
    </row>
    <row r="188" spans="3:4">
      <c r="C188" s="224" t="s">
        <v>252</v>
      </c>
      <c r="D188" s="224"/>
    </row>
    <row r="189" spans="3:4">
      <c r="C189" s="224" t="s">
        <v>253</v>
      </c>
      <c r="D189" s="224"/>
    </row>
    <row r="190" spans="3:4">
      <c r="C190" s="224"/>
      <c r="D190" s="224"/>
    </row>
    <row r="191" spans="3:4">
      <c r="C191" s="224" t="s">
        <v>254</v>
      </c>
      <c r="D191" s="224"/>
    </row>
    <row r="192" spans="3:4">
      <c r="C192" s="224" t="s">
        <v>255</v>
      </c>
      <c r="D192" s="224"/>
    </row>
    <row r="193" spans="3:11">
      <c r="C193" s="224" t="s">
        <v>256</v>
      </c>
      <c r="D193" s="224"/>
    </row>
    <row r="194" spans="3:11">
      <c r="C194" s="224"/>
      <c r="D194" s="224"/>
    </row>
    <row r="195" spans="3:11">
      <c r="C195" s="224" t="s">
        <v>171</v>
      </c>
      <c r="D195" s="224"/>
    </row>
    <row r="196" spans="3:11">
      <c r="C196" s="220" t="s">
        <v>257</v>
      </c>
    </row>
    <row r="198" spans="3:11">
      <c r="C198" s="223" t="s">
        <v>258</v>
      </c>
      <c r="D198" s="223" t="s">
        <v>259</v>
      </c>
    </row>
    <row r="199" spans="3:11">
      <c r="C199" s="223" t="s">
        <v>353</v>
      </c>
      <c r="D199" s="224"/>
    </row>
    <row r="200" spans="3:11">
      <c r="C200" s="224" t="s">
        <v>172</v>
      </c>
      <c r="D200" s="224"/>
      <c r="K200" s="223" t="s">
        <v>78</v>
      </c>
    </row>
    <row r="201" spans="3:11">
      <c r="C201" s="224" t="s">
        <v>260</v>
      </c>
      <c r="D201" s="224"/>
    </row>
    <row r="202" spans="3:11">
      <c r="C202" s="224" t="s">
        <v>57</v>
      </c>
      <c r="D202" s="224"/>
    </row>
    <row r="203" spans="3:11">
      <c r="C203" s="224" t="s">
        <v>261</v>
      </c>
      <c r="D203" s="224"/>
    </row>
    <row r="204" spans="3:11">
      <c r="C204" s="224" t="s">
        <v>614</v>
      </c>
      <c r="D204" s="224"/>
    </row>
    <row r="205" spans="3:11">
      <c r="C205" s="224"/>
      <c r="D205" s="224"/>
    </row>
    <row r="206" spans="3:11">
      <c r="C206" s="223" t="s">
        <v>616</v>
      </c>
      <c r="D206" s="224"/>
    </row>
    <row r="207" spans="3:11">
      <c r="C207" s="223" t="s">
        <v>615</v>
      </c>
      <c r="D207" s="224"/>
    </row>
    <row r="208" spans="3:11">
      <c r="C208" s="224"/>
      <c r="D208" s="224"/>
    </row>
    <row r="209" spans="3:4">
      <c r="C209" s="224" t="s">
        <v>272</v>
      </c>
      <c r="D209" s="224"/>
    </row>
    <row r="210" spans="3:4">
      <c r="C210" s="224" t="s">
        <v>273</v>
      </c>
      <c r="D210" s="224"/>
    </row>
    <row r="211" spans="3:4">
      <c r="C211" s="224"/>
      <c r="D211" s="224"/>
    </row>
    <row r="212" spans="3:4">
      <c r="C212" s="224" t="s">
        <v>16</v>
      </c>
      <c r="D212" s="224"/>
    </row>
    <row r="213" spans="3:4">
      <c r="C213" s="224" t="s">
        <v>274</v>
      </c>
      <c r="D213" s="224"/>
    </row>
    <row r="214" spans="3:4">
      <c r="C214" s="224"/>
      <c r="D214" s="224"/>
    </row>
    <row r="215" spans="3:4">
      <c r="C215" s="223" t="s">
        <v>262</v>
      </c>
      <c r="D215" s="224"/>
    </row>
    <row r="216" spans="3:4">
      <c r="C216" s="224" t="s">
        <v>263</v>
      </c>
      <c r="D216" s="224"/>
    </row>
    <row r="217" spans="3:4">
      <c r="C217" s="224" t="s">
        <v>173</v>
      </c>
      <c r="D217" s="224"/>
    </row>
    <row r="218" spans="3:4">
      <c r="C218" s="224" t="s">
        <v>264</v>
      </c>
      <c r="D218" s="224"/>
    </row>
    <row r="219" spans="3:4">
      <c r="C219" s="224"/>
      <c r="D219" s="224"/>
    </row>
    <row r="220" spans="3:4">
      <c r="C220" s="223" t="s">
        <v>265</v>
      </c>
      <c r="D220" s="224"/>
    </row>
    <row r="221" spans="3:4">
      <c r="C221" s="224" t="s">
        <v>617</v>
      </c>
      <c r="D221" s="224"/>
    </row>
    <row r="222" spans="3:4">
      <c r="C222" s="224" t="s">
        <v>103</v>
      </c>
      <c r="D222" s="224"/>
    </row>
    <row r="223" spans="3:4">
      <c r="C223" s="224" t="s">
        <v>104</v>
      </c>
      <c r="D223" s="224"/>
    </row>
    <row r="224" spans="3:4">
      <c r="C224" s="224" t="s">
        <v>105</v>
      </c>
      <c r="D224" s="224"/>
    </row>
    <row r="225" spans="3:4">
      <c r="C225" s="224"/>
      <c r="D225" s="224"/>
    </row>
    <row r="226" spans="3:4">
      <c r="C226" s="224" t="s">
        <v>106</v>
      </c>
      <c r="D226" s="224"/>
    </row>
    <row r="227" spans="3:4">
      <c r="C227" s="224" t="s">
        <v>107</v>
      </c>
      <c r="D227" s="224"/>
    </row>
    <row r="228" spans="3:4">
      <c r="C228" s="224" t="s">
        <v>266</v>
      </c>
      <c r="D228" s="224"/>
    </row>
    <row r="229" spans="3:4">
      <c r="C229" s="224"/>
      <c r="D229" s="224"/>
    </row>
    <row r="230" spans="3:4">
      <c r="C230" s="224" t="s">
        <v>108</v>
      </c>
      <c r="D230" s="224"/>
    </row>
    <row r="231" spans="3:4">
      <c r="C231" s="224" t="s">
        <v>109</v>
      </c>
      <c r="D231" s="224"/>
    </row>
    <row r="232" spans="3:4">
      <c r="C232" s="224" t="s">
        <v>110</v>
      </c>
      <c r="D232" s="224"/>
    </row>
    <row r="233" spans="3:4">
      <c r="C233" s="224" t="s">
        <v>111</v>
      </c>
      <c r="D233" s="224"/>
    </row>
    <row r="234" spans="3:4">
      <c r="C234" s="224" t="s">
        <v>112</v>
      </c>
      <c r="D234" s="224"/>
    </row>
    <row r="235" spans="3:4">
      <c r="C235" s="224" t="s">
        <v>113</v>
      </c>
      <c r="D235" s="224"/>
    </row>
    <row r="236" spans="3:4">
      <c r="C236" s="224" t="s">
        <v>174</v>
      </c>
      <c r="D236" s="224"/>
    </row>
    <row r="237" spans="3:4">
      <c r="C237" s="224"/>
      <c r="D237" s="224"/>
    </row>
    <row r="238" spans="3:4">
      <c r="C238" s="224" t="s">
        <v>114</v>
      </c>
      <c r="D238" s="224"/>
    </row>
    <row r="239" spans="3:4">
      <c r="C239" s="224" t="s">
        <v>115</v>
      </c>
      <c r="D239" s="224"/>
    </row>
    <row r="240" spans="3:4">
      <c r="C240" s="224" t="s">
        <v>175</v>
      </c>
      <c r="D240" s="224"/>
    </row>
    <row r="241" spans="3:4">
      <c r="C241" s="224"/>
      <c r="D241" s="224"/>
    </row>
    <row r="242" spans="3:4">
      <c r="C242" s="224" t="s">
        <v>116</v>
      </c>
      <c r="D242" s="224"/>
    </row>
    <row r="243" spans="3:4">
      <c r="C243" s="224" t="s">
        <v>117</v>
      </c>
      <c r="D243" s="224"/>
    </row>
    <row r="244" spans="3:4">
      <c r="C244" s="224" t="s">
        <v>118</v>
      </c>
      <c r="D244" s="224"/>
    </row>
    <row r="245" spans="3:4">
      <c r="C245" s="224"/>
      <c r="D245" s="224"/>
    </row>
    <row r="246" spans="3:4">
      <c r="C246" s="224" t="s">
        <v>119</v>
      </c>
      <c r="D246" s="224"/>
    </row>
    <row r="247" spans="3:4">
      <c r="C247" s="224" t="s">
        <v>120</v>
      </c>
      <c r="D247" s="224"/>
    </row>
    <row r="248" spans="3:4">
      <c r="C248" s="224" t="s">
        <v>121</v>
      </c>
      <c r="D248" s="224"/>
    </row>
    <row r="249" spans="3:4">
      <c r="C249" s="224"/>
      <c r="D249" s="224"/>
    </row>
    <row r="250" spans="3:4">
      <c r="C250" s="223" t="s">
        <v>618</v>
      </c>
      <c r="D250" s="224"/>
    </row>
    <row r="251" spans="3:4">
      <c r="C251" s="224" t="s">
        <v>122</v>
      </c>
      <c r="D251" s="224"/>
    </row>
    <row r="252" spans="3:4">
      <c r="C252" s="224" t="s">
        <v>123</v>
      </c>
      <c r="D252" s="224"/>
    </row>
    <row r="253" spans="3:4">
      <c r="C253" s="224" t="s">
        <v>176</v>
      </c>
      <c r="D253" s="224"/>
    </row>
    <row r="254" spans="3:4">
      <c r="C254" s="224" t="s">
        <v>177</v>
      </c>
      <c r="D254" s="224"/>
    </row>
    <row r="255" spans="3:4">
      <c r="C255" s="224"/>
      <c r="D255" s="224"/>
    </row>
    <row r="256" spans="3:4">
      <c r="C256" s="224" t="s">
        <v>124</v>
      </c>
      <c r="D256" s="224"/>
    </row>
    <row r="257" spans="3:4">
      <c r="C257" s="220" t="s">
        <v>178</v>
      </c>
      <c r="D257" s="224"/>
    </row>
    <row r="258" spans="3:4">
      <c r="C258" s="224"/>
      <c r="D258" s="224"/>
    </row>
    <row r="259" spans="3:4">
      <c r="C259" s="223" t="s">
        <v>267</v>
      </c>
      <c r="D259" s="224"/>
    </row>
    <row r="260" spans="3:4">
      <c r="C260" s="224" t="s">
        <v>125</v>
      </c>
      <c r="D260" s="224"/>
    </row>
    <row r="261" spans="3:4">
      <c r="C261" s="224" t="s">
        <v>126</v>
      </c>
      <c r="D261" s="224"/>
    </row>
    <row r="262" spans="3:4">
      <c r="C262" s="224" t="s">
        <v>127</v>
      </c>
      <c r="D262" s="224"/>
    </row>
    <row r="263" spans="3:4">
      <c r="C263" s="224"/>
      <c r="D263" s="224"/>
    </row>
    <row r="264" spans="3:4">
      <c r="C264" s="224" t="s">
        <v>268</v>
      </c>
      <c r="D264" s="224"/>
    </row>
    <row r="265" spans="3:4">
      <c r="C265" s="224" t="s">
        <v>269</v>
      </c>
      <c r="D265" s="224"/>
    </row>
    <row r="266" spans="3:4">
      <c r="C266" s="224"/>
      <c r="D266" s="224"/>
    </row>
    <row r="267" spans="3:4">
      <c r="C267" s="223" t="s">
        <v>270</v>
      </c>
      <c r="D267" s="224"/>
    </row>
    <row r="268" spans="3:4">
      <c r="C268" s="224" t="s">
        <v>128</v>
      </c>
      <c r="D268" s="224"/>
    </row>
    <row r="269" spans="3:4">
      <c r="C269" s="224" t="s">
        <v>129</v>
      </c>
      <c r="D269" s="224"/>
    </row>
    <row r="270" spans="3:4">
      <c r="C270" s="224"/>
      <c r="D270" s="224"/>
    </row>
    <row r="271" spans="3:4">
      <c r="C271" s="223" t="s">
        <v>15</v>
      </c>
      <c r="D271" s="224"/>
    </row>
    <row r="272" spans="3:4">
      <c r="C272" s="224" t="s">
        <v>130</v>
      </c>
      <c r="D272" s="224"/>
    </row>
    <row r="273" spans="3:4">
      <c r="C273" s="224" t="s">
        <v>131</v>
      </c>
      <c r="D273" s="224"/>
    </row>
    <row r="274" spans="3:4">
      <c r="C274" s="224"/>
      <c r="D274" s="224"/>
    </row>
    <row r="275" spans="3:4">
      <c r="C275" s="224" t="s">
        <v>271</v>
      </c>
      <c r="D275" s="224"/>
    </row>
    <row r="278" spans="3:4" ht="15">
      <c r="C278" s="222" t="s">
        <v>521</v>
      </c>
    </row>
    <row r="279" spans="3:4">
      <c r="C279" s="223" t="s">
        <v>522</v>
      </c>
    </row>
    <row r="280" spans="3:4">
      <c r="C280" s="290" t="s">
        <v>1</v>
      </c>
    </row>
    <row r="281" spans="3:4">
      <c r="C281" s="291" t="s">
        <v>138</v>
      </c>
    </row>
    <row r="282" spans="3:4">
      <c r="C282" s="290" t="s">
        <v>2</v>
      </c>
    </row>
    <row r="283" spans="3:4">
      <c r="C283" s="291" t="s">
        <v>139</v>
      </c>
    </row>
    <row r="284" spans="3:4">
      <c r="C284" s="290" t="s">
        <v>3</v>
      </c>
    </row>
    <row r="285" spans="3:4">
      <c r="C285" s="292" t="s">
        <v>523</v>
      </c>
    </row>
    <row r="286" spans="3:4">
      <c r="C286" s="292" t="s">
        <v>524</v>
      </c>
    </row>
    <row r="287" spans="3:4">
      <c r="C287" s="292" t="s">
        <v>279</v>
      </c>
    </row>
    <row r="288" spans="3:4">
      <c r="C288" s="292" t="s">
        <v>280</v>
      </c>
    </row>
    <row r="289" spans="3:3">
      <c r="C289" s="290" t="s">
        <v>4</v>
      </c>
    </row>
    <row r="290" spans="3:3">
      <c r="C290" s="291" t="s">
        <v>140</v>
      </c>
    </row>
    <row r="291" spans="3:3">
      <c r="C291" s="290" t="s">
        <v>5</v>
      </c>
    </row>
    <row r="292" spans="3:3">
      <c r="C292" s="291" t="s">
        <v>141</v>
      </c>
    </row>
    <row r="293" spans="3:3">
      <c r="C293" s="290" t="s">
        <v>6</v>
      </c>
    </row>
    <row r="294" spans="3:3">
      <c r="C294" s="223" t="s">
        <v>62</v>
      </c>
    </row>
    <row r="295" spans="3:3">
      <c r="C295" s="232" t="s">
        <v>525</v>
      </c>
    </row>
    <row r="296" spans="3:3">
      <c r="C296" s="232" t="s">
        <v>142</v>
      </c>
    </row>
    <row r="297" spans="3:3">
      <c r="C297" s="232" t="s">
        <v>143</v>
      </c>
    </row>
    <row r="298" spans="3:3">
      <c r="C298" s="232" t="s">
        <v>144</v>
      </c>
    </row>
    <row r="299" spans="3:3">
      <c r="C299" s="232" t="s">
        <v>145</v>
      </c>
    </row>
    <row r="300" spans="3:3">
      <c r="C300" s="232" t="s">
        <v>146</v>
      </c>
    </row>
    <row r="301" spans="3:3">
      <c r="C301" s="232" t="s">
        <v>58</v>
      </c>
    </row>
    <row r="302" spans="3:3">
      <c r="C302" s="290" t="s">
        <v>7</v>
      </c>
    </row>
    <row r="303" spans="3:3">
      <c r="C303" s="291" t="s">
        <v>147</v>
      </c>
    </row>
    <row r="304" spans="3:3">
      <c r="C304" s="290" t="s">
        <v>8</v>
      </c>
    </row>
    <row r="305" spans="3:4">
      <c r="C305" s="291" t="s">
        <v>148</v>
      </c>
    </row>
    <row r="306" spans="3:4">
      <c r="C306" s="224"/>
    </row>
    <row r="307" spans="3:4">
      <c r="C307" s="224"/>
    </row>
    <row r="308" spans="3:4">
      <c r="C308" s="223" t="s">
        <v>134</v>
      </c>
    </row>
    <row r="309" spans="3:4">
      <c r="C309" s="224"/>
    </row>
    <row r="310" spans="3:4">
      <c r="C310" s="223" t="s">
        <v>153</v>
      </c>
    </row>
    <row r="311" spans="3:4">
      <c r="C311" s="223" t="s">
        <v>154</v>
      </c>
    </row>
    <row r="312" spans="3:4">
      <c r="C312" s="224" t="s">
        <v>149</v>
      </c>
    </row>
    <row r="313" spans="3:4">
      <c r="C313" s="224" t="s">
        <v>150</v>
      </c>
    </row>
    <row r="314" spans="3:4">
      <c r="C314" s="224" t="s">
        <v>151</v>
      </c>
    </row>
    <row r="315" spans="3:4">
      <c r="C315" s="224" t="s">
        <v>152</v>
      </c>
    </row>
    <row r="316" spans="3:4">
      <c r="C316" s="224" t="s">
        <v>135</v>
      </c>
    </row>
    <row r="317" spans="3:4">
      <c r="C317" s="233" t="s">
        <v>137</v>
      </c>
      <c r="D317" s="224" t="s">
        <v>60</v>
      </c>
    </row>
    <row r="318" spans="3:4">
      <c r="C318" s="224" t="s">
        <v>135</v>
      </c>
    </row>
    <row r="319" spans="3:4">
      <c r="C319" s="224"/>
    </row>
    <row r="320" spans="3:4">
      <c r="C320" s="223" t="s">
        <v>136</v>
      </c>
    </row>
    <row r="321" spans="3:3">
      <c r="C321" s="224" t="s">
        <v>59</v>
      </c>
    </row>
    <row r="322" spans="3:3">
      <c r="C322" s="224" t="s">
        <v>155</v>
      </c>
    </row>
    <row r="323" spans="3:3">
      <c r="C323" s="224" t="s">
        <v>156</v>
      </c>
    </row>
    <row r="324" spans="3:3">
      <c r="C324" s="224"/>
    </row>
    <row r="325" spans="3:3">
      <c r="C325" s="224"/>
    </row>
    <row r="326" spans="3:3">
      <c r="C326" s="224"/>
    </row>
    <row r="327" spans="3:3">
      <c r="C327" s="224"/>
    </row>
    <row r="328" spans="3:3">
      <c r="C328" s="224"/>
    </row>
    <row r="329" spans="3:3">
      <c r="C329" s="224"/>
    </row>
    <row r="330" spans="3:3">
      <c r="C330" s="224"/>
    </row>
    <row r="331" spans="3:3">
      <c r="C331" s="224"/>
    </row>
    <row r="332" spans="3:3">
      <c r="C332" s="224"/>
    </row>
    <row r="333" spans="3:3">
      <c r="C333" s="224"/>
    </row>
    <row r="334" spans="3:3">
      <c r="C334" s="224"/>
    </row>
    <row r="335" spans="3:3">
      <c r="C335" s="224"/>
    </row>
    <row r="336" spans="3:3">
      <c r="C336" s="224"/>
    </row>
    <row r="337" spans="3:3">
      <c r="C337" s="224"/>
    </row>
    <row r="338" spans="3:3">
      <c r="C338" s="224"/>
    </row>
    <row r="339" spans="3:3">
      <c r="C339" s="224"/>
    </row>
    <row r="340" spans="3:3">
      <c r="C340" s="224"/>
    </row>
    <row r="341" spans="3:3">
      <c r="C341" s="224"/>
    </row>
    <row r="342" spans="3:3">
      <c r="C342" s="224"/>
    </row>
    <row r="343" spans="3:3">
      <c r="C343" s="224"/>
    </row>
    <row r="344" spans="3:3">
      <c r="C344" s="224"/>
    </row>
    <row r="345" spans="3:3">
      <c r="C345" s="224"/>
    </row>
    <row r="346" spans="3:3">
      <c r="C346" s="224"/>
    </row>
    <row r="347" spans="3:3">
      <c r="C347" s="224"/>
    </row>
    <row r="348" spans="3:3">
      <c r="C348" s="224"/>
    </row>
    <row r="349" spans="3:3">
      <c r="C349" s="224"/>
    </row>
  </sheetData>
  <phoneticPr fontId="0" type="noConversion"/>
  <pageMargins left="0.75" right="0.75" top="1" bottom="1" header="0.5" footer="0.5"/>
  <pageSetup paperSize="9" scale="75" orientation="portrait" r:id="rId1"/>
  <headerFooter alignWithMargins="0">
    <oddHeader>&amp;L&amp;"Arial,Vet"&amp;F&amp;C&amp;"Arial,Vet"&amp;A&amp;R&amp;"Arial,Vet"&amp;D</oddHeader>
    <oddFooter>&amp;L&amp;"Arial,Vet"VOS/ABB&amp;C&amp;"Arial,Vet"&amp;P&amp;R&amp;"Arial,Vet"Toolbox</oddFooter>
  </headerFooter>
  <rowBreaks count="4" manualBreakCount="4">
    <brk id="73" min="1" max="13" man="1"/>
    <brk id="148" min="1" max="13" man="1"/>
    <brk id="214" min="1" max="13" man="1"/>
    <brk id="275" min="1" max="13" man="1"/>
  </rowBreaks>
</worksheet>
</file>

<file path=xl/worksheets/sheet10.xml><?xml version="1.0" encoding="utf-8"?>
<worksheet xmlns="http://schemas.openxmlformats.org/spreadsheetml/2006/main" xmlns:r="http://schemas.openxmlformats.org/officeDocument/2006/relationships">
  <sheetPr>
    <pageSetUpPr fitToPage="1"/>
  </sheetPr>
  <dimension ref="B2:L57"/>
  <sheetViews>
    <sheetView zoomScale="85" zoomScaleNormal="100" workbookViewId="0"/>
  </sheetViews>
  <sheetFormatPr defaultRowHeight="12.75"/>
  <cols>
    <col min="1" max="1" width="4.140625" style="7" customWidth="1"/>
    <col min="2" max="2" width="17.28515625" style="7" customWidth="1"/>
    <col min="3" max="3" width="10" style="7" customWidth="1"/>
    <col min="4" max="4" width="10.140625" style="7" customWidth="1"/>
    <col min="5" max="5" width="7.5703125" style="7" customWidth="1"/>
    <col min="6" max="6" width="11" style="7" customWidth="1"/>
    <col min="7" max="7" width="13.7109375" style="7" customWidth="1"/>
    <col min="8" max="8" width="13.7109375" style="7" bestFit="1" customWidth="1"/>
    <col min="9" max="9" width="12.42578125" style="7" customWidth="1"/>
    <col min="10" max="10" width="8.140625" style="7" customWidth="1"/>
    <col min="11" max="11" width="7.42578125" style="7" customWidth="1"/>
    <col min="12" max="16384" width="9.140625" style="7"/>
  </cols>
  <sheetData>
    <row r="2" spans="2:12">
      <c r="B2" s="6" t="s">
        <v>619</v>
      </c>
    </row>
    <row r="3" spans="2:12" ht="13.5" thickBot="1">
      <c r="B3" s="6" t="s">
        <v>620</v>
      </c>
      <c r="I3" s="6" t="s">
        <v>320</v>
      </c>
    </row>
    <row r="4" spans="2:12" ht="13.5" thickTop="1">
      <c r="B4" s="7" t="s">
        <v>296</v>
      </c>
      <c r="D4" s="295" t="s">
        <v>308</v>
      </c>
      <c r="E4" s="296"/>
      <c r="F4" s="296"/>
      <c r="G4" s="297"/>
      <c r="I4" s="8" t="s">
        <v>349</v>
      </c>
      <c r="J4" s="9"/>
      <c r="K4" s="10">
        <f>+E53</f>
        <v>1656</v>
      </c>
    </row>
    <row r="5" spans="2:12">
      <c r="B5" s="7" t="s">
        <v>297</v>
      </c>
      <c r="D5" s="295" t="s">
        <v>326</v>
      </c>
      <c r="E5" s="298"/>
      <c r="F5" s="298"/>
      <c r="G5" s="299"/>
      <c r="I5" s="11" t="s">
        <v>350</v>
      </c>
      <c r="J5" s="12"/>
      <c r="K5" s="13">
        <f>+E54</f>
        <v>0</v>
      </c>
    </row>
    <row r="6" spans="2:12" ht="13.5" thickBot="1">
      <c r="B6" s="7" t="s">
        <v>322</v>
      </c>
      <c r="C6" s="14"/>
      <c r="D6" s="5">
        <v>20394</v>
      </c>
      <c r="F6" s="15" t="s">
        <v>315</v>
      </c>
      <c r="G6" s="4">
        <f>+G9</f>
        <v>57</v>
      </c>
      <c r="I6" s="16" t="s">
        <v>321</v>
      </c>
      <c r="J6" s="17"/>
      <c r="K6" s="18">
        <f>SUM(K4:K5)</f>
        <v>1656</v>
      </c>
    </row>
    <row r="7" spans="2:12" ht="13.5" thickTop="1">
      <c r="B7" s="7" t="s">
        <v>298</v>
      </c>
      <c r="D7" s="295" t="s">
        <v>309</v>
      </c>
      <c r="E7" s="298"/>
      <c r="F7" s="298"/>
      <c r="G7" s="299"/>
    </row>
    <row r="8" spans="2:12">
      <c r="B8" s="7" t="s">
        <v>282</v>
      </c>
      <c r="C8" s="51" t="str">
        <f>+tab!C79</f>
        <v>2013-2014</v>
      </c>
      <c r="D8" s="14"/>
      <c r="E8" s="14"/>
      <c r="F8" s="19"/>
      <c r="G8" s="19"/>
      <c r="I8" s="6"/>
      <c r="J8" s="6"/>
      <c r="K8" s="20"/>
    </row>
    <row r="9" spans="2:12">
      <c r="B9" s="6" t="s">
        <v>323</v>
      </c>
      <c r="C9" s="6"/>
      <c r="D9" s="20">
        <v>41487</v>
      </c>
      <c r="E9" s="21"/>
      <c r="F9" s="21">
        <f>YEAR(D9-D6)</f>
        <v>1957</v>
      </c>
      <c r="G9" s="21">
        <f>+F9-1900</f>
        <v>57</v>
      </c>
      <c r="J9" s="6"/>
      <c r="K9" s="6"/>
    </row>
    <row r="10" spans="2:12">
      <c r="L10" s="22"/>
    </row>
    <row r="11" spans="2:12">
      <c r="B11" s="7" t="s">
        <v>283</v>
      </c>
      <c r="D11" s="3">
        <v>1</v>
      </c>
    </row>
    <row r="12" spans="2:12">
      <c r="B12" s="7" t="s">
        <v>305</v>
      </c>
      <c r="E12" s="7">
        <v>1659</v>
      </c>
      <c r="F12" s="7" t="s">
        <v>302</v>
      </c>
    </row>
    <row r="14" spans="2:12">
      <c r="B14" s="23" t="s">
        <v>327</v>
      </c>
      <c r="C14" s="24"/>
      <c r="D14" s="24">
        <v>36.86</v>
      </c>
      <c r="E14" s="24" t="s">
        <v>328</v>
      </c>
      <c r="F14" s="24"/>
      <c r="G14" s="24" t="s">
        <v>329</v>
      </c>
      <c r="H14" s="25">
        <f>ROUND(+E$12/D14,1)</f>
        <v>45</v>
      </c>
      <c r="I14" s="24" t="s">
        <v>330</v>
      </c>
      <c r="J14" s="24">
        <v>266</v>
      </c>
      <c r="K14" s="26" t="s">
        <v>314</v>
      </c>
    </row>
    <row r="15" spans="2:12">
      <c r="B15" s="27"/>
      <c r="C15" s="28"/>
      <c r="D15" s="28">
        <v>36</v>
      </c>
      <c r="E15" s="28" t="s">
        <v>328</v>
      </c>
      <c r="F15" s="28"/>
      <c r="G15" s="28" t="s">
        <v>329</v>
      </c>
      <c r="H15" s="29">
        <f>ROUND(+E$12/D15,1)</f>
        <v>46.1</v>
      </c>
      <c r="I15" s="28"/>
      <c r="J15" s="28">
        <v>218</v>
      </c>
      <c r="K15" s="30" t="s">
        <v>314</v>
      </c>
    </row>
    <row r="16" spans="2:12">
      <c r="B16" s="27"/>
      <c r="C16" s="28"/>
      <c r="D16" s="28">
        <v>38</v>
      </c>
      <c r="E16" s="28" t="s">
        <v>328</v>
      </c>
      <c r="F16" s="28"/>
      <c r="G16" s="28" t="s">
        <v>329</v>
      </c>
      <c r="H16" s="29">
        <f>ROUND(+E$12/D16,1)</f>
        <v>43.7</v>
      </c>
      <c r="I16" s="28"/>
      <c r="J16" s="28">
        <v>322</v>
      </c>
      <c r="K16" s="30" t="s">
        <v>314</v>
      </c>
    </row>
    <row r="17" spans="2:11">
      <c r="B17" s="31"/>
      <c r="C17" s="32"/>
      <c r="D17" s="32">
        <v>40</v>
      </c>
      <c r="E17" s="32" t="s">
        <v>328</v>
      </c>
      <c r="F17" s="32"/>
      <c r="G17" s="32" t="s">
        <v>329</v>
      </c>
      <c r="H17" s="33">
        <f>ROUND(+E$12/D17,1)</f>
        <v>41.5</v>
      </c>
      <c r="I17" s="32"/>
      <c r="J17" s="32">
        <v>426</v>
      </c>
      <c r="K17" s="34" t="s">
        <v>314</v>
      </c>
    </row>
    <row r="18" spans="2:11">
      <c r="B18" s="28"/>
      <c r="C18" s="28"/>
      <c r="D18" s="28"/>
      <c r="E18" s="28"/>
      <c r="F18" s="28"/>
      <c r="G18" s="28"/>
      <c r="H18" s="29"/>
      <c r="I18" s="28"/>
      <c r="J18" s="28"/>
      <c r="K18" s="28"/>
    </row>
    <row r="19" spans="2:11">
      <c r="B19" s="23" t="s">
        <v>341</v>
      </c>
      <c r="C19" s="24"/>
      <c r="D19" s="24"/>
      <c r="E19" s="24"/>
      <c r="F19" s="24"/>
      <c r="G19" s="24"/>
      <c r="H19" s="26"/>
    </row>
    <row r="20" spans="2:11">
      <c r="B20" s="27" t="s">
        <v>334</v>
      </c>
      <c r="C20" s="35">
        <v>0</v>
      </c>
      <c r="D20" s="28">
        <v>0</v>
      </c>
      <c r="E20" s="28" t="s">
        <v>314</v>
      </c>
      <c r="F20" s="28" t="s">
        <v>352</v>
      </c>
      <c r="G20" s="28"/>
      <c r="H20" s="30">
        <f>ROUND(+E$12*D$11-D$11*D20,0)</f>
        <v>1659</v>
      </c>
    </row>
    <row r="21" spans="2:11">
      <c r="B21" s="27" t="s">
        <v>331</v>
      </c>
      <c r="C21" s="35">
        <v>50</v>
      </c>
      <c r="D21" s="28">
        <v>32</v>
      </c>
      <c r="E21" s="28" t="s">
        <v>314</v>
      </c>
      <c r="F21" s="28" t="s">
        <v>352</v>
      </c>
      <c r="G21" s="28"/>
      <c r="H21" s="30">
        <f>ROUND(+E$12*D$11-D$11*D21,0)</f>
        <v>1627</v>
      </c>
    </row>
    <row r="22" spans="2:11">
      <c r="B22" s="27" t="s">
        <v>332</v>
      </c>
      <c r="C22" s="35">
        <v>55</v>
      </c>
      <c r="D22" s="28">
        <v>40</v>
      </c>
      <c r="E22" s="28" t="s">
        <v>314</v>
      </c>
      <c r="F22" s="28" t="s">
        <v>352</v>
      </c>
      <c r="G22" s="28"/>
      <c r="H22" s="30">
        <f>ROUND(+E$12*D$11-D$11*D22,0)</f>
        <v>1619</v>
      </c>
    </row>
    <row r="23" spans="2:11">
      <c r="B23" s="31" t="s">
        <v>333</v>
      </c>
      <c r="C23" s="36">
        <v>60</v>
      </c>
      <c r="D23" s="32">
        <v>48</v>
      </c>
      <c r="E23" s="32" t="s">
        <v>314</v>
      </c>
      <c r="F23" s="32" t="s">
        <v>352</v>
      </c>
      <c r="G23" s="32"/>
      <c r="H23" s="34">
        <f>ROUND(+E$12*D$11-D$11*D23,0)</f>
        <v>1611</v>
      </c>
    </row>
    <row r="25" spans="2:11">
      <c r="B25" s="37" t="s">
        <v>342</v>
      </c>
      <c r="C25" s="38"/>
      <c r="D25" s="39"/>
      <c r="E25" s="40"/>
    </row>
    <row r="26" spans="2:11">
      <c r="B26" s="41" t="s">
        <v>312</v>
      </c>
      <c r="C26" s="42">
        <v>170</v>
      </c>
      <c r="D26" s="43" t="s">
        <v>314</v>
      </c>
      <c r="E26" s="40"/>
      <c r="F26" s="21">
        <v>750</v>
      </c>
    </row>
    <row r="27" spans="2:11">
      <c r="B27" s="44" t="s">
        <v>313</v>
      </c>
      <c r="C27" s="45">
        <v>340</v>
      </c>
      <c r="D27" s="46" t="s">
        <v>314</v>
      </c>
      <c r="E27" s="40"/>
      <c r="F27" s="21">
        <f>+E12-F26-F28</f>
        <v>743</v>
      </c>
    </row>
    <row r="28" spans="2:11">
      <c r="E28" s="40"/>
      <c r="F28" s="21">
        <v>166</v>
      </c>
    </row>
    <row r="29" spans="2:11">
      <c r="B29" s="7" t="s">
        <v>310</v>
      </c>
      <c r="C29" s="2">
        <v>0</v>
      </c>
      <c r="D29" s="47" t="s">
        <v>302</v>
      </c>
    </row>
    <row r="30" spans="2:11">
      <c r="B30" s="7" t="s">
        <v>316</v>
      </c>
      <c r="C30" s="7">
        <f>ROUND(IF(G6&lt;52,0,IF(G6&lt;56,IF(D11*C26&gt;170,170,D11*C26),IF(D11*C27&gt;340,340,D11*C27))),0)</f>
        <v>340</v>
      </c>
    </row>
    <row r="32" spans="2:11">
      <c r="B32" s="7" t="s">
        <v>336</v>
      </c>
      <c r="C32" s="2">
        <v>36</v>
      </c>
    </row>
    <row r="33" spans="2:10">
      <c r="B33" s="7" t="s">
        <v>340</v>
      </c>
      <c r="E33" s="2">
        <v>12</v>
      </c>
      <c r="G33" s="7" t="s">
        <v>346</v>
      </c>
      <c r="J33" s="2">
        <v>11</v>
      </c>
    </row>
    <row r="34" spans="2:10">
      <c r="D34" s="7" t="s">
        <v>335</v>
      </c>
      <c r="I34" s="7" t="s">
        <v>335</v>
      </c>
    </row>
    <row r="35" spans="2:10">
      <c r="C35" s="7" t="s">
        <v>285</v>
      </c>
      <c r="D35" s="2">
        <v>9</v>
      </c>
      <c r="H35" s="7" t="s">
        <v>285</v>
      </c>
      <c r="I35" s="2">
        <f>+D45</f>
        <v>9</v>
      </c>
    </row>
    <row r="36" spans="2:10">
      <c r="C36" s="7" t="s">
        <v>286</v>
      </c>
      <c r="D36" s="2">
        <v>9</v>
      </c>
      <c r="H36" s="7" t="s">
        <v>286</v>
      </c>
      <c r="I36" s="2">
        <f>+D46</f>
        <v>9</v>
      </c>
    </row>
    <row r="37" spans="2:10">
      <c r="C37" s="7" t="s">
        <v>287</v>
      </c>
      <c r="D37" s="2">
        <v>9</v>
      </c>
      <c r="H37" s="7" t="s">
        <v>287</v>
      </c>
      <c r="I37" s="2">
        <f>+D47</f>
        <v>9</v>
      </c>
    </row>
    <row r="38" spans="2:10">
      <c r="C38" s="7" t="s">
        <v>288</v>
      </c>
      <c r="D38" s="2">
        <v>9</v>
      </c>
      <c r="H38" s="7" t="s">
        <v>288</v>
      </c>
      <c r="I38" s="2">
        <f>+D48</f>
        <v>9</v>
      </c>
    </row>
    <row r="39" spans="2:10">
      <c r="C39" s="7" t="s">
        <v>289</v>
      </c>
      <c r="D39" s="2">
        <v>0</v>
      </c>
      <c r="H39" s="7" t="s">
        <v>289</v>
      </c>
      <c r="I39" s="2">
        <f>+D49</f>
        <v>0</v>
      </c>
    </row>
    <row r="40" spans="2:10">
      <c r="C40" s="14" t="s">
        <v>295</v>
      </c>
      <c r="D40" s="7">
        <f>SUM(D35:D39)</f>
        <v>36</v>
      </c>
      <c r="E40" s="7" t="s">
        <v>302</v>
      </c>
      <c r="H40" s="14" t="s">
        <v>295</v>
      </c>
      <c r="I40" s="7">
        <f>SUM(I35:I39)</f>
        <v>36</v>
      </c>
      <c r="J40" s="7" t="s">
        <v>302</v>
      </c>
    </row>
    <row r="41" spans="2:10">
      <c r="C41" s="14" t="s">
        <v>337</v>
      </c>
      <c r="D41" s="7">
        <f>+D40*E33</f>
        <v>432</v>
      </c>
      <c r="E41" s="7" t="s">
        <v>302</v>
      </c>
      <c r="H41" s="14" t="s">
        <v>337</v>
      </c>
      <c r="I41" s="7">
        <f>+I40*J33</f>
        <v>396</v>
      </c>
      <c r="J41" s="7" t="s">
        <v>302</v>
      </c>
    </row>
    <row r="43" spans="2:10">
      <c r="B43" s="7" t="s">
        <v>345</v>
      </c>
      <c r="E43" s="2">
        <v>11</v>
      </c>
      <c r="G43" s="7" t="s">
        <v>347</v>
      </c>
      <c r="J43" s="2">
        <v>12</v>
      </c>
    </row>
    <row r="44" spans="2:10">
      <c r="D44" s="7" t="s">
        <v>335</v>
      </c>
      <c r="I44" s="7" t="s">
        <v>335</v>
      </c>
    </row>
    <row r="45" spans="2:10">
      <c r="C45" s="7" t="s">
        <v>285</v>
      </c>
      <c r="D45" s="2">
        <f>+D35</f>
        <v>9</v>
      </c>
      <c r="H45" s="7" t="s">
        <v>285</v>
      </c>
      <c r="I45" s="2">
        <f>+I35</f>
        <v>9</v>
      </c>
    </row>
    <row r="46" spans="2:10">
      <c r="C46" s="7" t="s">
        <v>286</v>
      </c>
      <c r="D46" s="2">
        <f>+D36</f>
        <v>9</v>
      </c>
      <c r="H46" s="7" t="s">
        <v>286</v>
      </c>
      <c r="I46" s="2">
        <f>+I36</f>
        <v>9</v>
      </c>
    </row>
    <row r="47" spans="2:10">
      <c r="C47" s="7" t="s">
        <v>287</v>
      </c>
      <c r="D47" s="2">
        <f>+D37</f>
        <v>9</v>
      </c>
      <c r="H47" s="7" t="s">
        <v>287</v>
      </c>
      <c r="I47" s="2">
        <f>+I37</f>
        <v>9</v>
      </c>
    </row>
    <row r="48" spans="2:10">
      <c r="C48" s="7" t="s">
        <v>288</v>
      </c>
      <c r="D48" s="2">
        <f>+D38</f>
        <v>9</v>
      </c>
      <c r="H48" s="7" t="s">
        <v>288</v>
      </c>
      <c r="I48" s="2">
        <f>+I38</f>
        <v>9</v>
      </c>
    </row>
    <row r="49" spans="2:10">
      <c r="C49" s="7" t="s">
        <v>289</v>
      </c>
      <c r="D49" s="2">
        <f>+D39</f>
        <v>0</v>
      </c>
      <c r="H49" s="7" t="s">
        <v>289</v>
      </c>
      <c r="I49" s="2">
        <f>+I39</f>
        <v>0</v>
      </c>
    </row>
    <row r="50" spans="2:10">
      <c r="C50" s="14" t="s">
        <v>295</v>
      </c>
      <c r="D50" s="7">
        <f>SUM(D45:D49)</f>
        <v>36</v>
      </c>
      <c r="E50" s="7" t="s">
        <v>302</v>
      </c>
      <c r="H50" s="14" t="s">
        <v>295</v>
      </c>
      <c r="I50" s="7">
        <f>SUM(I45:I49)</f>
        <v>36</v>
      </c>
      <c r="J50" s="7" t="s">
        <v>302</v>
      </c>
    </row>
    <row r="51" spans="2:10">
      <c r="C51" s="14" t="s">
        <v>337</v>
      </c>
      <c r="D51" s="7">
        <f>+D50*E43</f>
        <v>396</v>
      </c>
      <c r="E51" s="7" t="s">
        <v>302</v>
      </c>
      <c r="H51" s="14" t="s">
        <v>337</v>
      </c>
      <c r="I51" s="7">
        <f>+I50*J43</f>
        <v>432</v>
      </c>
      <c r="J51" s="7" t="s">
        <v>302</v>
      </c>
    </row>
    <row r="53" spans="2:10">
      <c r="B53" s="7" t="s">
        <v>338</v>
      </c>
      <c r="E53" s="48">
        <f>+D41+D51+I41+I51</f>
        <v>1656</v>
      </c>
    </row>
    <row r="54" spans="2:10">
      <c r="B54" s="7" t="s">
        <v>343</v>
      </c>
      <c r="E54" s="48">
        <f>+C29</f>
        <v>0</v>
      </c>
    </row>
    <row r="55" spans="2:10">
      <c r="B55" s="6" t="s">
        <v>344</v>
      </c>
      <c r="C55" s="6"/>
      <c r="D55" s="6"/>
      <c r="E55" s="22">
        <f>SUM(E53:E54)</f>
        <v>1656</v>
      </c>
    </row>
    <row r="56" spans="2:10">
      <c r="B56" s="49" t="s">
        <v>348</v>
      </c>
      <c r="C56" s="49"/>
      <c r="D56" s="49"/>
      <c r="E56" s="49">
        <f>+D11*E12-D11*(VLOOKUP(G6,leeftijdsuren,2,TRUE))</f>
        <v>1619</v>
      </c>
    </row>
    <row r="57" spans="2:10">
      <c r="B57" s="49"/>
      <c r="C57" s="49"/>
      <c r="D57" s="49" t="s">
        <v>351</v>
      </c>
      <c r="E57" s="50">
        <f>+E55-E56</f>
        <v>37</v>
      </c>
      <c r="H57" s="48"/>
    </row>
  </sheetData>
  <sheetProtection password="DE55" sheet="1" objects="1" scenarios="1"/>
  <mergeCells count="3">
    <mergeCell ref="D4:G4"/>
    <mergeCell ref="D5:G5"/>
    <mergeCell ref="D7:G7"/>
  </mergeCells>
  <phoneticPr fontId="0" type="noConversion"/>
  <dataValidations count="1">
    <dataValidation type="list" allowBlank="1" showInputMessage="1" showErrorMessage="1" sqref="C32">
      <formula1>$D$14:$D$17</formula1>
    </dataValidation>
  </dataValidations>
  <pageMargins left="0.75" right="0.75" top="1" bottom="1" header="0.5" footer="0.5"/>
  <pageSetup paperSize="9" scale="75" orientation="portrait" verticalDpi="0" r:id="rId1"/>
  <headerFooter alignWithMargins="0">
    <oddHeader>&amp;L&amp;"Arial,Vet"&amp;F&amp;C&amp;"Arial,Vet"OOP&amp;R&amp;"Arial,Vet"&amp;D</oddHeader>
    <oddFooter>&amp;L&amp;"Arial,Vet"VOS/ABB&amp;C&amp;"Arial,Vet"&amp;P+1&amp;R&amp;"Arial,Vet"Toolbox</oddFooter>
  </headerFooter>
  <legacyDrawing r:id="rId2"/>
</worksheet>
</file>

<file path=xl/worksheets/sheet11.xml><?xml version="1.0" encoding="utf-8"?>
<worksheet xmlns="http://schemas.openxmlformats.org/spreadsheetml/2006/main" xmlns:r="http://schemas.openxmlformats.org/officeDocument/2006/relationships">
  <dimension ref="A2:W79"/>
  <sheetViews>
    <sheetView showGridLines="0" zoomScale="75" zoomScaleNormal="75" workbookViewId="0"/>
  </sheetViews>
  <sheetFormatPr defaultRowHeight="12.75"/>
  <cols>
    <col min="1" max="1" width="3.7109375" customWidth="1"/>
    <col min="2" max="2" width="23.140625" customWidth="1"/>
    <col min="3" max="3" width="11.5703125" customWidth="1"/>
    <col min="4" max="4" width="11.28515625" customWidth="1"/>
    <col min="5" max="5" width="11.7109375" customWidth="1"/>
    <col min="6" max="6" width="11.42578125" customWidth="1"/>
    <col min="7" max="7" width="10.42578125" customWidth="1"/>
    <col min="8" max="8" width="10.7109375" customWidth="1"/>
    <col min="9" max="9" width="9.42578125" bestFit="1" customWidth="1"/>
    <col min="10" max="23" width="9.28515625" bestFit="1" customWidth="1"/>
  </cols>
  <sheetData>
    <row r="2" spans="2:23">
      <c r="B2" s="56" t="s">
        <v>409</v>
      </c>
      <c r="C2" s="57">
        <v>41456</v>
      </c>
      <c r="D2" s="58"/>
      <c r="E2" s="58"/>
      <c r="F2" s="59"/>
      <c r="G2" s="58"/>
      <c r="K2" s="58"/>
      <c r="L2" s="58"/>
      <c r="M2" s="58"/>
      <c r="N2" s="58"/>
      <c r="O2" s="58"/>
      <c r="P2" s="60"/>
      <c r="Q2" s="60"/>
      <c r="R2" s="60"/>
      <c r="S2" s="60"/>
      <c r="T2" s="60"/>
      <c r="U2" s="60"/>
      <c r="V2" s="60"/>
    </row>
    <row r="3" spans="2:23">
      <c r="B3" s="58" t="s">
        <v>410</v>
      </c>
      <c r="C3" s="61">
        <v>1</v>
      </c>
      <c r="D3" s="61">
        <v>2</v>
      </c>
      <c r="E3" s="61">
        <v>3</v>
      </c>
      <c r="F3" s="61">
        <v>4</v>
      </c>
      <c r="G3" s="61">
        <v>5</v>
      </c>
      <c r="H3" s="61">
        <v>6</v>
      </c>
      <c r="I3" s="61">
        <v>7</v>
      </c>
      <c r="J3" s="61">
        <v>8</v>
      </c>
      <c r="K3" s="61">
        <v>9</v>
      </c>
      <c r="L3" s="61">
        <v>10</v>
      </c>
      <c r="M3" s="61">
        <v>11</v>
      </c>
      <c r="N3" s="61">
        <v>12</v>
      </c>
      <c r="O3" s="61">
        <v>13</v>
      </c>
      <c r="P3" s="61">
        <v>14</v>
      </c>
      <c r="Q3" s="61">
        <v>15</v>
      </c>
      <c r="R3" s="61">
        <v>16</v>
      </c>
      <c r="S3" s="61">
        <v>17</v>
      </c>
      <c r="T3" s="61">
        <v>18</v>
      </c>
      <c r="U3" s="61">
        <v>19</v>
      </c>
      <c r="V3" s="61">
        <v>20</v>
      </c>
      <c r="W3" s="61" t="s">
        <v>411</v>
      </c>
    </row>
    <row r="4" spans="2:23">
      <c r="B4" s="62" t="s">
        <v>412</v>
      </c>
      <c r="C4" s="63">
        <v>2605</v>
      </c>
      <c r="D4" s="63">
        <v>2707</v>
      </c>
      <c r="E4" s="63">
        <v>2811</v>
      </c>
      <c r="F4" s="63">
        <v>2912</v>
      </c>
      <c r="G4" s="63">
        <v>3014</v>
      </c>
      <c r="H4" s="63">
        <v>3118</v>
      </c>
      <c r="I4" s="63">
        <v>3220</v>
      </c>
      <c r="J4" s="63">
        <v>3323</v>
      </c>
      <c r="K4" s="63">
        <v>3424</v>
      </c>
      <c r="L4" s="63">
        <v>3527</v>
      </c>
      <c r="M4" s="63">
        <v>3631</v>
      </c>
      <c r="N4" s="63"/>
      <c r="O4" s="63"/>
      <c r="P4" s="63"/>
      <c r="Q4" s="63"/>
      <c r="R4" s="63"/>
      <c r="S4" s="63"/>
      <c r="T4" s="63"/>
      <c r="U4" s="63"/>
      <c r="V4" s="63"/>
      <c r="W4" s="265">
        <f>COUNTA(C4:V4)</f>
        <v>11</v>
      </c>
    </row>
    <row r="5" spans="2:23">
      <c r="B5" s="62" t="s">
        <v>413</v>
      </c>
      <c r="C5" s="63">
        <v>2605</v>
      </c>
      <c r="D5" s="63">
        <v>2707</v>
      </c>
      <c r="E5" s="63">
        <v>2811</v>
      </c>
      <c r="F5" s="63">
        <v>2912</v>
      </c>
      <c r="G5" s="63">
        <v>3014</v>
      </c>
      <c r="H5" s="63">
        <v>3118</v>
      </c>
      <c r="I5" s="63">
        <v>3220</v>
      </c>
      <c r="J5" s="63">
        <v>3323</v>
      </c>
      <c r="K5" s="63">
        <v>3424</v>
      </c>
      <c r="L5" s="63">
        <v>3527</v>
      </c>
      <c r="M5" s="63">
        <v>3631</v>
      </c>
      <c r="N5" s="63">
        <v>3733</v>
      </c>
      <c r="O5" s="63">
        <v>3837</v>
      </c>
      <c r="P5" s="63"/>
      <c r="Q5" s="63"/>
      <c r="R5" s="63"/>
      <c r="S5" s="63"/>
      <c r="T5" s="63"/>
      <c r="U5" s="63"/>
      <c r="V5" s="63"/>
      <c r="W5" s="265">
        <f t="shared" ref="W5:W49" si="0">COUNTA(C5:V5)</f>
        <v>13</v>
      </c>
    </row>
    <row r="6" spans="2:23">
      <c r="B6" s="62" t="s">
        <v>414</v>
      </c>
      <c r="C6" s="63">
        <v>2707</v>
      </c>
      <c r="D6" s="63">
        <v>2912</v>
      </c>
      <c r="E6" s="63">
        <v>3118</v>
      </c>
      <c r="F6" s="63">
        <v>3220</v>
      </c>
      <c r="G6" s="63">
        <v>3323</v>
      </c>
      <c r="H6" s="63">
        <v>3424</v>
      </c>
      <c r="I6" s="63">
        <v>3527</v>
      </c>
      <c r="J6" s="63">
        <v>3631</v>
      </c>
      <c r="K6" s="63">
        <v>3733</v>
      </c>
      <c r="L6" s="63">
        <v>3837</v>
      </c>
      <c r="M6" s="63">
        <v>3940</v>
      </c>
      <c r="N6" s="63">
        <v>4041</v>
      </c>
      <c r="O6" s="63">
        <v>4144</v>
      </c>
      <c r="P6" s="63">
        <v>4245</v>
      </c>
      <c r="Q6" s="63">
        <v>4350</v>
      </c>
      <c r="R6" s="63"/>
      <c r="S6" s="63"/>
      <c r="T6" s="63"/>
      <c r="U6" s="63"/>
      <c r="V6" s="63"/>
      <c r="W6" s="265">
        <f t="shared" si="0"/>
        <v>15</v>
      </c>
    </row>
    <row r="7" spans="2:23">
      <c r="B7" s="62" t="s">
        <v>415</v>
      </c>
      <c r="C7" s="63">
        <v>2707</v>
      </c>
      <c r="D7" s="63">
        <v>2912</v>
      </c>
      <c r="E7" s="63">
        <v>3118</v>
      </c>
      <c r="F7" s="63">
        <v>3220</v>
      </c>
      <c r="G7" s="63">
        <v>3323</v>
      </c>
      <c r="H7" s="63">
        <v>3424</v>
      </c>
      <c r="I7" s="63">
        <v>3527</v>
      </c>
      <c r="J7" s="63">
        <v>3631</v>
      </c>
      <c r="K7" s="63">
        <v>3733</v>
      </c>
      <c r="L7" s="63">
        <v>3837</v>
      </c>
      <c r="M7" s="63">
        <v>3940</v>
      </c>
      <c r="N7" s="63">
        <v>4041</v>
      </c>
      <c r="O7" s="63">
        <v>4144</v>
      </c>
      <c r="P7" s="63">
        <v>4245</v>
      </c>
      <c r="Q7" s="63">
        <v>4350</v>
      </c>
      <c r="R7" s="63">
        <v>4452</v>
      </c>
      <c r="S7" s="63">
        <v>4555</v>
      </c>
      <c r="T7" s="63"/>
      <c r="U7" s="63"/>
      <c r="V7" s="63"/>
      <c r="W7" s="265">
        <f t="shared" si="0"/>
        <v>17</v>
      </c>
    </row>
    <row r="8" spans="2:23">
      <c r="B8" s="62" t="s">
        <v>416</v>
      </c>
      <c r="C8" s="63">
        <v>2707</v>
      </c>
      <c r="D8" s="63">
        <v>2912</v>
      </c>
      <c r="E8" s="63">
        <v>3118</v>
      </c>
      <c r="F8" s="63">
        <v>3220</v>
      </c>
      <c r="G8" s="63">
        <v>3323</v>
      </c>
      <c r="H8" s="63">
        <v>3424</v>
      </c>
      <c r="I8" s="63">
        <v>3527</v>
      </c>
      <c r="J8" s="63">
        <v>3631</v>
      </c>
      <c r="K8" s="63">
        <v>3733</v>
      </c>
      <c r="L8" s="63">
        <v>3837</v>
      </c>
      <c r="M8" s="63"/>
      <c r="N8" s="63"/>
      <c r="O8" s="63"/>
      <c r="P8" s="63"/>
      <c r="Q8" s="63"/>
      <c r="R8" s="63"/>
      <c r="S8" s="63"/>
      <c r="T8" s="63"/>
      <c r="U8" s="63"/>
      <c r="V8" s="63"/>
      <c r="W8" s="265">
        <f t="shared" si="0"/>
        <v>10</v>
      </c>
    </row>
    <row r="9" spans="2:23">
      <c r="B9" s="62" t="s">
        <v>417</v>
      </c>
      <c r="C9" s="63">
        <v>2707</v>
      </c>
      <c r="D9" s="63">
        <v>2912</v>
      </c>
      <c r="E9" s="63">
        <v>3118</v>
      </c>
      <c r="F9" s="63">
        <v>3220</v>
      </c>
      <c r="G9" s="63">
        <v>3323</v>
      </c>
      <c r="H9" s="63">
        <v>3424</v>
      </c>
      <c r="I9" s="63">
        <v>3527</v>
      </c>
      <c r="J9" s="63">
        <v>3631</v>
      </c>
      <c r="K9" s="63">
        <v>3733</v>
      </c>
      <c r="L9" s="63">
        <v>3837</v>
      </c>
      <c r="M9" s="63">
        <v>3940</v>
      </c>
      <c r="N9" s="63"/>
      <c r="O9" s="63"/>
      <c r="P9" s="63"/>
      <c r="Q9" s="63"/>
      <c r="R9" s="63"/>
      <c r="S9" s="63"/>
      <c r="T9" s="63"/>
      <c r="U9" s="63"/>
      <c r="V9" s="63"/>
      <c r="W9" s="265">
        <f t="shared" si="0"/>
        <v>11</v>
      </c>
    </row>
    <row r="10" spans="2:23">
      <c r="B10" s="62" t="s">
        <v>418</v>
      </c>
      <c r="C10" s="63">
        <v>2811</v>
      </c>
      <c r="D10" s="63">
        <v>3118</v>
      </c>
      <c r="E10" s="63">
        <v>3323</v>
      </c>
      <c r="F10" s="63">
        <v>3527</v>
      </c>
      <c r="G10" s="63">
        <v>3733</v>
      </c>
      <c r="H10" s="63">
        <v>3837</v>
      </c>
      <c r="I10" s="63">
        <v>3940</v>
      </c>
      <c r="J10" s="63">
        <v>4041</v>
      </c>
      <c r="K10" s="63">
        <v>4144</v>
      </c>
      <c r="L10" s="63">
        <v>4245</v>
      </c>
      <c r="M10" s="63">
        <v>4350</v>
      </c>
      <c r="N10" s="63">
        <v>4452</v>
      </c>
      <c r="O10" s="63">
        <v>4555</v>
      </c>
      <c r="P10" s="63"/>
      <c r="Q10" s="63"/>
      <c r="R10" s="63"/>
      <c r="S10" s="63"/>
      <c r="T10" s="63"/>
      <c r="U10" s="63"/>
      <c r="V10" s="63"/>
      <c r="W10" s="265">
        <f t="shared" si="0"/>
        <v>13</v>
      </c>
    </row>
    <row r="11" spans="2:23">
      <c r="B11" s="62" t="s">
        <v>419</v>
      </c>
      <c r="C11" s="63">
        <v>2811</v>
      </c>
      <c r="D11" s="63">
        <v>3118</v>
      </c>
      <c r="E11" s="63">
        <v>3323</v>
      </c>
      <c r="F11" s="63">
        <v>3527</v>
      </c>
      <c r="G11" s="63">
        <v>3733</v>
      </c>
      <c r="H11" s="63">
        <v>3837</v>
      </c>
      <c r="I11" s="63">
        <v>3940</v>
      </c>
      <c r="J11" s="63">
        <v>4041</v>
      </c>
      <c r="K11" s="63">
        <v>4144</v>
      </c>
      <c r="L11" s="63">
        <v>4245</v>
      </c>
      <c r="M11" s="63">
        <v>4350</v>
      </c>
      <c r="N11" s="63">
        <v>4452</v>
      </c>
      <c r="O11" s="63">
        <v>4555</v>
      </c>
      <c r="P11" s="63">
        <v>4656</v>
      </c>
      <c r="Q11" s="63">
        <v>4759</v>
      </c>
      <c r="R11" s="63"/>
      <c r="S11" s="63"/>
      <c r="T11" s="63"/>
      <c r="U11" s="63"/>
      <c r="V11" s="63"/>
      <c r="W11" s="265">
        <f t="shared" si="0"/>
        <v>15</v>
      </c>
    </row>
    <row r="12" spans="2:23">
      <c r="B12" s="64" t="s">
        <v>420</v>
      </c>
      <c r="C12" s="63">
        <v>2605</v>
      </c>
      <c r="D12" s="63">
        <v>2707</v>
      </c>
      <c r="E12" s="63">
        <v>2811</v>
      </c>
      <c r="F12" s="63">
        <v>2912</v>
      </c>
      <c r="G12" s="63">
        <v>3014</v>
      </c>
      <c r="H12" s="63">
        <v>3118</v>
      </c>
      <c r="I12" s="63">
        <v>3220</v>
      </c>
      <c r="J12" s="63">
        <v>3323</v>
      </c>
      <c r="K12" s="63">
        <v>3424</v>
      </c>
      <c r="L12" s="63">
        <v>3527</v>
      </c>
      <c r="M12" s="63">
        <v>3631</v>
      </c>
      <c r="N12" s="63">
        <v>3733</v>
      </c>
      <c r="O12" s="63">
        <v>3837</v>
      </c>
      <c r="P12" s="63"/>
      <c r="Q12" s="63"/>
      <c r="R12" s="63"/>
      <c r="S12" s="63"/>
      <c r="T12" s="63"/>
      <c r="U12" s="63"/>
      <c r="V12" s="63"/>
      <c r="W12" s="265">
        <f t="shared" si="0"/>
        <v>13</v>
      </c>
    </row>
    <row r="13" spans="2:23">
      <c r="B13" s="64" t="s">
        <v>421</v>
      </c>
      <c r="C13" s="63">
        <v>2707</v>
      </c>
      <c r="D13" s="63">
        <v>2912</v>
      </c>
      <c r="E13" s="63">
        <v>3118</v>
      </c>
      <c r="F13" s="63">
        <v>3220</v>
      </c>
      <c r="G13" s="63">
        <v>3323</v>
      </c>
      <c r="H13" s="63">
        <v>3424</v>
      </c>
      <c r="I13" s="63">
        <v>3527</v>
      </c>
      <c r="J13" s="63">
        <v>3631</v>
      </c>
      <c r="K13" s="63">
        <v>3733</v>
      </c>
      <c r="L13" s="63">
        <v>3837</v>
      </c>
      <c r="M13" s="63">
        <v>3940</v>
      </c>
      <c r="N13" s="63">
        <v>4041</v>
      </c>
      <c r="O13" s="63">
        <v>4144</v>
      </c>
      <c r="P13" s="63">
        <v>4245</v>
      </c>
      <c r="Q13" s="63">
        <v>4350</v>
      </c>
      <c r="R13" s="63"/>
      <c r="S13" s="63"/>
      <c r="T13" s="63"/>
      <c r="U13" s="63"/>
      <c r="V13" s="63"/>
      <c r="W13" s="265">
        <f t="shared" si="0"/>
        <v>15</v>
      </c>
    </row>
    <row r="14" spans="2:23">
      <c r="B14" s="64" t="s">
        <v>422</v>
      </c>
      <c r="C14" s="63">
        <v>2707</v>
      </c>
      <c r="D14" s="63">
        <v>2912</v>
      </c>
      <c r="E14" s="63">
        <v>3118</v>
      </c>
      <c r="F14" s="63">
        <v>3220</v>
      </c>
      <c r="G14" s="63">
        <v>3323</v>
      </c>
      <c r="H14" s="63">
        <v>3424</v>
      </c>
      <c r="I14" s="63">
        <v>3527</v>
      </c>
      <c r="J14" s="63">
        <v>3631</v>
      </c>
      <c r="K14" s="63">
        <v>3733</v>
      </c>
      <c r="L14" s="63">
        <v>3837</v>
      </c>
      <c r="M14" s="63">
        <v>3940</v>
      </c>
      <c r="N14" s="63">
        <v>4041</v>
      </c>
      <c r="O14" s="63">
        <v>4144</v>
      </c>
      <c r="P14" s="63">
        <v>4245</v>
      </c>
      <c r="Q14" s="63">
        <v>4350</v>
      </c>
      <c r="R14" s="63">
        <v>4452</v>
      </c>
      <c r="S14" s="63">
        <v>4555</v>
      </c>
      <c r="T14" s="63"/>
      <c r="U14" s="63"/>
      <c r="V14" s="63"/>
      <c r="W14" s="265">
        <f t="shared" si="0"/>
        <v>17</v>
      </c>
    </row>
    <row r="15" spans="2:23">
      <c r="B15" s="64" t="s">
        <v>423</v>
      </c>
      <c r="C15" s="63">
        <v>2811</v>
      </c>
      <c r="D15" s="63">
        <v>3118</v>
      </c>
      <c r="E15" s="63">
        <v>3323</v>
      </c>
      <c r="F15" s="63">
        <v>3527</v>
      </c>
      <c r="G15" s="63">
        <v>3733</v>
      </c>
      <c r="H15" s="63">
        <v>3837</v>
      </c>
      <c r="I15" s="63">
        <v>3940</v>
      </c>
      <c r="J15" s="63">
        <v>4041</v>
      </c>
      <c r="K15" s="63">
        <v>4144</v>
      </c>
      <c r="L15" s="63">
        <v>4245</v>
      </c>
      <c r="M15" s="63">
        <v>4350</v>
      </c>
      <c r="N15" s="63">
        <v>4452</v>
      </c>
      <c r="O15" s="63">
        <v>4555</v>
      </c>
      <c r="P15" s="63">
        <v>4656</v>
      </c>
      <c r="Q15" s="63">
        <v>4759</v>
      </c>
      <c r="R15" s="63">
        <v>4863</v>
      </c>
      <c r="S15" s="63"/>
      <c r="T15" s="63"/>
      <c r="U15" s="63"/>
      <c r="V15" s="63"/>
      <c r="W15" s="265">
        <f t="shared" si="0"/>
        <v>16</v>
      </c>
    </row>
    <row r="16" spans="2:23">
      <c r="B16" s="64" t="s">
        <v>424</v>
      </c>
      <c r="C16" s="63">
        <v>2811</v>
      </c>
      <c r="D16" s="63">
        <v>3118</v>
      </c>
      <c r="E16" s="63">
        <v>3323</v>
      </c>
      <c r="F16" s="63">
        <v>3527</v>
      </c>
      <c r="G16" s="63">
        <v>3733</v>
      </c>
      <c r="H16" s="63">
        <v>3837</v>
      </c>
      <c r="I16" s="63">
        <v>3940</v>
      </c>
      <c r="J16" s="63">
        <v>4041</v>
      </c>
      <c r="K16" s="63">
        <v>4144</v>
      </c>
      <c r="L16" s="63">
        <v>4245</v>
      </c>
      <c r="M16" s="63">
        <v>4350</v>
      </c>
      <c r="N16" s="63">
        <v>4452</v>
      </c>
      <c r="O16" s="63">
        <v>4555</v>
      </c>
      <c r="P16" s="63">
        <v>4656</v>
      </c>
      <c r="Q16" s="63">
        <v>4759</v>
      </c>
      <c r="R16" s="63">
        <v>4863</v>
      </c>
      <c r="S16" s="63">
        <v>4965</v>
      </c>
      <c r="T16" s="63">
        <v>5067</v>
      </c>
      <c r="U16" s="63"/>
      <c r="V16" s="63"/>
      <c r="W16" s="265">
        <f t="shared" si="0"/>
        <v>18</v>
      </c>
    </row>
    <row r="17" spans="2:23">
      <c r="B17" s="64" t="s">
        <v>425</v>
      </c>
      <c r="C17" s="63">
        <f>2845+9</f>
        <v>2854</v>
      </c>
      <c r="D17" s="63">
        <f>3057+10</f>
        <v>3067</v>
      </c>
      <c r="E17" s="63">
        <f>3274+11</f>
        <v>3285</v>
      </c>
      <c r="F17" s="63">
        <f>3482+12</f>
        <v>3494</v>
      </c>
      <c r="G17" s="63">
        <f>3712+13</f>
        <v>3725</v>
      </c>
      <c r="H17" s="63">
        <f>3823+14</f>
        <v>3837</v>
      </c>
      <c r="I17" s="63">
        <f>3930+14</f>
        <v>3944</v>
      </c>
      <c r="J17" s="63">
        <f>4038+15</f>
        <v>4053</v>
      </c>
      <c r="K17" s="63">
        <f>4142+15</f>
        <v>4157</v>
      </c>
      <c r="L17" s="63">
        <f>4253+16</f>
        <v>4269</v>
      </c>
      <c r="M17" s="63">
        <f>4361+16</f>
        <v>4377</v>
      </c>
      <c r="N17" s="63">
        <f>4465+17</f>
        <v>4482</v>
      </c>
      <c r="O17" s="63">
        <f>4573+17</f>
        <v>4590</v>
      </c>
      <c r="P17" s="63">
        <f>4708+18</f>
        <v>4726</v>
      </c>
      <c r="Q17" s="63">
        <f>4843+19</f>
        <v>4862</v>
      </c>
      <c r="R17" s="63">
        <f>4978+19</f>
        <v>4997</v>
      </c>
      <c r="S17" s="63">
        <f>5113+20</f>
        <v>5133</v>
      </c>
      <c r="T17" s="63">
        <f>5178+20</f>
        <v>5198</v>
      </c>
      <c r="U17" s="63"/>
      <c r="V17" s="63"/>
      <c r="W17" s="265">
        <f t="shared" si="0"/>
        <v>18</v>
      </c>
    </row>
    <row r="18" spans="2:23">
      <c r="B18" s="64" t="s">
        <v>426</v>
      </c>
      <c r="C18" s="63">
        <f>2952+9</f>
        <v>2961</v>
      </c>
      <c r="D18" s="63">
        <f>3172+10</f>
        <v>3182</v>
      </c>
      <c r="E18" s="63">
        <f>3379+11</f>
        <v>3390</v>
      </c>
      <c r="F18" s="63">
        <f>3597+12</f>
        <v>3609</v>
      </c>
      <c r="G18" s="63">
        <f>3823+14</f>
        <v>3837</v>
      </c>
      <c r="H18" s="63">
        <f>4038+15</f>
        <v>4053</v>
      </c>
      <c r="I18" s="63">
        <f>4253+16</f>
        <v>4269</v>
      </c>
      <c r="J18" s="63">
        <f>4361+16</f>
        <v>4377</v>
      </c>
      <c r="K18" s="63">
        <f>4465+17</f>
        <v>4482</v>
      </c>
      <c r="L18" s="63">
        <f>4573+17</f>
        <v>4590</v>
      </c>
      <c r="M18" s="63">
        <f>4708+18</f>
        <v>4726</v>
      </c>
      <c r="N18" s="63">
        <f>4843+19</f>
        <v>4862</v>
      </c>
      <c r="O18" s="63">
        <f>4978+19</f>
        <v>4997</v>
      </c>
      <c r="P18" s="63">
        <f>5113+20</f>
        <v>5133</v>
      </c>
      <c r="Q18" s="63">
        <f>5249+21</f>
        <v>5270</v>
      </c>
      <c r="R18" s="63">
        <f>5393+21</f>
        <v>5414</v>
      </c>
      <c r="S18" s="63">
        <f>5539+22</f>
        <v>5561</v>
      </c>
      <c r="T18" s="63">
        <f>5690+23</f>
        <v>5713</v>
      </c>
      <c r="U18" s="63"/>
      <c r="V18" s="63"/>
      <c r="W18" s="265">
        <f t="shared" si="0"/>
        <v>18</v>
      </c>
    </row>
    <row r="19" spans="2:23">
      <c r="B19" s="64" t="s">
        <v>427</v>
      </c>
      <c r="C19" s="63">
        <f>2272+60</f>
        <v>2332</v>
      </c>
      <c r="D19" s="63">
        <f>2379+60</f>
        <v>2439</v>
      </c>
      <c r="E19" s="63">
        <f>2487+62</f>
        <v>2549</v>
      </c>
      <c r="F19" s="63">
        <f>2604+62</f>
        <v>2666</v>
      </c>
      <c r="G19" s="63">
        <f>2733+64</f>
        <v>2797</v>
      </c>
      <c r="H19" s="63">
        <f>2844+64</f>
        <v>2908</v>
      </c>
      <c r="I19" s="63">
        <f>2956+66</f>
        <v>3022</v>
      </c>
      <c r="J19" s="63">
        <f>3063+66</f>
        <v>3129</v>
      </c>
      <c r="K19" s="63">
        <f>3167+68</f>
        <v>3235</v>
      </c>
      <c r="L19" s="63">
        <f>3283+70</f>
        <v>3353</v>
      </c>
      <c r="M19" s="63">
        <f>3386+70</f>
        <v>3456</v>
      </c>
      <c r="N19" s="63"/>
      <c r="O19" s="63"/>
      <c r="P19" s="63"/>
      <c r="Q19" s="63"/>
      <c r="R19" s="63"/>
      <c r="S19" s="63"/>
      <c r="T19" s="63"/>
      <c r="U19" s="63"/>
      <c r="V19" s="63"/>
      <c r="W19" s="265">
        <f t="shared" si="0"/>
        <v>11</v>
      </c>
    </row>
    <row r="20" spans="2:23">
      <c r="B20" s="64" t="s">
        <v>428</v>
      </c>
      <c r="C20" s="63">
        <f>2325+60</f>
        <v>2385</v>
      </c>
      <c r="D20" s="63">
        <f>2433+60</f>
        <v>2493</v>
      </c>
      <c r="E20" s="63">
        <f>2549+62</f>
        <v>2611</v>
      </c>
      <c r="F20" s="63">
        <f>2677+64</f>
        <v>2741</v>
      </c>
      <c r="G20" s="63">
        <f>2788+64</f>
        <v>2852</v>
      </c>
      <c r="H20" s="63">
        <f>2900+66</f>
        <v>2966</v>
      </c>
      <c r="I20" s="63">
        <f>3006+66</f>
        <v>3072</v>
      </c>
      <c r="J20" s="63">
        <f>3111+68</f>
        <v>3179</v>
      </c>
      <c r="K20" s="63">
        <f>3226+68</f>
        <v>3294</v>
      </c>
      <c r="L20" s="63">
        <f>3330+70</f>
        <v>3400</v>
      </c>
      <c r="M20" s="63">
        <f>3433+70</f>
        <v>3503</v>
      </c>
      <c r="N20" s="63">
        <f>3536+72</f>
        <v>3608</v>
      </c>
      <c r="O20" s="63">
        <v>3786</v>
      </c>
      <c r="P20" s="63"/>
      <c r="Q20" s="63"/>
      <c r="R20" s="63"/>
      <c r="S20" s="63"/>
      <c r="T20" s="63"/>
      <c r="U20" s="63"/>
      <c r="V20" s="63"/>
      <c r="W20" s="265">
        <f t="shared" si="0"/>
        <v>13</v>
      </c>
    </row>
    <row r="21" spans="2:23">
      <c r="B21" s="64" t="s">
        <v>429</v>
      </c>
      <c r="C21" s="63">
        <f>2376+60</f>
        <v>2436</v>
      </c>
      <c r="D21" s="63">
        <f>2494+62</f>
        <v>2556</v>
      </c>
      <c r="E21" s="63">
        <f>2621+62</f>
        <v>2683</v>
      </c>
      <c r="F21" s="63">
        <f>2733+64</f>
        <v>2797</v>
      </c>
      <c r="G21" s="63">
        <f>2845+64</f>
        <v>2909</v>
      </c>
      <c r="H21" s="63">
        <f>2952+66</f>
        <v>3018</v>
      </c>
      <c r="I21" s="63">
        <f>3057+66</f>
        <v>3123</v>
      </c>
      <c r="J21" s="63">
        <f>3172+68</f>
        <v>3240</v>
      </c>
      <c r="K21" s="63">
        <f>3274+70</f>
        <v>3344</v>
      </c>
      <c r="L21" s="63">
        <f>3379+70</f>
        <v>3449</v>
      </c>
      <c r="M21" s="63">
        <f>3482+72</f>
        <v>3554</v>
      </c>
      <c r="N21" s="63">
        <f>3597+72</f>
        <v>3669</v>
      </c>
      <c r="O21" s="63">
        <f>3712+74</f>
        <v>3786</v>
      </c>
      <c r="P21" s="63">
        <f>3823+74</f>
        <v>3897</v>
      </c>
      <c r="Q21" s="63">
        <f>3930+76</f>
        <v>4006</v>
      </c>
      <c r="R21" s="63">
        <f>4038+76</f>
        <v>4114</v>
      </c>
      <c r="S21" s="63">
        <f>4142+78</f>
        <v>4220</v>
      </c>
      <c r="T21" s="63">
        <f>4197+78</f>
        <v>4275</v>
      </c>
      <c r="U21" s="63"/>
      <c r="V21" s="63"/>
      <c r="W21" s="265">
        <f t="shared" si="0"/>
        <v>18</v>
      </c>
    </row>
    <row r="22" spans="2:23">
      <c r="B22" s="64" t="s">
        <v>430</v>
      </c>
      <c r="C22" s="63">
        <f>2494+62</f>
        <v>2556</v>
      </c>
      <c r="D22" s="63">
        <f>2621+62</f>
        <v>2683</v>
      </c>
      <c r="E22" s="63">
        <f>2845+64</f>
        <v>2909</v>
      </c>
      <c r="F22" s="63">
        <f>3057+66</f>
        <v>3123</v>
      </c>
      <c r="G22" s="63">
        <f>3172+68</f>
        <v>3240</v>
      </c>
      <c r="H22" s="63">
        <f>3274+70</f>
        <v>3344</v>
      </c>
      <c r="I22" s="63">
        <f>3379+70</f>
        <v>3449</v>
      </c>
      <c r="J22" s="63">
        <f>3482+72</f>
        <v>3554</v>
      </c>
      <c r="K22" s="63">
        <f>3597+72</f>
        <v>3669</v>
      </c>
      <c r="L22" s="63">
        <f>3712+74</f>
        <v>3786</v>
      </c>
      <c r="M22" s="63">
        <f>3823+74</f>
        <v>3897</v>
      </c>
      <c r="N22" s="63">
        <f>3930+76</f>
        <v>4006</v>
      </c>
      <c r="O22" s="63">
        <f>4038+76</f>
        <v>4114</v>
      </c>
      <c r="P22" s="63">
        <f>4142+78</f>
        <v>4220</v>
      </c>
      <c r="Q22" s="63">
        <f>4253+78</f>
        <v>4331</v>
      </c>
      <c r="R22" s="63">
        <f>4361+80</f>
        <v>4441</v>
      </c>
      <c r="S22" s="63">
        <f>4465+80</f>
        <v>4545</v>
      </c>
      <c r="T22" s="63">
        <f>4573+82</f>
        <v>4655</v>
      </c>
      <c r="U22" s="63">
        <f>4708+84</f>
        <v>4792</v>
      </c>
      <c r="V22" s="63">
        <f>4775+84</f>
        <v>4859</v>
      </c>
      <c r="W22" s="265">
        <f t="shared" si="0"/>
        <v>20</v>
      </c>
    </row>
    <row r="23" spans="2:23">
      <c r="B23" s="64" t="s">
        <v>431</v>
      </c>
      <c r="C23" s="63">
        <f>2621+62</f>
        <v>2683</v>
      </c>
      <c r="D23" s="63">
        <f>2845+64</f>
        <v>2909</v>
      </c>
      <c r="E23" s="63">
        <f>3057+66</f>
        <v>3123</v>
      </c>
      <c r="F23" s="63">
        <f>3274+70</f>
        <v>3344</v>
      </c>
      <c r="G23" s="63">
        <f>3482+72</f>
        <v>3554</v>
      </c>
      <c r="H23" s="63">
        <f>+H24+74</f>
        <v>2622</v>
      </c>
      <c r="I23" s="63">
        <f>3823+74</f>
        <v>3897</v>
      </c>
      <c r="J23" s="63">
        <f>3930+76</f>
        <v>4006</v>
      </c>
      <c r="K23" s="63">
        <f>4038+76</f>
        <v>4114</v>
      </c>
      <c r="L23" s="63">
        <f>4142+78</f>
        <v>4220</v>
      </c>
      <c r="M23" s="63">
        <f>4253+78</f>
        <v>4331</v>
      </c>
      <c r="N23" s="63">
        <f>4361+80</f>
        <v>4441</v>
      </c>
      <c r="O23" s="63">
        <f>4465+80</f>
        <v>4545</v>
      </c>
      <c r="P23" s="63">
        <f>4573+82</f>
        <v>4655</v>
      </c>
      <c r="Q23" s="63">
        <f>4708+84</f>
        <v>4792</v>
      </c>
      <c r="R23" s="63">
        <f>4843+84</f>
        <v>4927</v>
      </c>
      <c r="S23" s="63">
        <f>4978+86</f>
        <v>5064</v>
      </c>
      <c r="T23" s="63">
        <f>5113+88</f>
        <v>5201</v>
      </c>
      <c r="U23" s="63">
        <f>5178+88</f>
        <v>5266</v>
      </c>
      <c r="V23" s="63"/>
      <c r="W23" s="265">
        <f t="shared" si="0"/>
        <v>19</v>
      </c>
    </row>
    <row r="24" spans="2:23">
      <c r="B24" s="64" t="s">
        <v>432</v>
      </c>
      <c r="C24" s="63">
        <f>2270+20</f>
        <v>2290</v>
      </c>
      <c r="D24" s="63">
        <f>2316+20</f>
        <v>2336</v>
      </c>
      <c r="E24" s="63">
        <f>2364+20+2+1</f>
        <v>2387</v>
      </c>
      <c r="F24" s="63">
        <f>2412+20+4+2</f>
        <v>2438</v>
      </c>
      <c r="G24" s="63">
        <f>2460+20+6+3</f>
        <v>2489</v>
      </c>
      <c r="H24" s="63">
        <f>2510+22+10+6</f>
        <v>2548</v>
      </c>
      <c r="I24" s="63">
        <f>2561+22+15+12</f>
        <v>2610</v>
      </c>
      <c r="J24" s="63">
        <f>2615+22+22+18</f>
        <v>2677</v>
      </c>
      <c r="K24" s="63">
        <f>2672+24+28+28</f>
        <v>2752</v>
      </c>
      <c r="L24" s="63">
        <f>2730+24+37+38</f>
        <v>2829</v>
      </c>
      <c r="M24" s="63">
        <f>2791+24+46+53</f>
        <v>2914</v>
      </c>
      <c r="N24" s="63">
        <f>2856+24+57+66</f>
        <v>3003</v>
      </c>
      <c r="O24" s="63">
        <f>2925+26+64+84</f>
        <v>3099</v>
      </c>
      <c r="P24" s="63">
        <f>2997+26+78+97</f>
        <v>3198</v>
      </c>
      <c r="Q24" s="63">
        <f>3072+28+98+76</f>
        <v>3274</v>
      </c>
      <c r="R24" s="63"/>
      <c r="S24" s="63"/>
      <c r="T24" s="63"/>
      <c r="U24" s="63"/>
      <c r="V24" s="63"/>
      <c r="W24" s="265">
        <f t="shared" si="0"/>
        <v>15</v>
      </c>
    </row>
    <row r="25" spans="2:23">
      <c r="B25" s="64" t="s">
        <v>433</v>
      </c>
      <c r="C25" s="63">
        <f>2354+20</f>
        <v>2374</v>
      </c>
      <c r="D25" s="63">
        <f>2411+20</f>
        <v>2431</v>
      </c>
      <c r="E25" s="63">
        <f>2469+20+6+1</f>
        <v>2496</v>
      </c>
      <c r="F25" s="63">
        <f>2527+22+8+2</f>
        <v>2559</v>
      </c>
      <c r="G25" s="63">
        <f>2585+22+12+3</f>
        <v>2622</v>
      </c>
      <c r="H25" s="63">
        <f>2645+22+18+9</f>
        <v>2694</v>
      </c>
      <c r="I25" s="63">
        <f>2707+24+29+11</f>
        <v>2771</v>
      </c>
      <c r="J25" s="63">
        <f>2774+24+41+16</f>
        <v>2855</v>
      </c>
      <c r="K25" s="63">
        <f>2843+24+56+30</f>
        <v>2953</v>
      </c>
      <c r="L25" s="63">
        <f>2917+26+68+41</f>
        <v>3052</v>
      </c>
      <c r="M25" s="63">
        <f>2994+26+85+54</f>
        <v>3159</v>
      </c>
      <c r="N25" s="63">
        <f>3076+28+99+66</f>
        <v>3269</v>
      </c>
      <c r="O25" s="63">
        <f>3160+28+120+76</f>
        <v>3384</v>
      </c>
      <c r="P25" s="63">
        <f>3252+28+132+92</f>
        <v>3504</v>
      </c>
      <c r="Q25" s="63">
        <f>3363+30+127+77</f>
        <v>3597</v>
      </c>
      <c r="R25" s="63"/>
      <c r="S25" s="63"/>
      <c r="T25" s="63"/>
      <c r="U25" s="63"/>
      <c r="V25" s="63"/>
      <c r="W25" s="265">
        <f t="shared" si="0"/>
        <v>15</v>
      </c>
    </row>
    <row r="26" spans="2:23">
      <c r="B26" s="64" t="s">
        <v>434</v>
      </c>
      <c r="C26" s="63">
        <f>2367+20</f>
        <v>2387</v>
      </c>
      <c r="D26" s="63">
        <f>2481+22</f>
        <v>2503</v>
      </c>
      <c r="E26" s="63">
        <f>2599+22</f>
        <v>2621</v>
      </c>
      <c r="F26" s="63">
        <f>2707+24+5+5</f>
        <v>2741</v>
      </c>
      <c r="G26" s="63">
        <f>2818+24+10+7</f>
        <v>2859</v>
      </c>
      <c r="H26" s="63">
        <f>2930+26+15+10</f>
        <v>2981</v>
      </c>
      <c r="I26" s="63">
        <f>3044+26+20+16</f>
        <v>3106</v>
      </c>
      <c r="J26" s="63">
        <f>3157+28+27+22</f>
        <v>3234</v>
      </c>
      <c r="K26" s="63">
        <f>3272+30+33+33</f>
        <v>3368</v>
      </c>
      <c r="L26" s="63">
        <f>3388+30+41+46</f>
        <v>3505</v>
      </c>
      <c r="M26" s="63">
        <f>3503+32+50+57</f>
        <v>3642</v>
      </c>
      <c r="N26" s="63">
        <f>3619+32+61+74</f>
        <v>3786</v>
      </c>
      <c r="O26" s="63">
        <f>3735+34+71+93</f>
        <v>3933</v>
      </c>
      <c r="P26" s="63">
        <f>3853+34+84+111</f>
        <v>4082</v>
      </c>
      <c r="Q26" s="63">
        <f>3970+36+96+95</f>
        <v>4197</v>
      </c>
      <c r="R26" s="63"/>
      <c r="S26" s="63"/>
      <c r="T26" s="63"/>
      <c r="U26" s="63"/>
      <c r="V26" s="63"/>
      <c r="W26" s="265">
        <f t="shared" si="0"/>
        <v>15</v>
      </c>
    </row>
    <row r="27" spans="2:23">
      <c r="B27" s="64" t="s">
        <v>435</v>
      </c>
      <c r="C27" s="63">
        <f>2376+20</f>
        <v>2396</v>
      </c>
      <c r="D27" s="63">
        <f>2518+22</f>
        <v>2540</v>
      </c>
      <c r="E27" s="63">
        <f>2661+22+2+3</f>
        <v>2688</v>
      </c>
      <c r="F27" s="63">
        <f>2804+24+4+6</f>
        <v>2838</v>
      </c>
      <c r="G27" s="63">
        <f>2947+26+6+9</f>
        <v>2988</v>
      </c>
      <c r="H27" s="63">
        <f>3093+28+10+14</f>
        <v>3145</v>
      </c>
      <c r="I27" s="63">
        <f>3239+28+16+25</f>
        <v>3308</v>
      </c>
      <c r="J27" s="63">
        <f>3388+30+23+32</f>
        <v>3473</v>
      </c>
      <c r="K27" s="63">
        <f>3537+32+33+45</f>
        <v>3647</v>
      </c>
      <c r="L27" s="63">
        <f>3688+34+43+63</f>
        <v>3828</v>
      </c>
      <c r="M27" s="63">
        <f>3842+34+57+81</f>
        <v>4014</v>
      </c>
      <c r="N27" s="63">
        <f>3997+36+69+104</f>
        <v>4206</v>
      </c>
      <c r="O27" s="63">
        <f>4153+38+85+129</f>
        <v>4405</v>
      </c>
      <c r="P27" s="63">
        <f>4313+40+101+155</f>
        <v>4609</v>
      </c>
      <c r="Q27" s="63">
        <f>4472+42+121+140</f>
        <v>4775</v>
      </c>
      <c r="R27" s="63"/>
      <c r="S27" s="63"/>
      <c r="T27" s="63"/>
      <c r="U27" s="63"/>
      <c r="V27" s="63"/>
      <c r="W27" s="265">
        <f t="shared" si="0"/>
        <v>15</v>
      </c>
    </row>
    <row r="28" spans="2:23">
      <c r="B28" s="64" t="s">
        <v>436</v>
      </c>
      <c r="C28" s="63">
        <f>3057+26</f>
        <v>3083</v>
      </c>
      <c r="D28" s="63">
        <f>3172+28</f>
        <v>3200</v>
      </c>
      <c r="E28" s="63">
        <f>3274+30</f>
        <v>3304</v>
      </c>
      <c r="F28" s="63">
        <f>3482+32</f>
        <v>3514</v>
      </c>
      <c r="G28" s="63">
        <f>3712+34</f>
        <v>3746</v>
      </c>
      <c r="H28" s="63">
        <f>3834+34+11+13</f>
        <v>3892</v>
      </c>
      <c r="I28" s="63">
        <f>3956+36+22+26</f>
        <v>4040</v>
      </c>
      <c r="J28" s="63">
        <f>4078+38+34+38</f>
        <v>4188</v>
      </c>
      <c r="K28" s="63">
        <f>4200+38+45+53</f>
        <v>4336</v>
      </c>
      <c r="L28" s="63">
        <f>4322+40+56+65</f>
        <v>4483</v>
      </c>
      <c r="M28" s="63">
        <f>4445+40+68+79</f>
        <v>4632</v>
      </c>
      <c r="N28" s="63">
        <f>4567+42+77+95</f>
        <v>4781</v>
      </c>
      <c r="O28" s="63">
        <f>4689+44+89+108</f>
        <v>4930</v>
      </c>
      <c r="P28" s="63">
        <f>4811+44+103+119</f>
        <v>5077</v>
      </c>
      <c r="Q28" s="63">
        <f>4933+46+112+87</f>
        <v>5178</v>
      </c>
      <c r="R28" s="63"/>
      <c r="S28" s="63"/>
      <c r="T28" s="63"/>
      <c r="U28" s="63"/>
      <c r="V28" s="63"/>
      <c r="W28" s="265">
        <f t="shared" si="0"/>
        <v>15</v>
      </c>
    </row>
    <row r="29" spans="2:23">
      <c r="B29" s="62">
        <v>1</v>
      </c>
      <c r="C29" s="63">
        <v>1477.8</v>
      </c>
      <c r="D29" s="63">
        <v>1477.8</v>
      </c>
      <c r="E29" s="63">
        <v>1538</v>
      </c>
      <c r="F29" s="63">
        <v>1566</v>
      </c>
      <c r="G29" s="63">
        <v>1598</v>
      </c>
      <c r="H29" s="63">
        <v>1631</v>
      </c>
      <c r="I29" s="63">
        <v>1674</v>
      </c>
      <c r="J29" s="63"/>
      <c r="K29" s="63"/>
      <c r="L29" s="63"/>
      <c r="M29" s="63"/>
      <c r="N29" s="63"/>
      <c r="O29" s="63"/>
      <c r="P29" s="63"/>
      <c r="Q29" s="63"/>
      <c r="R29" s="63"/>
      <c r="S29" s="63"/>
      <c r="T29" s="63"/>
      <c r="U29" s="63"/>
      <c r="V29" s="63"/>
      <c r="W29" s="265">
        <f t="shared" si="0"/>
        <v>7</v>
      </c>
    </row>
    <row r="30" spans="2:23">
      <c r="B30" s="62">
        <v>2</v>
      </c>
      <c r="C30" s="63">
        <v>1477.8</v>
      </c>
      <c r="D30" s="63">
        <v>1508</v>
      </c>
      <c r="E30" s="63">
        <v>1566</v>
      </c>
      <c r="F30" s="63">
        <v>1631</v>
      </c>
      <c r="G30" s="63">
        <v>1674</v>
      </c>
      <c r="H30" s="63">
        <v>1723</v>
      </c>
      <c r="I30" s="63">
        <v>1783</v>
      </c>
      <c r="J30" s="63">
        <v>1840</v>
      </c>
      <c r="K30" s="63"/>
      <c r="L30" s="63"/>
      <c r="M30" s="63"/>
      <c r="N30" s="63"/>
      <c r="O30" s="63"/>
      <c r="P30" s="63"/>
      <c r="Q30" s="63"/>
      <c r="R30" s="63"/>
      <c r="S30" s="63"/>
      <c r="T30" s="63"/>
      <c r="U30" s="63"/>
      <c r="V30" s="63"/>
      <c r="W30" s="265">
        <f t="shared" si="0"/>
        <v>8</v>
      </c>
    </row>
    <row r="31" spans="2:23">
      <c r="B31" s="62">
        <v>3</v>
      </c>
      <c r="C31" s="63">
        <v>1477.8</v>
      </c>
      <c r="D31" s="63">
        <v>1566</v>
      </c>
      <c r="E31" s="63">
        <v>1631</v>
      </c>
      <c r="F31" s="63">
        <v>1723</v>
      </c>
      <c r="G31" s="63">
        <v>1783</v>
      </c>
      <c r="H31" s="63">
        <v>1840</v>
      </c>
      <c r="I31" s="63">
        <v>1896</v>
      </c>
      <c r="J31" s="63">
        <v>1950</v>
      </c>
      <c r="K31" s="63">
        <v>2004</v>
      </c>
      <c r="L31" s="63"/>
      <c r="M31" s="63"/>
      <c r="N31" s="63"/>
      <c r="O31" s="63"/>
      <c r="P31" s="63"/>
      <c r="Q31" s="63"/>
      <c r="R31" s="63"/>
      <c r="S31" s="63"/>
      <c r="T31" s="63"/>
      <c r="U31" s="63"/>
      <c r="V31" s="63"/>
      <c r="W31" s="265">
        <f t="shared" si="0"/>
        <v>9</v>
      </c>
    </row>
    <row r="32" spans="2:23">
      <c r="B32" s="62">
        <v>4</v>
      </c>
      <c r="C32" s="63">
        <v>1477.8</v>
      </c>
      <c r="D32" s="63">
        <v>1538</v>
      </c>
      <c r="E32" s="63">
        <v>1598</v>
      </c>
      <c r="F32" s="63">
        <v>1674</v>
      </c>
      <c r="G32" s="63">
        <v>1783</v>
      </c>
      <c r="H32" s="63">
        <v>1840</v>
      </c>
      <c r="I32" s="63">
        <v>1896</v>
      </c>
      <c r="J32" s="63">
        <v>1950</v>
      </c>
      <c r="K32" s="63">
        <v>2004</v>
      </c>
      <c r="L32" s="63">
        <v>2056</v>
      </c>
      <c r="M32" s="63">
        <v>2108</v>
      </c>
      <c r="N32" s="63"/>
      <c r="O32" s="63"/>
      <c r="P32" s="63"/>
      <c r="Q32" s="63"/>
      <c r="R32" s="63"/>
      <c r="S32" s="63"/>
      <c r="T32" s="63"/>
      <c r="U32" s="63"/>
      <c r="V32" s="63"/>
      <c r="W32" s="265">
        <f t="shared" si="0"/>
        <v>11</v>
      </c>
    </row>
    <row r="33" spans="1:23">
      <c r="B33" s="62">
        <v>5</v>
      </c>
      <c r="C33" s="63">
        <v>1508</v>
      </c>
      <c r="D33" s="63">
        <v>1538</v>
      </c>
      <c r="E33" s="63">
        <v>1631</v>
      </c>
      <c r="F33" s="63">
        <v>1723</v>
      </c>
      <c r="G33" s="63">
        <v>1840</v>
      </c>
      <c r="H33" s="63">
        <v>1896</v>
      </c>
      <c r="I33" s="63">
        <v>1950</v>
      </c>
      <c r="J33" s="63">
        <v>2004</v>
      </c>
      <c r="K33" s="63">
        <v>2056</v>
      </c>
      <c r="L33" s="63">
        <v>2108</v>
      </c>
      <c r="M33" s="63">
        <v>2158</v>
      </c>
      <c r="N33" s="63">
        <v>2216</v>
      </c>
      <c r="O33" s="63"/>
      <c r="P33" s="63"/>
      <c r="Q33" s="63"/>
      <c r="R33" s="63"/>
      <c r="S33" s="63"/>
      <c r="T33" s="63"/>
      <c r="U33" s="63"/>
      <c r="V33" s="63"/>
      <c r="W33" s="265">
        <f t="shared" si="0"/>
        <v>12</v>
      </c>
    </row>
    <row r="34" spans="1:23">
      <c r="B34" s="62">
        <v>6</v>
      </c>
      <c r="C34" s="63">
        <v>1566</v>
      </c>
      <c r="D34" s="63">
        <v>1631</v>
      </c>
      <c r="E34" s="63">
        <v>1840</v>
      </c>
      <c r="F34" s="63">
        <v>1950</v>
      </c>
      <c r="G34" s="63">
        <v>2004</v>
      </c>
      <c r="H34" s="63">
        <v>2056</v>
      </c>
      <c r="I34" s="63">
        <v>2108</v>
      </c>
      <c r="J34" s="63">
        <v>2158</v>
      </c>
      <c r="K34" s="63">
        <v>2216</v>
      </c>
      <c r="L34" s="63">
        <v>2270</v>
      </c>
      <c r="M34" s="63">
        <v>2322</v>
      </c>
      <c r="N34" s="63"/>
      <c r="O34" s="63"/>
      <c r="P34" s="63"/>
      <c r="Q34" s="63"/>
      <c r="R34" s="63"/>
      <c r="S34" s="63"/>
      <c r="T34" s="63"/>
      <c r="U34" s="63"/>
      <c r="V34" s="63"/>
      <c r="W34" s="265">
        <f t="shared" si="0"/>
        <v>11</v>
      </c>
    </row>
    <row r="35" spans="1:23">
      <c r="B35" s="62">
        <v>7</v>
      </c>
      <c r="C35" s="63">
        <v>1674</v>
      </c>
      <c r="D35" s="63">
        <v>1723</v>
      </c>
      <c r="E35" s="63">
        <v>1840</v>
      </c>
      <c r="F35" s="63">
        <v>2056</v>
      </c>
      <c r="G35" s="63">
        <v>2158</v>
      </c>
      <c r="H35" s="63">
        <v>2216</v>
      </c>
      <c r="I35" s="63">
        <v>2270</v>
      </c>
      <c r="J35" s="63">
        <v>2322</v>
      </c>
      <c r="K35" s="63">
        <v>2376</v>
      </c>
      <c r="L35" s="63">
        <v>2434</v>
      </c>
      <c r="M35" s="63">
        <v>2494</v>
      </c>
      <c r="N35" s="63">
        <v>2560</v>
      </c>
      <c r="O35" s="63"/>
      <c r="P35" s="63"/>
      <c r="Q35" s="63"/>
      <c r="R35" s="63"/>
      <c r="S35" s="63"/>
      <c r="T35" s="63"/>
      <c r="U35" s="63"/>
      <c r="V35" s="63"/>
      <c r="W35" s="265">
        <f t="shared" si="0"/>
        <v>12</v>
      </c>
    </row>
    <row r="36" spans="1:23">
      <c r="B36" s="62">
        <v>8</v>
      </c>
      <c r="C36" s="63">
        <v>1896</v>
      </c>
      <c r="D36" s="63">
        <v>1950</v>
      </c>
      <c r="E36" s="63">
        <v>2056</v>
      </c>
      <c r="F36" s="63">
        <v>2270</v>
      </c>
      <c r="G36" s="63">
        <v>2376</v>
      </c>
      <c r="H36" s="63">
        <v>2494</v>
      </c>
      <c r="I36" s="63">
        <v>2560</v>
      </c>
      <c r="J36" s="63">
        <v>2621</v>
      </c>
      <c r="K36" s="63">
        <v>2675</v>
      </c>
      <c r="L36" s="63">
        <v>2733</v>
      </c>
      <c r="M36" s="63">
        <v>2791</v>
      </c>
      <c r="N36" s="63">
        <v>2845</v>
      </c>
      <c r="O36" s="63">
        <v>2896</v>
      </c>
      <c r="P36" s="63"/>
      <c r="Q36" s="63"/>
      <c r="R36" s="63"/>
      <c r="S36" s="63"/>
      <c r="T36" s="63"/>
      <c r="U36" s="63"/>
      <c r="V36" s="63"/>
      <c r="W36" s="265">
        <f t="shared" si="0"/>
        <v>13</v>
      </c>
    </row>
    <row r="37" spans="1:23">
      <c r="B37" s="62">
        <v>9</v>
      </c>
      <c r="C37" s="63">
        <f>2158+22</f>
        <v>2180</v>
      </c>
      <c r="D37" s="63">
        <f>2270+22</f>
        <v>2292</v>
      </c>
      <c r="E37" s="63">
        <f>2494+24</f>
        <v>2518</v>
      </c>
      <c r="F37" s="63">
        <f>2621+26</f>
        <v>2647</v>
      </c>
      <c r="G37" s="63">
        <f>2733+26</f>
        <v>2759</v>
      </c>
      <c r="H37" s="63">
        <f>2845+28</f>
        <v>2873</v>
      </c>
      <c r="I37" s="63">
        <f>2952+28</f>
        <v>2980</v>
      </c>
      <c r="J37" s="63">
        <f>3057+30</f>
        <v>3087</v>
      </c>
      <c r="K37" s="63">
        <f>3172+32</f>
        <v>3204</v>
      </c>
      <c r="L37" s="63">
        <f>3274+32</f>
        <v>3306</v>
      </c>
      <c r="M37" s="63"/>
      <c r="N37" s="63"/>
      <c r="O37" s="63"/>
      <c r="P37" s="63"/>
      <c r="Q37" s="63"/>
      <c r="R37" s="63"/>
      <c r="S37" s="63"/>
      <c r="T37" s="63"/>
      <c r="U37" s="63"/>
      <c r="V37" s="63"/>
      <c r="W37" s="265">
        <f t="shared" si="0"/>
        <v>10</v>
      </c>
    </row>
    <row r="38" spans="1:23">
      <c r="B38" s="62">
        <v>10</v>
      </c>
      <c r="C38" s="63">
        <f>2158+22</f>
        <v>2180</v>
      </c>
      <c r="D38" s="63">
        <f>2376+24</f>
        <v>2400</v>
      </c>
      <c r="E38" s="63">
        <f>2494+24</f>
        <v>2518</v>
      </c>
      <c r="F38" s="63">
        <f>2621+26</f>
        <v>2647</v>
      </c>
      <c r="G38" s="63">
        <f>2733+26</f>
        <v>2759</v>
      </c>
      <c r="H38" s="63">
        <f>2845+28</f>
        <v>2873</v>
      </c>
      <c r="I38" s="63">
        <f>2952+28</f>
        <v>2980</v>
      </c>
      <c r="J38" s="63">
        <f>3057+30</f>
        <v>3087</v>
      </c>
      <c r="K38" s="63">
        <f>3172+32</f>
        <v>3204</v>
      </c>
      <c r="L38" s="63">
        <f>3274+32</f>
        <v>3306</v>
      </c>
      <c r="M38" s="63">
        <f>3379+34</f>
        <v>3413</v>
      </c>
      <c r="N38" s="63">
        <f>3482+34</f>
        <v>3516</v>
      </c>
      <c r="O38" s="63">
        <f>3597+36</f>
        <v>3633</v>
      </c>
      <c r="P38" s="63"/>
      <c r="Q38" s="63"/>
      <c r="R38" s="63"/>
      <c r="S38" s="63"/>
      <c r="T38" s="63"/>
      <c r="U38" s="63"/>
      <c r="V38" s="63"/>
      <c r="W38" s="265">
        <f t="shared" si="0"/>
        <v>13</v>
      </c>
    </row>
    <row r="39" spans="1:23">
      <c r="B39" s="62">
        <v>11</v>
      </c>
      <c r="C39" s="63">
        <f>2270+22</f>
        <v>2292</v>
      </c>
      <c r="D39" s="63">
        <f>2376+24</f>
        <v>2400</v>
      </c>
      <c r="E39" s="63">
        <f>2494+24</f>
        <v>2518</v>
      </c>
      <c r="F39" s="63">
        <f>2621+26</f>
        <v>2647</v>
      </c>
      <c r="G39" s="63">
        <f>2733+26</f>
        <v>2759</v>
      </c>
      <c r="H39" s="63">
        <f>2845+28</f>
        <v>2873</v>
      </c>
      <c r="I39" s="63">
        <f>2952+28</f>
        <v>2980</v>
      </c>
      <c r="J39" s="63">
        <f>3172+32</f>
        <v>3204</v>
      </c>
      <c r="K39" s="63">
        <f>3274+32</f>
        <v>3306</v>
      </c>
      <c r="L39" s="63">
        <f>3379+34</f>
        <v>3413</v>
      </c>
      <c r="M39" s="63">
        <f>3482+34</f>
        <v>3516</v>
      </c>
      <c r="N39" s="63">
        <f>3597+36</f>
        <v>3633</v>
      </c>
      <c r="O39" s="63">
        <f>3712+36</f>
        <v>3748</v>
      </c>
      <c r="P39" s="63">
        <f>3823+38</f>
        <v>3861</v>
      </c>
      <c r="Q39" s="63">
        <f>3930+38</f>
        <v>3968</v>
      </c>
      <c r="R39" s="63">
        <f>4038+40</f>
        <v>4078</v>
      </c>
      <c r="S39" s="63">
        <f>4142+40</f>
        <v>4182</v>
      </c>
      <c r="T39" s="63">
        <f>4197+42</f>
        <v>4239</v>
      </c>
      <c r="U39" s="63"/>
      <c r="V39" s="63"/>
      <c r="W39" s="265">
        <f t="shared" si="0"/>
        <v>18</v>
      </c>
    </row>
    <row r="40" spans="1:23">
      <c r="B40" s="62">
        <v>12</v>
      </c>
      <c r="C40" s="63">
        <f>3057+30</f>
        <v>3087</v>
      </c>
      <c r="D40" s="63">
        <f>3172+32</f>
        <v>3204</v>
      </c>
      <c r="E40" s="63">
        <f>3274+32</f>
        <v>3306</v>
      </c>
      <c r="F40" s="63">
        <f>3379+34</f>
        <v>3413</v>
      </c>
      <c r="G40" s="63">
        <f>3482+34</f>
        <v>3516</v>
      </c>
      <c r="H40" s="63">
        <f>3597+36</f>
        <v>3633</v>
      </c>
      <c r="I40" s="63">
        <f>3823+38</f>
        <v>3861</v>
      </c>
      <c r="J40" s="63">
        <f>3930+38</f>
        <v>3968</v>
      </c>
      <c r="K40" s="63">
        <f>4038+40</f>
        <v>4078</v>
      </c>
      <c r="L40" s="63">
        <f>4142+40</f>
        <v>4182</v>
      </c>
      <c r="M40" s="63">
        <f>4253+42</f>
        <v>4295</v>
      </c>
      <c r="N40" s="63">
        <f>4361+44</f>
        <v>4405</v>
      </c>
      <c r="O40" s="63">
        <f>4465+44</f>
        <v>4509</v>
      </c>
      <c r="P40" s="63">
        <f>4573+46</f>
        <v>4619</v>
      </c>
      <c r="Q40" s="63">
        <f>4708+46</f>
        <v>4754</v>
      </c>
      <c r="R40" s="63">
        <f>4775+48</f>
        <v>4823</v>
      </c>
      <c r="S40" s="63"/>
      <c r="T40" s="63"/>
      <c r="U40" s="63"/>
      <c r="V40" s="63"/>
      <c r="W40" s="265">
        <f t="shared" si="0"/>
        <v>16</v>
      </c>
    </row>
    <row r="41" spans="1:23">
      <c r="B41" s="62">
        <v>13</v>
      </c>
      <c r="C41" s="63">
        <f>3712+36</f>
        <v>3748</v>
      </c>
      <c r="D41" s="63">
        <f>3823+38</f>
        <v>3861</v>
      </c>
      <c r="E41" s="63">
        <f>3930+38</f>
        <v>3968</v>
      </c>
      <c r="F41" s="63">
        <f>4038+40</f>
        <v>4078</v>
      </c>
      <c r="G41" s="63">
        <f>4142+40</f>
        <v>4182</v>
      </c>
      <c r="H41" s="63">
        <f>4361+44</f>
        <v>4405</v>
      </c>
      <c r="I41" s="63">
        <f>4465+44</f>
        <v>4509</v>
      </c>
      <c r="J41" s="63">
        <f>4573+46</f>
        <v>4619</v>
      </c>
      <c r="K41" s="63">
        <f>4708+46</f>
        <v>4754</v>
      </c>
      <c r="L41" s="63">
        <f>4843+48</f>
        <v>4891</v>
      </c>
      <c r="M41" s="63">
        <f>4978+50</f>
        <v>5028</v>
      </c>
      <c r="N41" s="63">
        <f>5113+50</f>
        <v>5163</v>
      </c>
      <c r="O41" s="63">
        <f>5178+52</f>
        <v>5230</v>
      </c>
      <c r="P41" s="63"/>
      <c r="Q41" s="63"/>
      <c r="R41" s="63"/>
      <c r="S41" s="63"/>
      <c r="T41" s="63"/>
      <c r="U41" s="63"/>
      <c r="V41" s="63"/>
      <c r="W41" s="265">
        <f t="shared" si="0"/>
        <v>13</v>
      </c>
    </row>
    <row r="42" spans="1:23">
      <c r="B42" s="62">
        <v>14</v>
      </c>
      <c r="C42" s="63">
        <f>4253+42</f>
        <v>4295</v>
      </c>
      <c r="D42" s="63">
        <f>4361+44</f>
        <v>4405</v>
      </c>
      <c r="E42" s="63">
        <f>4573+46</f>
        <v>4619</v>
      </c>
      <c r="F42" s="63">
        <f>4708+46</f>
        <v>4754</v>
      </c>
      <c r="G42" s="63">
        <f>4843+48</f>
        <v>4891</v>
      </c>
      <c r="H42" s="63">
        <f>4978+50</f>
        <v>5028</v>
      </c>
      <c r="I42" s="63">
        <f>5113+50</f>
        <v>5163</v>
      </c>
      <c r="J42" s="63">
        <f>5249+52</f>
        <v>5301</v>
      </c>
      <c r="K42" s="63">
        <f>5393+54</f>
        <v>5447</v>
      </c>
      <c r="L42" s="63">
        <f>5539+54</f>
        <v>5593</v>
      </c>
      <c r="M42" s="63">
        <f>5690+56</f>
        <v>5746</v>
      </c>
      <c r="N42" s="63"/>
      <c r="O42" s="63"/>
      <c r="P42" s="63"/>
      <c r="Q42" s="63"/>
      <c r="R42" s="63"/>
      <c r="S42" s="63"/>
      <c r="T42" s="63"/>
      <c r="U42" s="63"/>
      <c r="V42" s="63"/>
      <c r="W42" s="265">
        <f t="shared" si="0"/>
        <v>11</v>
      </c>
    </row>
    <row r="43" spans="1:23">
      <c r="B43" s="62">
        <v>15</v>
      </c>
      <c r="C43" s="294">
        <v>4509</v>
      </c>
      <c r="D43" s="294">
        <v>4619</v>
      </c>
      <c r="E43" s="294">
        <v>4754</v>
      </c>
      <c r="F43" s="294">
        <v>5028</v>
      </c>
      <c r="G43" s="294">
        <v>5163</v>
      </c>
      <c r="H43" s="294">
        <v>5301</v>
      </c>
      <c r="I43" s="294">
        <v>5447</v>
      </c>
      <c r="J43" s="294">
        <v>5593</v>
      </c>
      <c r="K43" s="294">
        <v>5746</v>
      </c>
      <c r="L43" s="294">
        <v>5928</v>
      </c>
      <c r="M43" s="294">
        <v>6119</v>
      </c>
      <c r="N43" s="294">
        <v>6314</v>
      </c>
      <c r="O43" s="294"/>
      <c r="P43" s="294"/>
      <c r="Q43" s="294"/>
      <c r="R43" s="294"/>
      <c r="S43" s="294"/>
      <c r="T43" s="294"/>
      <c r="U43" s="294"/>
      <c r="V43" s="294"/>
      <c r="W43" s="265">
        <f t="shared" si="0"/>
        <v>12</v>
      </c>
    </row>
    <row r="44" spans="1:23">
      <c r="B44" s="62">
        <v>16</v>
      </c>
      <c r="C44" s="294">
        <v>4891</v>
      </c>
      <c r="D44" s="294">
        <v>5028</v>
      </c>
      <c r="E44" s="294">
        <v>5163</v>
      </c>
      <c r="F44" s="294">
        <v>5447</v>
      </c>
      <c r="G44" s="294">
        <v>5593</v>
      </c>
      <c r="H44" s="294">
        <v>5746</v>
      </c>
      <c r="I44" s="294">
        <v>5928</v>
      </c>
      <c r="J44" s="294">
        <v>6119</v>
      </c>
      <c r="K44" s="294">
        <v>6314</v>
      </c>
      <c r="L44" s="294">
        <v>6516</v>
      </c>
      <c r="M44" s="294">
        <v>6721</v>
      </c>
      <c r="N44" s="294">
        <v>6936</v>
      </c>
      <c r="O44" s="294"/>
      <c r="P44" s="294"/>
      <c r="Q44" s="294"/>
      <c r="R44" s="294"/>
      <c r="S44" s="294"/>
      <c r="T44" s="294"/>
      <c r="U44" s="294"/>
      <c r="V44" s="294"/>
      <c r="W44" s="265">
        <f t="shared" si="0"/>
        <v>12</v>
      </c>
    </row>
    <row r="45" spans="1:23">
      <c r="A45" s="293"/>
      <c r="B45" s="62" t="s">
        <v>437</v>
      </c>
      <c r="C45" s="266">
        <f>+C24/2</f>
        <v>1145</v>
      </c>
      <c r="D45" s="63"/>
      <c r="E45" s="63"/>
      <c r="F45" s="63"/>
      <c r="G45" s="63"/>
      <c r="H45" s="63"/>
      <c r="I45" s="63"/>
      <c r="J45" s="63"/>
      <c r="K45" s="63"/>
      <c r="L45" s="63"/>
      <c r="M45" s="63"/>
      <c r="N45" s="63"/>
      <c r="O45" s="63"/>
      <c r="P45" s="63"/>
      <c r="Q45" s="63"/>
      <c r="R45" s="63"/>
      <c r="S45" s="63"/>
      <c r="T45" s="63"/>
      <c r="U45" s="63"/>
      <c r="V45" s="63"/>
      <c r="W45" s="265">
        <f t="shared" si="0"/>
        <v>1</v>
      </c>
    </row>
    <row r="46" spans="1:23">
      <c r="B46" s="62" t="s">
        <v>438</v>
      </c>
      <c r="C46" s="266">
        <f>+C25/2</f>
        <v>1187</v>
      </c>
      <c r="D46" s="63"/>
      <c r="E46" s="63"/>
      <c r="F46" s="63"/>
      <c r="G46" s="63"/>
      <c r="H46" s="63"/>
      <c r="I46" s="63"/>
      <c r="J46" s="63"/>
      <c r="K46" s="63"/>
      <c r="L46" s="63"/>
      <c r="M46" s="63"/>
      <c r="N46" s="63"/>
      <c r="O46" s="63"/>
      <c r="P46" s="63"/>
      <c r="Q46" s="63"/>
      <c r="R46" s="63"/>
      <c r="S46" s="63"/>
      <c r="T46" s="63"/>
      <c r="U46" s="63"/>
      <c r="V46" s="63"/>
      <c r="W46" s="265">
        <f t="shared" si="0"/>
        <v>1</v>
      </c>
    </row>
    <row r="47" spans="1:23">
      <c r="B47" s="62" t="s">
        <v>439</v>
      </c>
      <c r="C47" s="266">
        <f t="shared" ref="C47:I49" si="1">+C29</f>
        <v>1477.8</v>
      </c>
      <c r="D47" s="266">
        <f t="shared" si="1"/>
        <v>1477.8</v>
      </c>
      <c r="E47" s="266">
        <f t="shared" si="1"/>
        <v>1538</v>
      </c>
      <c r="F47" s="266">
        <f t="shared" si="1"/>
        <v>1566</v>
      </c>
      <c r="G47" s="266">
        <f t="shared" si="1"/>
        <v>1598</v>
      </c>
      <c r="H47" s="266">
        <f t="shared" si="1"/>
        <v>1631</v>
      </c>
      <c r="I47" s="266">
        <f t="shared" si="1"/>
        <v>1674</v>
      </c>
      <c r="J47" s="63"/>
      <c r="K47" s="63"/>
      <c r="L47" s="63"/>
      <c r="M47" s="63"/>
      <c r="N47" s="63"/>
      <c r="O47" s="63"/>
      <c r="P47" s="63"/>
      <c r="Q47" s="63"/>
      <c r="R47" s="63"/>
      <c r="S47" s="63"/>
      <c r="T47" s="63"/>
      <c r="U47" s="63"/>
      <c r="V47" s="63"/>
      <c r="W47" s="265">
        <f t="shared" si="0"/>
        <v>7</v>
      </c>
    </row>
    <row r="48" spans="1:23">
      <c r="B48" s="62" t="s">
        <v>440</v>
      </c>
      <c r="C48" s="266">
        <f t="shared" si="1"/>
        <v>1477.8</v>
      </c>
      <c r="D48" s="266">
        <f t="shared" si="1"/>
        <v>1508</v>
      </c>
      <c r="E48" s="266">
        <f t="shared" si="1"/>
        <v>1566</v>
      </c>
      <c r="F48" s="266">
        <f t="shared" si="1"/>
        <v>1631</v>
      </c>
      <c r="G48" s="266">
        <f t="shared" si="1"/>
        <v>1674</v>
      </c>
      <c r="H48" s="266">
        <f t="shared" si="1"/>
        <v>1723</v>
      </c>
      <c r="I48" s="266">
        <f t="shared" si="1"/>
        <v>1783</v>
      </c>
      <c r="J48" s="266">
        <f>+J30</f>
        <v>1840</v>
      </c>
      <c r="K48" s="63"/>
      <c r="L48" s="63"/>
      <c r="M48" s="63"/>
      <c r="N48" s="63"/>
      <c r="O48" s="63"/>
      <c r="P48" s="63"/>
      <c r="Q48" s="63"/>
      <c r="R48" s="63"/>
      <c r="S48" s="63"/>
      <c r="T48" s="63"/>
      <c r="U48" s="63"/>
      <c r="V48" s="63"/>
      <c r="W48" s="265">
        <f t="shared" si="0"/>
        <v>8</v>
      </c>
    </row>
    <row r="49" spans="2:23">
      <c r="B49" s="62" t="s">
        <v>441</v>
      </c>
      <c r="C49" s="266">
        <f t="shared" si="1"/>
        <v>1477.8</v>
      </c>
      <c r="D49" s="266">
        <f t="shared" si="1"/>
        <v>1566</v>
      </c>
      <c r="E49" s="266">
        <f t="shared" si="1"/>
        <v>1631</v>
      </c>
      <c r="F49" s="266">
        <f t="shared" si="1"/>
        <v>1723</v>
      </c>
      <c r="G49" s="266">
        <f t="shared" si="1"/>
        <v>1783</v>
      </c>
      <c r="H49" s="266">
        <f t="shared" si="1"/>
        <v>1840</v>
      </c>
      <c r="I49" s="266">
        <f t="shared" si="1"/>
        <v>1896</v>
      </c>
      <c r="J49" s="63"/>
      <c r="K49" s="63"/>
      <c r="L49" s="63"/>
      <c r="M49" s="63"/>
      <c r="N49" s="63"/>
      <c r="O49" s="63"/>
      <c r="P49" s="63"/>
      <c r="Q49" s="63"/>
      <c r="R49" s="63"/>
      <c r="S49" s="63"/>
      <c r="T49" s="63"/>
      <c r="U49" s="63"/>
      <c r="V49" s="63"/>
      <c r="W49" s="265">
        <f t="shared" si="0"/>
        <v>7</v>
      </c>
    </row>
    <row r="51" spans="2:23">
      <c r="B51" s="51" t="s">
        <v>474</v>
      </c>
      <c r="C51" s="66" t="s">
        <v>475</v>
      </c>
      <c r="D51" s="1" t="s">
        <v>488</v>
      </c>
    </row>
    <row r="52" spans="2:23">
      <c r="B52" s="52" t="s">
        <v>476</v>
      </c>
      <c r="C52">
        <v>31</v>
      </c>
      <c r="D52">
        <v>31</v>
      </c>
    </row>
    <row r="53" spans="2:23">
      <c r="B53" s="52" t="s">
        <v>477</v>
      </c>
      <c r="C53">
        <v>28</v>
      </c>
      <c r="D53">
        <v>29</v>
      </c>
    </row>
    <row r="54" spans="2:23">
      <c r="B54" s="52" t="s">
        <v>478</v>
      </c>
      <c r="C54">
        <v>31</v>
      </c>
      <c r="D54">
        <v>31</v>
      </c>
    </row>
    <row r="55" spans="2:23">
      <c r="B55" s="52" t="s">
        <v>479</v>
      </c>
      <c r="C55">
        <v>30</v>
      </c>
      <c r="D55">
        <v>30</v>
      </c>
    </row>
    <row r="56" spans="2:23">
      <c r="B56" s="52" t="s">
        <v>480</v>
      </c>
      <c r="C56">
        <v>31</v>
      </c>
      <c r="D56">
        <v>31</v>
      </c>
    </row>
    <row r="57" spans="2:23">
      <c r="B57" s="52" t="s">
        <v>481</v>
      </c>
      <c r="C57">
        <v>30</v>
      </c>
      <c r="D57">
        <v>30</v>
      </c>
    </row>
    <row r="58" spans="2:23">
      <c r="B58" s="52" t="s">
        <v>482</v>
      </c>
      <c r="C58">
        <v>31</v>
      </c>
      <c r="D58">
        <v>31</v>
      </c>
    </row>
    <row r="59" spans="2:23">
      <c r="B59" s="52" t="s">
        <v>483</v>
      </c>
      <c r="C59">
        <v>31</v>
      </c>
      <c r="D59">
        <v>31</v>
      </c>
    </row>
    <row r="60" spans="2:23">
      <c r="B60" s="52" t="s">
        <v>484</v>
      </c>
      <c r="C60">
        <v>30</v>
      </c>
      <c r="D60">
        <v>30</v>
      </c>
    </row>
    <row r="61" spans="2:23">
      <c r="B61" s="52" t="s">
        <v>485</v>
      </c>
      <c r="C61">
        <v>31</v>
      </c>
      <c r="D61">
        <v>31</v>
      </c>
    </row>
    <row r="62" spans="2:23">
      <c r="B62" s="52" t="s">
        <v>486</v>
      </c>
      <c r="C62">
        <v>30</v>
      </c>
      <c r="D62">
        <v>30</v>
      </c>
    </row>
    <row r="63" spans="2:23">
      <c r="B63" s="52" t="s">
        <v>487</v>
      </c>
      <c r="C63">
        <v>31</v>
      </c>
      <c r="D63">
        <v>31</v>
      </c>
    </row>
    <row r="64" spans="2:23">
      <c r="B64" s="52" t="s">
        <v>489</v>
      </c>
      <c r="C64">
        <f>SUM(C52:C63)</f>
        <v>365</v>
      </c>
      <c r="D64">
        <f>SUM(D52:D63)</f>
        <v>366</v>
      </c>
    </row>
    <row r="66" spans="2:6">
      <c r="B66" s="7"/>
      <c r="C66" s="7"/>
      <c r="D66" s="65"/>
    </row>
    <row r="67" spans="2:6" s="7" customFormat="1">
      <c r="B67" s="7" t="s">
        <v>442</v>
      </c>
      <c r="C67" s="7">
        <v>18</v>
      </c>
      <c r="D67" s="7">
        <v>24</v>
      </c>
    </row>
    <row r="68" spans="2:6" s="7" customFormat="1">
      <c r="C68" s="7">
        <v>19</v>
      </c>
      <c r="D68" s="7">
        <v>16</v>
      </c>
    </row>
    <row r="69" spans="2:6" s="7" customFormat="1">
      <c r="C69" s="7">
        <v>20</v>
      </c>
      <c r="D69" s="7">
        <v>8</v>
      </c>
    </row>
    <row r="70" spans="2:6" s="7" customFormat="1">
      <c r="C70" s="7">
        <v>21</v>
      </c>
      <c r="D70" s="7">
        <v>0</v>
      </c>
    </row>
    <row r="71" spans="2:6" s="7" customFormat="1">
      <c r="C71" s="7">
        <v>30</v>
      </c>
      <c r="D71" s="7">
        <v>8</v>
      </c>
    </row>
    <row r="72" spans="2:6" s="7" customFormat="1">
      <c r="C72" s="7">
        <v>40</v>
      </c>
      <c r="D72" s="7">
        <v>16</v>
      </c>
    </row>
    <row r="73" spans="2:6" s="7" customFormat="1">
      <c r="C73" s="7">
        <v>45</v>
      </c>
      <c r="D73" s="7">
        <v>24</v>
      </c>
    </row>
    <row r="74" spans="2:6" s="7" customFormat="1">
      <c r="C74" s="7">
        <v>50</v>
      </c>
      <c r="D74" s="7">
        <v>32</v>
      </c>
    </row>
    <row r="75" spans="2:6" s="7" customFormat="1">
      <c r="C75" s="7">
        <v>55</v>
      </c>
      <c r="D75" s="7">
        <v>40</v>
      </c>
    </row>
    <row r="76" spans="2:6">
      <c r="B76" s="7"/>
      <c r="C76" s="7">
        <v>60</v>
      </c>
      <c r="D76" s="7">
        <v>48</v>
      </c>
    </row>
    <row r="79" spans="2:6">
      <c r="B79" t="s">
        <v>594</v>
      </c>
      <c r="C79" t="s">
        <v>595</v>
      </c>
      <c r="D79" t="s">
        <v>596</v>
      </c>
      <c r="E79" t="s">
        <v>597</v>
      </c>
      <c r="F79" s="293" t="s">
        <v>601</v>
      </c>
    </row>
  </sheetData>
  <sheetProtection password="DE55" sheet="1" objects="1" scenarios="1"/>
  <phoneticPr fontId="0" type="noConversion"/>
  <pageMargins left="0.75" right="0.75" top="1" bottom="1" header="0.5" footer="0.5"/>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dimension ref="B2:F11"/>
  <sheetViews>
    <sheetView workbookViewId="0"/>
  </sheetViews>
  <sheetFormatPr defaultRowHeight="12.75"/>
  <cols>
    <col min="1" max="1" width="3.5703125" customWidth="1"/>
    <col min="2" max="2" width="3.85546875" customWidth="1"/>
    <col min="3" max="3" width="23.42578125" customWidth="1"/>
    <col min="4" max="4" width="7.7109375" customWidth="1"/>
  </cols>
  <sheetData>
    <row r="2" spans="2:6">
      <c r="C2" s="1" t="s">
        <v>357</v>
      </c>
      <c r="D2" s="1"/>
    </row>
    <row r="3" spans="2:6">
      <c r="C3" t="s">
        <v>355</v>
      </c>
      <c r="E3">
        <v>1659</v>
      </c>
    </row>
    <row r="4" spans="2:6">
      <c r="C4" t="s">
        <v>356</v>
      </c>
      <c r="E4">
        <v>930</v>
      </c>
      <c r="F4" t="s">
        <v>307</v>
      </c>
    </row>
    <row r="5" spans="2:6">
      <c r="C5" s="53" t="s">
        <v>284</v>
      </c>
      <c r="D5" s="52"/>
      <c r="E5">
        <v>166</v>
      </c>
    </row>
    <row r="6" spans="2:6">
      <c r="C6" s="53" t="s">
        <v>360</v>
      </c>
      <c r="D6" s="52"/>
      <c r="E6">
        <f>+E5-E7</f>
        <v>83</v>
      </c>
      <c r="F6" t="s">
        <v>358</v>
      </c>
    </row>
    <row r="7" spans="2:6">
      <c r="C7" s="53" t="s">
        <v>361</v>
      </c>
      <c r="D7" s="54">
        <v>0.5</v>
      </c>
      <c r="E7">
        <f>ROUND(+E5*D7,0)</f>
        <v>83</v>
      </c>
      <c r="F7" t="s">
        <v>359</v>
      </c>
    </row>
    <row r="8" spans="2:6">
      <c r="C8" s="53" t="s">
        <v>362</v>
      </c>
      <c r="E8">
        <f>+E3-E4-E5</f>
        <v>563</v>
      </c>
    </row>
    <row r="10" spans="2:6">
      <c r="C10" s="1"/>
    </row>
    <row r="11" spans="2:6">
      <c r="B11" s="52"/>
    </row>
  </sheetData>
  <phoneticPr fontId="0"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B1:T163"/>
  <sheetViews>
    <sheetView zoomScale="85" zoomScaleNormal="85" workbookViewId="0">
      <selection activeCell="B2" sqref="B2"/>
    </sheetView>
  </sheetViews>
  <sheetFormatPr defaultRowHeight="12.75"/>
  <cols>
    <col min="1" max="1" width="5.7109375" style="71" customWidth="1"/>
    <col min="2" max="3" width="2.85546875" style="71" customWidth="1"/>
    <col min="4" max="4" width="45.5703125" style="71" customWidth="1"/>
    <col min="5" max="6" width="2.7109375" style="71" customWidth="1"/>
    <col min="7" max="9" width="16.85546875" style="75" customWidth="1"/>
    <col min="10" max="10" width="2.85546875" style="71" customWidth="1"/>
    <col min="11" max="11" width="2.7109375" style="71" customWidth="1"/>
    <col min="12" max="12" width="8.5703125" style="71" customWidth="1"/>
    <col min="13" max="13" width="3" style="71" customWidth="1"/>
    <col min="14" max="19" width="9.140625" style="71"/>
    <col min="20" max="20" width="2.5703125" style="71" customWidth="1"/>
    <col min="21" max="22" width="9.140625" style="71"/>
    <col min="23" max="23" width="12.140625" style="71" customWidth="1"/>
    <col min="24" max="16384" width="9.140625" style="71"/>
  </cols>
  <sheetData>
    <row r="1" spans="2:20" ht="13.5" thickBot="1"/>
    <row r="2" spans="2:20">
      <c r="B2" s="76"/>
      <c r="C2" s="77"/>
      <c r="D2" s="77"/>
      <c r="E2" s="77"/>
      <c r="F2" s="77"/>
      <c r="G2" s="78"/>
      <c r="H2" s="78"/>
      <c r="I2" s="78"/>
      <c r="J2" s="77"/>
      <c r="K2" s="79"/>
    </row>
    <row r="3" spans="2:20">
      <c r="B3" s="80"/>
      <c r="K3" s="81"/>
    </row>
    <row r="4" spans="2:20" s="68" customFormat="1" ht="18">
      <c r="B4" s="73"/>
      <c r="C4" s="69" t="s">
        <v>526</v>
      </c>
      <c r="G4" s="72"/>
      <c r="H4" s="72"/>
      <c r="I4" s="72"/>
      <c r="K4" s="74"/>
      <c r="N4" s="69" t="s">
        <v>50</v>
      </c>
    </row>
    <row r="5" spans="2:20" ht="15">
      <c r="B5" s="80"/>
      <c r="D5" s="70"/>
      <c r="K5" s="81"/>
      <c r="M5" s="271"/>
      <c r="N5" s="272"/>
      <c r="O5" s="272"/>
      <c r="P5" s="272"/>
      <c r="Q5" s="272"/>
      <c r="R5" s="272"/>
      <c r="S5" s="272"/>
      <c r="T5" s="273"/>
    </row>
    <row r="6" spans="2:20" ht="15.75">
      <c r="B6" s="80"/>
      <c r="D6" s="70"/>
      <c r="K6" s="81"/>
      <c r="M6" s="274"/>
      <c r="N6" s="280" t="s">
        <v>35</v>
      </c>
      <c r="O6" s="281"/>
      <c r="P6" s="281"/>
      <c r="Q6" s="281"/>
      <c r="R6" s="281"/>
      <c r="S6" s="281"/>
      <c r="T6" s="275"/>
    </row>
    <row r="7" spans="2:20" ht="15.75">
      <c r="B7" s="80"/>
      <c r="D7" s="70"/>
      <c r="K7" s="81"/>
      <c r="M7" s="274"/>
      <c r="N7" s="280"/>
      <c r="O7" s="93" t="s">
        <v>36</v>
      </c>
      <c r="P7" s="281"/>
      <c r="Q7" s="281"/>
      <c r="R7" s="281"/>
      <c r="S7" s="281"/>
      <c r="T7" s="275"/>
    </row>
    <row r="8" spans="2:20">
      <c r="B8" s="80"/>
      <c r="C8" s="110" t="s">
        <v>528</v>
      </c>
      <c r="D8" s="109" t="s">
        <v>548</v>
      </c>
      <c r="K8" s="81"/>
      <c r="M8" s="274"/>
      <c r="N8" s="281"/>
      <c r="O8" s="281" t="s">
        <v>290</v>
      </c>
      <c r="P8" s="281" t="s">
        <v>291</v>
      </c>
      <c r="Q8" s="281" t="s">
        <v>489</v>
      </c>
      <c r="R8" s="281"/>
      <c r="S8" s="281"/>
      <c r="T8" s="275"/>
    </row>
    <row r="9" spans="2:20">
      <c r="B9" s="80"/>
      <c r="C9" s="110" t="s">
        <v>528</v>
      </c>
      <c r="D9" s="109" t="s">
        <v>527</v>
      </c>
      <c r="K9" s="81"/>
      <c r="M9" s="274"/>
      <c r="N9" s="281" t="s">
        <v>37</v>
      </c>
      <c r="O9" s="284">
        <v>3.5</v>
      </c>
      <c r="P9" s="284">
        <v>2</v>
      </c>
      <c r="Q9" s="286">
        <f>SUM(O9:P9)</f>
        <v>5.5</v>
      </c>
      <c r="R9" s="281"/>
      <c r="S9" s="281"/>
      <c r="T9" s="275"/>
    </row>
    <row r="10" spans="2:20">
      <c r="B10" s="80"/>
      <c r="C10" s="67"/>
      <c r="K10" s="81"/>
      <c r="M10" s="274"/>
      <c r="N10" s="281" t="s">
        <v>38</v>
      </c>
      <c r="O10" s="284">
        <v>3.5</v>
      </c>
      <c r="P10" s="284">
        <v>2</v>
      </c>
      <c r="Q10" s="286">
        <f>SUM(O10:P10)</f>
        <v>5.5</v>
      </c>
      <c r="R10" s="281"/>
      <c r="S10" s="281"/>
      <c r="T10" s="275"/>
    </row>
    <row r="11" spans="2:20" ht="15">
      <c r="B11" s="80"/>
      <c r="D11" s="70"/>
      <c r="K11" s="81"/>
      <c r="M11" s="274"/>
      <c r="N11" s="281" t="s">
        <v>39</v>
      </c>
      <c r="O11" s="284">
        <v>3.75</v>
      </c>
      <c r="P11" s="284">
        <v>0</v>
      </c>
      <c r="Q11" s="286">
        <f>SUM(O11:P11)</f>
        <v>3.75</v>
      </c>
      <c r="R11" s="281"/>
      <c r="S11" s="281"/>
      <c r="T11" s="275"/>
    </row>
    <row r="12" spans="2:20" ht="15">
      <c r="B12" s="80"/>
      <c r="C12" s="90"/>
      <c r="D12" s="91"/>
      <c r="E12" s="90"/>
      <c r="F12" s="90"/>
      <c r="G12" s="92"/>
      <c r="H12" s="92"/>
      <c r="I12" s="92"/>
      <c r="J12" s="90"/>
      <c r="K12" s="81"/>
      <c r="M12" s="274"/>
      <c r="N12" s="281" t="s">
        <v>40</v>
      </c>
      <c r="O12" s="284">
        <v>3.5</v>
      </c>
      <c r="P12" s="284">
        <v>2</v>
      </c>
      <c r="Q12" s="286">
        <f>SUM(O12:P12)</f>
        <v>5.5</v>
      </c>
      <c r="R12" s="281"/>
      <c r="S12" s="281"/>
      <c r="T12" s="275"/>
    </row>
    <row r="13" spans="2:20">
      <c r="B13" s="80"/>
      <c r="C13" s="90"/>
      <c r="D13" s="93" t="s">
        <v>547</v>
      </c>
      <c r="E13" s="90"/>
      <c r="F13" s="90"/>
      <c r="G13" s="83">
        <v>40</v>
      </c>
      <c r="H13" s="92"/>
      <c r="I13" s="92"/>
      <c r="J13" s="90"/>
      <c r="K13" s="81"/>
      <c r="M13" s="274"/>
      <c r="N13" s="281" t="s">
        <v>41</v>
      </c>
      <c r="O13" s="284">
        <v>3.5</v>
      </c>
      <c r="P13" s="284">
        <v>2</v>
      </c>
      <c r="Q13" s="286">
        <f>SUM(O13:P13)</f>
        <v>5.5</v>
      </c>
      <c r="R13" s="281"/>
      <c r="S13" s="281"/>
      <c r="T13" s="275"/>
    </row>
    <row r="14" spans="2:20">
      <c r="B14" s="80"/>
      <c r="C14" s="90"/>
      <c r="D14" s="100" t="s">
        <v>395</v>
      </c>
      <c r="E14" s="90"/>
      <c r="F14" s="90"/>
      <c r="G14" s="107" t="s">
        <v>396</v>
      </c>
      <c r="H14" s="90"/>
      <c r="I14" s="90"/>
      <c r="J14" s="90"/>
      <c r="K14" s="81"/>
      <c r="M14" s="274"/>
      <c r="N14" s="281"/>
      <c r="O14" s="281"/>
      <c r="P14" s="281" t="s">
        <v>42</v>
      </c>
      <c r="Q14" s="130">
        <f>SUM(Q9:Q13)</f>
        <v>25.75</v>
      </c>
      <c r="R14" s="281"/>
      <c r="S14" s="281"/>
      <c r="T14" s="275"/>
    </row>
    <row r="15" spans="2:20">
      <c r="B15" s="80"/>
      <c r="C15" s="90"/>
      <c r="D15" s="90"/>
      <c r="E15" s="90"/>
      <c r="F15" s="90"/>
      <c r="G15" s="95"/>
      <c r="H15" s="95"/>
      <c r="I15" s="90"/>
      <c r="J15" s="90"/>
      <c r="K15" s="81"/>
      <c r="M15" s="274"/>
      <c r="N15" s="281"/>
      <c r="O15" s="281"/>
      <c r="P15" s="283" t="s">
        <v>43</v>
      </c>
      <c r="Q15" s="285">
        <v>1010</v>
      </c>
      <c r="R15" s="281"/>
      <c r="S15" s="281"/>
      <c r="T15" s="275"/>
    </row>
    <row r="16" spans="2:20">
      <c r="B16" s="80"/>
      <c r="C16" s="90"/>
      <c r="D16" s="90"/>
      <c r="E16" s="90"/>
      <c r="F16" s="90"/>
      <c r="G16" s="103" t="s">
        <v>290</v>
      </c>
      <c r="H16" s="103" t="s">
        <v>291</v>
      </c>
      <c r="I16" s="103" t="s">
        <v>489</v>
      </c>
      <c r="J16" s="90"/>
      <c r="K16" s="81"/>
      <c r="M16" s="274"/>
      <c r="N16" s="281"/>
      <c r="O16" s="281"/>
      <c r="P16" s="283" t="s">
        <v>329</v>
      </c>
      <c r="Q16" s="287">
        <f>+Q15/Q14</f>
        <v>39.223300970873787</v>
      </c>
      <c r="R16" s="281"/>
      <c r="S16" s="281"/>
      <c r="T16" s="276"/>
    </row>
    <row r="17" spans="2:20">
      <c r="B17" s="80"/>
      <c r="C17" s="90"/>
      <c r="D17" s="90"/>
      <c r="E17" s="90"/>
      <c r="F17" s="90"/>
      <c r="G17" s="103"/>
      <c r="H17" s="103"/>
      <c r="I17" s="103"/>
      <c r="J17" s="90"/>
      <c r="K17" s="81"/>
      <c r="M17" s="274"/>
      <c r="N17" s="281"/>
      <c r="O17" s="281"/>
      <c r="P17" s="281"/>
      <c r="Q17" s="281"/>
      <c r="R17" s="281"/>
      <c r="S17" s="281"/>
      <c r="T17" s="276"/>
    </row>
    <row r="18" spans="2:20">
      <c r="B18" s="80"/>
      <c r="C18" s="90"/>
      <c r="D18" s="90" t="s">
        <v>285</v>
      </c>
      <c r="E18" s="90"/>
      <c r="F18" s="90"/>
      <c r="G18" s="84">
        <v>3.5</v>
      </c>
      <c r="H18" s="84">
        <v>2</v>
      </c>
      <c r="I18" s="102">
        <f>SUM(G18:H18)</f>
        <v>5.5</v>
      </c>
      <c r="J18" s="90"/>
      <c r="K18" s="81"/>
      <c r="M18" s="274"/>
      <c r="N18" s="281"/>
      <c r="O18" s="281"/>
      <c r="P18" s="104" t="s">
        <v>44</v>
      </c>
      <c r="Q18" s="281"/>
      <c r="R18" s="281"/>
      <c r="S18" s="281"/>
      <c r="T18" s="276"/>
    </row>
    <row r="19" spans="2:20">
      <c r="B19" s="80"/>
      <c r="C19" s="90"/>
      <c r="D19" s="90" t="s">
        <v>286</v>
      </c>
      <c r="E19" s="90"/>
      <c r="F19" s="90"/>
      <c r="G19" s="84">
        <v>3.5</v>
      </c>
      <c r="H19" s="84">
        <v>2</v>
      </c>
      <c r="I19" s="102">
        <f>SUM(G19:H19)</f>
        <v>5.5</v>
      </c>
      <c r="J19" s="90"/>
      <c r="K19" s="81"/>
      <c r="M19" s="274"/>
      <c r="N19" s="281"/>
      <c r="O19" s="281"/>
      <c r="P19" s="283" t="s">
        <v>49</v>
      </c>
      <c r="Q19" s="130">
        <v>930</v>
      </c>
      <c r="R19" s="281"/>
      <c r="S19" s="281"/>
      <c r="T19" s="276"/>
    </row>
    <row r="20" spans="2:20">
      <c r="B20" s="80"/>
      <c r="C20" s="90"/>
      <c r="D20" s="90" t="s">
        <v>287</v>
      </c>
      <c r="E20" s="90"/>
      <c r="F20" s="90"/>
      <c r="G20" s="84">
        <v>3.5</v>
      </c>
      <c r="H20" s="84">
        <v>0</v>
      </c>
      <c r="I20" s="102">
        <f>SUM(G20:H20)</f>
        <v>3.5</v>
      </c>
      <c r="J20" s="90"/>
      <c r="K20" s="81"/>
      <c r="M20" s="274"/>
      <c r="N20" s="281"/>
      <c r="O20" s="281"/>
      <c r="P20" s="283" t="s">
        <v>42</v>
      </c>
      <c r="Q20" s="130">
        <f>+Q14</f>
        <v>25.75</v>
      </c>
      <c r="R20" s="281"/>
      <c r="S20" s="104" t="s">
        <v>45</v>
      </c>
      <c r="T20" s="276"/>
    </row>
    <row r="21" spans="2:20">
      <c r="B21" s="80"/>
      <c r="C21" s="90"/>
      <c r="D21" s="90" t="s">
        <v>288</v>
      </c>
      <c r="E21" s="90"/>
      <c r="F21" s="90"/>
      <c r="G21" s="84">
        <v>3.5</v>
      </c>
      <c r="H21" s="84">
        <v>2</v>
      </c>
      <c r="I21" s="102">
        <f>SUM(G21:H21)</f>
        <v>5.5</v>
      </c>
      <c r="J21" s="90"/>
      <c r="K21" s="81"/>
      <c r="M21" s="274"/>
      <c r="N21" s="281"/>
      <c r="O21" s="281"/>
      <c r="P21" s="283" t="s">
        <v>46</v>
      </c>
      <c r="Q21" s="287">
        <f>+Q19/Q20</f>
        <v>36.116504854368934</v>
      </c>
      <c r="R21" s="282"/>
      <c r="S21" s="285">
        <v>40</v>
      </c>
      <c r="T21" s="276"/>
    </row>
    <row r="22" spans="2:20">
      <c r="B22" s="80"/>
      <c r="C22" s="90"/>
      <c r="D22" s="90" t="s">
        <v>289</v>
      </c>
      <c r="E22" s="90"/>
      <c r="F22" s="90"/>
      <c r="G22" s="84">
        <v>3.5</v>
      </c>
      <c r="H22" s="84">
        <v>0</v>
      </c>
      <c r="I22" s="102">
        <f>SUM(G22:H22)</f>
        <v>3.5</v>
      </c>
      <c r="J22" s="90"/>
      <c r="K22" s="81"/>
      <c r="M22" s="274"/>
      <c r="N22" s="281"/>
      <c r="O22" s="281"/>
      <c r="P22" s="283" t="s">
        <v>47</v>
      </c>
      <c r="Q22" s="130">
        <v>1659</v>
      </c>
      <c r="R22" s="93"/>
      <c r="S22" s="281"/>
      <c r="T22" s="276"/>
    </row>
    <row r="23" spans="2:20">
      <c r="B23" s="80"/>
      <c r="C23" s="90"/>
      <c r="D23" s="100" t="s">
        <v>295</v>
      </c>
      <c r="E23" s="93"/>
      <c r="F23" s="93"/>
      <c r="G23" s="95"/>
      <c r="H23" s="95"/>
      <c r="I23" s="105">
        <f>SUM(I18:I22)</f>
        <v>23.5</v>
      </c>
      <c r="J23" s="90"/>
      <c r="K23" s="81"/>
      <c r="M23" s="274"/>
      <c r="N23" s="281"/>
      <c r="O23" s="281"/>
      <c r="P23" s="104" t="s">
        <v>48</v>
      </c>
      <c r="Q23" s="287">
        <f>+Q22/Q21</f>
        <v>45.934677419354834</v>
      </c>
      <c r="R23" s="282"/>
      <c r="S23" s="130">
        <f>+Q22/S21</f>
        <v>41.475000000000001</v>
      </c>
      <c r="T23" s="276"/>
    </row>
    <row r="24" spans="2:20">
      <c r="B24" s="80"/>
      <c r="C24" s="90"/>
      <c r="D24" s="100" t="s">
        <v>367</v>
      </c>
      <c r="E24" s="93"/>
      <c r="F24" s="93"/>
      <c r="G24" s="95"/>
      <c r="H24" s="95"/>
      <c r="I24" s="106">
        <f>ROUND(+I23*G13,0)</f>
        <v>940</v>
      </c>
      <c r="J24" s="90"/>
      <c r="K24" s="81"/>
      <c r="M24" s="274"/>
      <c r="N24" s="281"/>
      <c r="O24" s="281"/>
      <c r="P24" s="281"/>
      <c r="Q24" s="281"/>
      <c r="R24" s="281"/>
      <c r="S24" s="281"/>
      <c r="T24" s="275"/>
    </row>
    <row r="25" spans="2:20">
      <c r="B25" s="80"/>
      <c r="C25" s="90"/>
      <c r="D25" s="90"/>
      <c r="E25" s="97"/>
      <c r="F25" s="97"/>
      <c r="G25" s="92"/>
      <c r="H25" s="92"/>
      <c r="I25" s="92"/>
      <c r="J25" s="90"/>
      <c r="K25" s="81"/>
      <c r="M25" s="277"/>
      <c r="N25" s="278"/>
      <c r="O25" s="278"/>
      <c r="P25" s="278"/>
      <c r="Q25" s="278"/>
      <c r="R25" s="278"/>
      <c r="S25" s="278"/>
      <c r="T25" s="279"/>
    </row>
    <row r="26" spans="2:20">
      <c r="B26" s="80"/>
      <c r="E26" s="85"/>
      <c r="F26" s="85"/>
      <c r="K26" s="81"/>
    </row>
    <row r="27" spans="2:20">
      <c r="B27" s="80"/>
      <c r="C27" s="90"/>
      <c r="D27" s="90"/>
      <c r="E27" s="97"/>
      <c r="F27" s="97"/>
      <c r="G27" s="92"/>
      <c r="H27" s="92"/>
      <c r="I27" s="92"/>
      <c r="J27" s="90"/>
      <c r="K27" s="81"/>
    </row>
    <row r="28" spans="2:20">
      <c r="B28" s="80"/>
      <c r="C28" s="90"/>
      <c r="D28" s="93" t="s">
        <v>547</v>
      </c>
      <c r="E28" s="90"/>
      <c r="F28" s="90"/>
      <c r="G28" s="83">
        <v>39.6</v>
      </c>
      <c r="H28" s="92"/>
      <c r="I28" s="92"/>
      <c r="J28" s="90"/>
      <c r="K28" s="81"/>
    </row>
    <row r="29" spans="2:20">
      <c r="B29" s="80"/>
      <c r="C29" s="90"/>
      <c r="D29" s="100" t="s">
        <v>395</v>
      </c>
      <c r="E29" s="90"/>
      <c r="F29" s="90"/>
      <c r="G29" s="107" t="s">
        <v>397</v>
      </c>
      <c r="H29" s="90"/>
      <c r="I29" s="90"/>
      <c r="J29" s="90"/>
      <c r="K29" s="81"/>
    </row>
    <row r="30" spans="2:20">
      <c r="B30" s="80"/>
      <c r="C30" s="90"/>
      <c r="D30" s="90"/>
      <c r="E30" s="90"/>
      <c r="F30" s="90"/>
      <c r="G30" s="95"/>
      <c r="H30" s="95"/>
      <c r="I30" s="90"/>
      <c r="J30" s="90"/>
      <c r="K30" s="81"/>
    </row>
    <row r="31" spans="2:20">
      <c r="B31" s="80"/>
      <c r="C31" s="90"/>
      <c r="D31" s="90"/>
      <c r="E31" s="90"/>
      <c r="F31" s="90"/>
      <c r="G31" s="103" t="s">
        <v>290</v>
      </c>
      <c r="H31" s="103" t="s">
        <v>291</v>
      </c>
      <c r="I31" s="103" t="s">
        <v>489</v>
      </c>
      <c r="J31" s="90"/>
      <c r="K31" s="81"/>
    </row>
    <row r="32" spans="2:20">
      <c r="B32" s="80"/>
      <c r="C32" s="90"/>
      <c r="D32" s="90"/>
      <c r="E32" s="90"/>
      <c r="F32" s="90"/>
      <c r="G32" s="92"/>
      <c r="H32" s="92"/>
      <c r="I32" s="92"/>
      <c r="J32" s="90"/>
      <c r="K32" s="81"/>
    </row>
    <row r="33" spans="2:11">
      <c r="B33" s="80"/>
      <c r="C33" s="90"/>
      <c r="D33" s="90" t="s">
        <v>285</v>
      </c>
      <c r="E33" s="90"/>
      <c r="F33" s="90"/>
      <c r="G33" s="84">
        <v>3.25</v>
      </c>
      <c r="H33" s="84">
        <v>2</v>
      </c>
      <c r="I33" s="102">
        <f>SUM(G33:H33)</f>
        <v>5.25</v>
      </c>
      <c r="J33" s="90"/>
      <c r="K33" s="81"/>
    </row>
    <row r="34" spans="2:11">
      <c r="B34" s="80"/>
      <c r="C34" s="90"/>
      <c r="D34" s="90" t="s">
        <v>286</v>
      </c>
      <c r="E34" s="90"/>
      <c r="F34" s="90"/>
      <c r="G34" s="84">
        <v>3.25</v>
      </c>
      <c r="H34" s="84">
        <v>2</v>
      </c>
      <c r="I34" s="102">
        <f>SUM(G34:H34)</f>
        <v>5.25</v>
      </c>
      <c r="J34" s="90"/>
      <c r="K34" s="81"/>
    </row>
    <row r="35" spans="2:11">
      <c r="B35" s="80"/>
      <c r="C35" s="90"/>
      <c r="D35" s="90" t="s">
        <v>287</v>
      </c>
      <c r="E35" s="90"/>
      <c r="F35" s="90"/>
      <c r="G35" s="84">
        <v>3.5</v>
      </c>
      <c r="H35" s="84">
        <v>0</v>
      </c>
      <c r="I35" s="102">
        <f>SUM(G35:H35)</f>
        <v>3.5</v>
      </c>
      <c r="J35" s="90"/>
      <c r="K35" s="81"/>
    </row>
    <row r="36" spans="2:11">
      <c r="B36" s="80"/>
      <c r="C36" s="90"/>
      <c r="D36" s="90" t="s">
        <v>288</v>
      </c>
      <c r="E36" s="90"/>
      <c r="F36" s="90"/>
      <c r="G36" s="84">
        <v>3.25</v>
      </c>
      <c r="H36" s="84">
        <v>2</v>
      </c>
      <c r="I36" s="102">
        <f>SUM(G36:H36)</f>
        <v>5.25</v>
      </c>
      <c r="J36" s="90"/>
      <c r="K36" s="81"/>
    </row>
    <row r="37" spans="2:11">
      <c r="B37" s="80"/>
      <c r="C37" s="90"/>
      <c r="D37" s="90" t="s">
        <v>289</v>
      </c>
      <c r="E37" s="90"/>
      <c r="F37" s="90"/>
      <c r="G37" s="84">
        <v>3.25</v>
      </c>
      <c r="H37" s="84">
        <v>2</v>
      </c>
      <c r="I37" s="102">
        <f>SUM(G37:H37)</f>
        <v>5.25</v>
      </c>
      <c r="J37" s="90"/>
      <c r="K37" s="81"/>
    </row>
    <row r="38" spans="2:11">
      <c r="B38" s="80"/>
      <c r="C38" s="90"/>
      <c r="D38" s="100" t="s">
        <v>295</v>
      </c>
      <c r="E38" s="93"/>
      <c r="F38" s="93"/>
      <c r="G38" s="95"/>
      <c r="H38" s="95"/>
      <c r="I38" s="105">
        <f>SUM(I33:I37)</f>
        <v>24.5</v>
      </c>
      <c r="J38" s="90"/>
      <c r="K38" s="81"/>
    </row>
    <row r="39" spans="2:11">
      <c r="B39" s="80"/>
      <c r="C39" s="90"/>
      <c r="D39" s="100" t="s">
        <v>367</v>
      </c>
      <c r="E39" s="93"/>
      <c r="F39" s="93"/>
      <c r="G39" s="95"/>
      <c r="H39" s="95"/>
      <c r="I39" s="106">
        <f>ROUND(+I38*G28,0)</f>
        <v>970</v>
      </c>
      <c r="J39" s="90"/>
      <c r="K39" s="81"/>
    </row>
    <row r="40" spans="2:11">
      <c r="B40" s="80"/>
      <c r="C40" s="90"/>
      <c r="D40" s="90"/>
      <c r="E40" s="97"/>
      <c r="F40" s="97"/>
      <c r="G40" s="92"/>
      <c r="H40" s="92"/>
      <c r="I40" s="92"/>
      <c r="J40" s="90"/>
      <c r="K40" s="81"/>
    </row>
    <row r="41" spans="2:11">
      <c r="B41" s="80"/>
      <c r="E41" s="85"/>
      <c r="F41" s="85"/>
      <c r="K41" s="81"/>
    </row>
    <row r="42" spans="2:11">
      <c r="B42" s="80"/>
      <c r="C42" s="90"/>
      <c r="D42" s="90"/>
      <c r="E42" s="97"/>
      <c r="F42" s="97"/>
      <c r="G42" s="92"/>
      <c r="H42" s="92"/>
      <c r="I42" s="92"/>
      <c r="J42" s="90"/>
      <c r="K42" s="81"/>
    </row>
    <row r="43" spans="2:11">
      <c r="B43" s="80"/>
      <c r="C43" s="90"/>
      <c r="D43" s="93" t="s">
        <v>547</v>
      </c>
      <c r="E43" s="90"/>
      <c r="F43" s="90"/>
      <c r="G43" s="83">
        <v>39.200000000000003</v>
      </c>
      <c r="H43" s="92"/>
      <c r="I43" s="92"/>
      <c r="J43" s="90"/>
      <c r="K43" s="81"/>
    </row>
    <row r="44" spans="2:11">
      <c r="B44" s="80"/>
      <c r="C44" s="90"/>
      <c r="D44" s="100" t="s">
        <v>395</v>
      </c>
      <c r="E44" s="90"/>
      <c r="F44" s="90"/>
      <c r="G44" s="107" t="s">
        <v>398</v>
      </c>
      <c r="H44" s="90"/>
      <c r="I44" s="90"/>
      <c r="J44" s="90"/>
      <c r="K44" s="81"/>
    </row>
    <row r="45" spans="2:11">
      <c r="B45" s="80"/>
      <c r="C45" s="90"/>
      <c r="D45" s="90"/>
      <c r="E45" s="90"/>
      <c r="F45" s="90"/>
      <c r="G45" s="95"/>
      <c r="H45" s="95"/>
      <c r="I45" s="90"/>
      <c r="J45" s="90"/>
      <c r="K45" s="81"/>
    </row>
    <row r="46" spans="2:11">
      <c r="B46" s="80"/>
      <c r="C46" s="90"/>
      <c r="D46" s="90"/>
      <c r="E46" s="90"/>
      <c r="F46" s="90"/>
      <c r="G46" s="103" t="s">
        <v>290</v>
      </c>
      <c r="H46" s="103" t="s">
        <v>291</v>
      </c>
      <c r="I46" s="103" t="s">
        <v>489</v>
      </c>
      <c r="J46" s="90"/>
      <c r="K46" s="81"/>
    </row>
    <row r="47" spans="2:11">
      <c r="B47" s="80"/>
      <c r="C47" s="90"/>
      <c r="D47" s="90"/>
      <c r="E47" s="90"/>
      <c r="F47" s="90"/>
      <c r="G47" s="92"/>
      <c r="H47" s="92"/>
      <c r="I47" s="92"/>
      <c r="J47" s="90"/>
      <c r="K47" s="81"/>
    </row>
    <row r="48" spans="2:11">
      <c r="B48" s="80"/>
      <c r="C48" s="90"/>
      <c r="D48" s="90" t="s">
        <v>285</v>
      </c>
      <c r="E48" s="90"/>
      <c r="F48" s="90"/>
      <c r="G48" s="84">
        <v>3.5</v>
      </c>
      <c r="H48" s="84">
        <v>2</v>
      </c>
      <c r="I48" s="102">
        <f>SUM(G48:H48)</f>
        <v>5.5</v>
      </c>
      <c r="J48" s="90"/>
      <c r="K48" s="81"/>
    </row>
    <row r="49" spans="2:11">
      <c r="B49" s="80"/>
      <c r="C49" s="90"/>
      <c r="D49" s="90" t="s">
        <v>286</v>
      </c>
      <c r="E49" s="90"/>
      <c r="F49" s="90"/>
      <c r="G49" s="84">
        <v>3.5</v>
      </c>
      <c r="H49" s="84">
        <v>2</v>
      </c>
      <c r="I49" s="102">
        <f>SUM(G49:H49)</f>
        <v>5.5</v>
      </c>
      <c r="J49" s="90"/>
      <c r="K49" s="81"/>
    </row>
    <row r="50" spans="2:11">
      <c r="B50" s="80"/>
      <c r="C50" s="90"/>
      <c r="D50" s="90" t="s">
        <v>287</v>
      </c>
      <c r="E50" s="90"/>
      <c r="F50" s="90"/>
      <c r="G50" s="84">
        <v>3.75</v>
      </c>
      <c r="H50" s="84">
        <v>0</v>
      </c>
      <c r="I50" s="102">
        <f>SUM(G50:H50)</f>
        <v>3.75</v>
      </c>
      <c r="J50" s="90"/>
      <c r="K50" s="81"/>
    </row>
    <row r="51" spans="2:11">
      <c r="B51" s="80"/>
      <c r="C51" s="90"/>
      <c r="D51" s="90" t="s">
        <v>288</v>
      </c>
      <c r="E51" s="90"/>
      <c r="F51" s="90"/>
      <c r="G51" s="84">
        <v>3.5</v>
      </c>
      <c r="H51" s="84">
        <v>2</v>
      </c>
      <c r="I51" s="102">
        <f>SUM(G51:H51)</f>
        <v>5.5</v>
      </c>
      <c r="J51" s="90"/>
      <c r="K51" s="81"/>
    </row>
    <row r="52" spans="2:11">
      <c r="B52" s="80"/>
      <c r="C52" s="90"/>
      <c r="D52" s="90" t="s">
        <v>289</v>
      </c>
      <c r="E52" s="90"/>
      <c r="F52" s="90"/>
      <c r="G52" s="84">
        <v>3.5</v>
      </c>
      <c r="H52" s="84">
        <v>2</v>
      </c>
      <c r="I52" s="102">
        <f>SUM(G52:H52)</f>
        <v>5.5</v>
      </c>
      <c r="J52" s="90"/>
      <c r="K52" s="81"/>
    </row>
    <row r="53" spans="2:11">
      <c r="B53" s="80"/>
      <c r="C53" s="90"/>
      <c r="D53" s="100" t="s">
        <v>295</v>
      </c>
      <c r="E53" s="93"/>
      <c r="F53" s="93"/>
      <c r="G53" s="95"/>
      <c r="H53" s="95"/>
      <c r="I53" s="105">
        <f>SUM(I48:I52)</f>
        <v>25.75</v>
      </c>
      <c r="J53" s="90"/>
      <c r="K53" s="81"/>
    </row>
    <row r="54" spans="2:11">
      <c r="B54" s="80"/>
      <c r="C54" s="90"/>
      <c r="D54" s="100" t="s">
        <v>367</v>
      </c>
      <c r="E54" s="93"/>
      <c r="F54" s="93"/>
      <c r="G54" s="95"/>
      <c r="H54" s="95"/>
      <c r="I54" s="106">
        <f>ROUND(+I53*G43,0)</f>
        <v>1009</v>
      </c>
      <c r="J54" s="90"/>
      <c r="K54" s="81"/>
    </row>
    <row r="55" spans="2:11">
      <c r="B55" s="80"/>
      <c r="C55" s="90"/>
      <c r="D55" s="90"/>
      <c r="E55" s="97"/>
      <c r="F55" s="97"/>
      <c r="G55" s="92"/>
      <c r="H55" s="92"/>
      <c r="I55" s="92"/>
      <c r="J55" s="90"/>
      <c r="K55" s="81"/>
    </row>
    <row r="56" spans="2:11" hidden="1">
      <c r="B56" s="80"/>
      <c r="C56" s="90"/>
      <c r="D56" s="93" t="s">
        <v>363</v>
      </c>
      <c r="E56" s="90"/>
      <c r="F56" s="90"/>
      <c r="G56" s="92">
        <f>+G43</f>
        <v>39.200000000000003</v>
      </c>
      <c r="H56" s="92"/>
      <c r="I56" s="92"/>
      <c r="J56" s="90"/>
      <c r="K56" s="81"/>
    </row>
    <row r="57" spans="2:11" hidden="1">
      <c r="B57" s="80"/>
      <c r="C57" s="90"/>
      <c r="D57" s="93" t="s">
        <v>383</v>
      </c>
      <c r="E57" s="90"/>
      <c r="F57" s="90"/>
      <c r="G57" s="92"/>
      <c r="H57" s="92"/>
      <c r="I57" s="92" t="s">
        <v>366</v>
      </c>
      <c r="J57" s="90"/>
      <c r="K57" s="81"/>
    </row>
    <row r="58" spans="2:11" hidden="1">
      <c r="B58" s="80"/>
      <c r="C58" s="90"/>
      <c r="D58" s="90" t="s">
        <v>364</v>
      </c>
      <c r="E58" s="90"/>
      <c r="F58" s="90"/>
      <c r="G58" s="92" t="s">
        <v>365</v>
      </c>
      <c r="H58" s="92" t="s">
        <v>366</v>
      </c>
      <c r="I58" s="92" t="s">
        <v>321</v>
      </c>
      <c r="J58" s="90"/>
      <c r="K58" s="81"/>
    </row>
    <row r="59" spans="2:11" hidden="1">
      <c r="B59" s="80"/>
      <c r="C59" s="90"/>
      <c r="D59" s="90"/>
      <c r="E59" s="90" t="s">
        <v>285</v>
      </c>
      <c r="F59" s="90"/>
      <c r="G59" s="99">
        <v>3.5</v>
      </c>
      <c r="H59" s="99">
        <v>2</v>
      </c>
      <c r="I59" s="96">
        <f>SUM(G59:H59)</f>
        <v>5.5</v>
      </c>
      <c r="J59" s="90"/>
      <c r="K59" s="81"/>
    </row>
    <row r="60" spans="2:11" hidden="1">
      <c r="B60" s="80"/>
      <c r="C60" s="90"/>
      <c r="D60" s="90"/>
      <c r="E60" s="90" t="s">
        <v>286</v>
      </c>
      <c r="F60" s="90"/>
      <c r="G60" s="99">
        <v>3.5</v>
      </c>
      <c r="H60" s="99">
        <v>2</v>
      </c>
      <c r="I60" s="96">
        <f>SUM(G60:H60)</f>
        <v>5.5</v>
      </c>
      <c r="J60" s="90"/>
      <c r="K60" s="81"/>
    </row>
    <row r="61" spans="2:11" hidden="1">
      <c r="B61" s="80"/>
      <c r="C61" s="90"/>
      <c r="D61" s="90"/>
      <c r="E61" s="90" t="s">
        <v>287</v>
      </c>
      <c r="F61" s="90"/>
      <c r="G61" s="99">
        <v>3.75</v>
      </c>
      <c r="H61" s="99">
        <v>0</v>
      </c>
      <c r="I61" s="96">
        <f>SUM(G61:H61)</f>
        <v>3.75</v>
      </c>
      <c r="J61" s="90"/>
      <c r="K61" s="81"/>
    </row>
    <row r="62" spans="2:11" hidden="1">
      <c r="B62" s="80"/>
      <c r="C62" s="90"/>
      <c r="D62" s="90"/>
      <c r="E62" s="90" t="s">
        <v>288</v>
      </c>
      <c r="F62" s="90"/>
      <c r="G62" s="99">
        <v>3.5</v>
      </c>
      <c r="H62" s="99">
        <v>2</v>
      </c>
      <c r="I62" s="96">
        <f>SUM(G62:H62)</f>
        <v>5.5</v>
      </c>
      <c r="J62" s="90"/>
      <c r="K62" s="81"/>
    </row>
    <row r="63" spans="2:11" hidden="1">
      <c r="B63" s="80"/>
      <c r="C63" s="90"/>
      <c r="D63" s="90"/>
      <c r="E63" s="90" t="s">
        <v>289</v>
      </c>
      <c r="F63" s="90"/>
      <c r="G63" s="99">
        <v>3.5</v>
      </c>
      <c r="H63" s="99">
        <v>0</v>
      </c>
      <c r="I63" s="96">
        <f>SUM(G63:H63)</f>
        <v>3.5</v>
      </c>
      <c r="J63" s="90"/>
      <c r="K63" s="81"/>
    </row>
    <row r="64" spans="2:11" hidden="1">
      <c r="B64" s="80"/>
      <c r="C64" s="90"/>
      <c r="D64" s="90"/>
      <c r="E64" s="97" t="s">
        <v>295</v>
      </c>
      <c r="F64" s="97"/>
      <c r="G64" s="92"/>
      <c r="H64" s="92"/>
      <c r="I64" s="96">
        <f>SUM(I59:I63)</f>
        <v>23.75</v>
      </c>
      <c r="J64" s="90"/>
      <c r="K64" s="81"/>
    </row>
    <row r="65" spans="2:11" hidden="1">
      <c r="B65" s="80"/>
      <c r="C65" s="90"/>
      <c r="D65" s="90"/>
      <c r="E65" s="97" t="s">
        <v>367</v>
      </c>
      <c r="F65" s="97"/>
      <c r="G65" s="92"/>
      <c r="H65" s="92"/>
      <c r="I65" s="98">
        <f>ROUND(+I64*G56,0)</f>
        <v>931</v>
      </c>
      <c r="J65" s="90"/>
      <c r="K65" s="81"/>
    </row>
    <row r="66" spans="2:11" hidden="1">
      <c r="B66" s="80"/>
      <c r="C66" s="90"/>
      <c r="D66" s="90"/>
      <c r="E66" s="97"/>
      <c r="F66" s="97"/>
      <c r="G66" s="92"/>
      <c r="H66" s="92"/>
      <c r="I66" s="92"/>
      <c r="J66" s="90"/>
      <c r="K66" s="81"/>
    </row>
    <row r="67" spans="2:11" hidden="1">
      <c r="B67" s="80"/>
      <c r="C67" s="90"/>
      <c r="D67" s="93" t="s">
        <v>363</v>
      </c>
      <c r="E67" s="90"/>
      <c r="F67" s="90"/>
      <c r="G67" s="92">
        <f>+G56</f>
        <v>39.200000000000003</v>
      </c>
      <c r="H67" s="92"/>
      <c r="I67" s="92"/>
      <c r="J67" s="90"/>
      <c r="K67" s="81"/>
    </row>
    <row r="68" spans="2:11" hidden="1">
      <c r="B68" s="80"/>
      <c r="C68" s="90"/>
      <c r="D68" s="93" t="s">
        <v>384</v>
      </c>
      <c r="E68" s="90"/>
      <c r="F68" s="90"/>
      <c r="G68" s="92"/>
      <c r="H68" s="92"/>
      <c r="I68" s="92" t="s">
        <v>366</v>
      </c>
      <c r="J68" s="90"/>
      <c r="K68" s="81"/>
    </row>
    <row r="69" spans="2:11" hidden="1">
      <c r="B69" s="80"/>
      <c r="C69" s="90"/>
      <c r="D69" s="90" t="s">
        <v>364</v>
      </c>
      <c r="E69" s="90"/>
      <c r="F69" s="90"/>
      <c r="G69" s="92" t="s">
        <v>365</v>
      </c>
      <c r="H69" s="92" t="s">
        <v>366</v>
      </c>
      <c r="I69" s="92" t="s">
        <v>321</v>
      </c>
      <c r="J69" s="90"/>
      <c r="K69" s="81"/>
    </row>
    <row r="70" spans="2:11" hidden="1">
      <c r="B70" s="80"/>
      <c r="C70" s="90"/>
      <c r="D70" s="90"/>
      <c r="E70" s="90" t="s">
        <v>285</v>
      </c>
      <c r="F70" s="90"/>
      <c r="G70" s="99">
        <v>3.5</v>
      </c>
      <c r="H70" s="99">
        <v>2</v>
      </c>
      <c r="I70" s="96">
        <f>SUM(G70:H70)</f>
        <v>5.5</v>
      </c>
      <c r="J70" s="90"/>
      <c r="K70" s="81"/>
    </row>
    <row r="71" spans="2:11" hidden="1">
      <c r="B71" s="80"/>
      <c r="C71" s="90"/>
      <c r="D71" s="90"/>
      <c r="E71" s="90" t="s">
        <v>286</v>
      </c>
      <c r="F71" s="90"/>
      <c r="G71" s="99">
        <v>3.5</v>
      </c>
      <c r="H71" s="99">
        <v>2</v>
      </c>
      <c r="I71" s="96">
        <f>SUM(G71:H71)</f>
        <v>5.5</v>
      </c>
      <c r="J71" s="90"/>
      <c r="K71" s="81"/>
    </row>
    <row r="72" spans="2:11" hidden="1">
      <c r="B72" s="80"/>
      <c r="C72" s="90"/>
      <c r="D72" s="90"/>
      <c r="E72" s="90" t="s">
        <v>287</v>
      </c>
      <c r="F72" s="90"/>
      <c r="G72" s="99">
        <v>3.75</v>
      </c>
      <c r="H72" s="99">
        <v>0</v>
      </c>
      <c r="I72" s="96">
        <f>SUM(G72:H72)</f>
        <v>3.75</v>
      </c>
      <c r="J72" s="90"/>
      <c r="K72" s="81"/>
    </row>
    <row r="73" spans="2:11" hidden="1">
      <c r="B73" s="80"/>
      <c r="C73" s="90"/>
      <c r="D73" s="90"/>
      <c r="E73" s="90" t="s">
        <v>288</v>
      </c>
      <c r="F73" s="90"/>
      <c r="G73" s="99">
        <v>3.5</v>
      </c>
      <c r="H73" s="99">
        <v>2</v>
      </c>
      <c r="I73" s="96">
        <f>SUM(G73:H73)</f>
        <v>5.5</v>
      </c>
      <c r="J73" s="90"/>
      <c r="K73" s="81"/>
    </row>
    <row r="74" spans="2:11" hidden="1">
      <c r="B74" s="80"/>
      <c r="C74" s="90"/>
      <c r="D74" s="90"/>
      <c r="E74" s="90" t="s">
        <v>289</v>
      </c>
      <c r="F74" s="90"/>
      <c r="G74" s="99">
        <v>3.5</v>
      </c>
      <c r="H74" s="99">
        <v>0</v>
      </c>
      <c r="I74" s="96">
        <f>SUM(G74:H74)</f>
        <v>3.5</v>
      </c>
      <c r="J74" s="90"/>
      <c r="K74" s="81"/>
    </row>
    <row r="75" spans="2:11" hidden="1">
      <c r="B75" s="80"/>
      <c r="C75" s="90"/>
      <c r="D75" s="90"/>
      <c r="E75" s="97" t="s">
        <v>295</v>
      </c>
      <c r="F75" s="97"/>
      <c r="G75" s="92"/>
      <c r="H75" s="92"/>
      <c r="I75" s="96">
        <f>SUM(I70:I74)</f>
        <v>23.75</v>
      </c>
      <c r="J75" s="90"/>
      <c r="K75" s="81"/>
    </row>
    <row r="76" spans="2:11" hidden="1">
      <c r="B76" s="80"/>
      <c r="C76" s="90"/>
      <c r="D76" s="90"/>
      <c r="E76" s="97" t="s">
        <v>367</v>
      </c>
      <c r="F76" s="97"/>
      <c r="G76" s="92"/>
      <c r="H76" s="92"/>
      <c r="I76" s="98">
        <f>ROUND(+I75*G67,0)</f>
        <v>931</v>
      </c>
      <c r="J76" s="90"/>
      <c r="K76" s="81"/>
    </row>
    <row r="77" spans="2:11" hidden="1">
      <c r="B77" s="80"/>
      <c r="C77" s="90"/>
      <c r="D77" s="90"/>
      <c r="E77" s="97"/>
      <c r="F77" s="97"/>
      <c r="G77" s="92"/>
      <c r="H77" s="92"/>
      <c r="I77" s="92"/>
      <c r="J77" s="90"/>
      <c r="K77" s="81"/>
    </row>
    <row r="78" spans="2:11" hidden="1">
      <c r="B78" s="80"/>
      <c r="C78" s="90"/>
      <c r="D78" s="93" t="s">
        <v>363</v>
      </c>
      <c r="E78" s="90"/>
      <c r="F78" s="90"/>
      <c r="G78" s="92">
        <f>+G67</f>
        <v>39.200000000000003</v>
      </c>
      <c r="H78" s="92"/>
      <c r="I78" s="92"/>
      <c r="J78" s="90"/>
      <c r="K78" s="81"/>
    </row>
    <row r="79" spans="2:11" hidden="1">
      <c r="B79" s="80"/>
      <c r="C79" s="90"/>
      <c r="D79" s="93" t="s">
        <v>385</v>
      </c>
      <c r="E79" s="90"/>
      <c r="F79" s="90"/>
      <c r="G79" s="92"/>
      <c r="H79" s="92"/>
      <c r="I79" s="92" t="s">
        <v>366</v>
      </c>
      <c r="J79" s="90"/>
      <c r="K79" s="81"/>
    </row>
    <row r="80" spans="2:11" hidden="1">
      <c r="B80" s="80"/>
      <c r="C80" s="90"/>
      <c r="D80" s="90" t="s">
        <v>364</v>
      </c>
      <c r="E80" s="90"/>
      <c r="F80" s="90"/>
      <c r="G80" s="92" t="s">
        <v>365</v>
      </c>
      <c r="H80" s="92" t="s">
        <v>366</v>
      </c>
      <c r="I80" s="92" t="s">
        <v>321</v>
      </c>
      <c r="J80" s="90"/>
      <c r="K80" s="81"/>
    </row>
    <row r="81" spans="2:11" hidden="1">
      <c r="B81" s="80"/>
      <c r="C81" s="90"/>
      <c r="D81" s="90"/>
      <c r="E81" s="90" t="s">
        <v>285</v>
      </c>
      <c r="F81" s="90"/>
      <c r="G81" s="99">
        <v>3.5</v>
      </c>
      <c r="H81" s="99">
        <v>2</v>
      </c>
      <c r="I81" s="96">
        <f>SUM(G81:H81)</f>
        <v>5.5</v>
      </c>
      <c r="J81" s="90"/>
      <c r="K81" s="81"/>
    </row>
    <row r="82" spans="2:11" hidden="1">
      <c r="B82" s="80"/>
      <c r="C82" s="90"/>
      <c r="D82" s="90"/>
      <c r="E82" s="90" t="s">
        <v>286</v>
      </c>
      <c r="F82" s="90"/>
      <c r="G82" s="99">
        <v>3.5</v>
      </c>
      <c r="H82" s="99">
        <v>2</v>
      </c>
      <c r="I82" s="96">
        <f>SUM(G82:H82)</f>
        <v>5.5</v>
      </c>
      <c r="J82" s="90"/>
      <c r="K82" s="81"/>
    </row>
    <row r="83" spans="2:11" hidden="1">
      <c r="B83" s="80"/>
      <c r="C83" s="90"/>
      <c r="D83" s="90"/>
      <c r="E83" s="90" t="s">
        <v>287</v>
      </c>
      <c r="F83" s="90"/>
      <c r="G83" s="99">
        <v>3.75</v>
      </c>
      <c r="H83" s="99">
        <v>0</v>
      </c>
      <c r="I83" s="96">
        <f>SUM(G83:H83)</f>
        <v>3.75</v>
      </c>
      <c r="J83" s="90"/>
      <c r="K83" s="81"/>
    </row>
    <row r="84" spans="2:11" hidden="1">
      <c r="B84" s="80"/>
      <c r="C84" s="90"/>
      <c r="D84" s="90"/>
      <c r="E84" s="90" t="s">
        <v>288</v>
      </c>
      <c r="F84" s="90"/>
      <c r="G84" s="99">
        <v>3.5</v>
      </c>
      <c r="H84" s="99">
        <v>2</v>
      </c>
      <c r="I84" s="96">
        <f>SUM(G84:H84)</f>
        <v>5.5</v>
      </c>
      <c r="J84" s="90"/>
      <c r="K84" s="81"/>
    </row>
    <row r="85" spans="2:11" hidden="1">
      <c r="B85" s="80"/>
      <c r="C85" s="90"/>
      <c r="D85" s="90"/>
      <c r="E85" s="90" t="s">
        <v>289</v>
      </c>
      <c r="F85" s="90"/>
      <c r="G85" s="99">
        <v>3.5</v>
      </c>
      <c r="H85" s="99">
        <v>0</v>
      </c>
      <c r="I85" s="96">
        <f>SUM(G85:H85)</f>
        <v>3.5</v>
      </c>
      <c r="J85" s="90"/>
      <c r="K85" s="81"/>
    </row>
    <row r="86" spans="2:11" hidden="1">
      <c r="B86" s="80"/>
      <c r="C86" s="90"/>
      <c r="D86" s="90"/>
      <c r="E86" s="97" t="s">
        <v>295</v>
      </c>
      <c r="F86" s="97"/>
      <c r="G86" s="92"/>
      <c r="H86" s="92"/>
      <c r="I86" s="96">
        <f>SUM(I81:I85)</f>
        <v>23.75</v>
      </c>
      <c r="J86" s="90"/>
      <c r="K86" s="81"/>
    </row>
    <row r="87" spans="2:11" hidden="1">
      <c r="B87" s="80"/>
      <c r="C87" s="90"/>
      <c r="D87" s="90"/>
      <c r="E87" s="97" t="s">
        <v>367</v>
      </c>
      <c r="F87" s="97"/>
      <c r="G87" s="92"/>
      <c r="H87" s="92"/>
      <c r="I87" s="98">
        <f>ROUND(+I86*G78,0)</f>
        <v>931</v>
      </c>
      <c r="J87" s="90"/>
      <c r="K87" s="81"/>
    </row>
    <row r="88" spans="2:11" hidden="1">
      <c r="B88" s="80"/>
      <c r="C88" s="90"/>
      <c r="D88" s="90"/>
      <c r="E88" s="97"/>
      <c r="F88" s="97"/>
      <c r="G88" s="92"/>
      <c r="H88" s="92"/>
      <c r="I88" s="92"/>
      <c r="J88" s="90"/>
      <c r="K88" s="81"/>
    </row>
    <row r="89" spans="2:11" hidden="1">
      <c r="B89" s="80"/>
      <c r="C89" s="90"/>
      <c r="D89" s="93" t="s">
        <v>363</v>
      </c>
      <c r="E89" s="90"/>
      <c r="F89" s="90"/>
      <c r="G89" s="92">
        <f>+G78</f>
        <v>39.200000000000003</v>
      </c>
      <c r="H89" s="92"/>
      <c r="I89" s="92"/>
      <c r="J89" s="90"/>
      <c r="K89" s="81"/>
    </row>
    <row r="90" spans="2:11" hidden="1">
      <c r="B90" s="80"/>
      <c r="C90" s="90"/>
      <c r="D90" s="93" t="s">
        <v>386</v>
      </c>
      <c r="E90" s="90"/>
      <c r="F90" s="90"/>
      <c r="G90" s="92"/>
      <c r="H90" s="92"/>
      <c r="I90" s="92" t="s">
        <v>366</v>
      </c>
      <c r="J90" s="90"/>
      <c r="K90" s="81"/>
    </row>
    <row r="91" spans="2:11" hidden="1">
      <c r="B91" s="80"/>
      <c r="C91" s="90"/>
      <c r="D91" s="90" t="s">
        <v>364</v>
      </c>
      <c r="E91" s="90"/>
      <c r="F91" s="90"/>
      <c r="G91" s="92" t="s">
        <v>365</v>
      </c>
      <c r="H91" s="92" t="s">
        <v>366</v>
      </c>
      <c r="I91" s="92" t="s">
        <v>321</v>
      </c>
      <c r="J91" s="90"/>
      <c r="K91" s="81"/>
    </row>
    <row r="92" spans="2:11" hidden="1">
      <c r="B92" s="80"/>
      <c r="C92" s="90"/>
      <c r="D92" s="90"/>
      <c r="E92" s="90" t="s">
        <v>285</v>
      </c>
      <c r="F92" s="90"/>
      <c r="G92" s="99">
        <v>3.5</v>
      </c>
      <c r="H92" s="99">
        <v>2</v>
      </c>
      <c r="I92" s="96">
        <f>SUM(G92:H92)</f>
        <v>5.5</v>
      </c>
      <c r="J92" s="90"/>
      <c r="K92" s="81"/>
    </row>
    <row r="93" spans="2:11" hidden="1">
      <c r="B93" s="80"/>
      <c r="C93" s="90"/>
      <c r="D93" s="90"/>
      <c r="E93" s="90" t="s">
        <v>286</v>
      </c>
      <c r="F93" s="90"/>
      <c r="G93" s="99">
        <v>3.5</v>
      </c>
      <c r="H93" s="99">
        <v>2</v>
      </c>
      <c r="I93" s="96">
        <f>SUM(G93:H93)</f>
        <v>5.5</v>
      </c>
      <c r="J93" s="90"/>
      <c r="K93" s="81"/>
    </row>
    <row r="94" spans="2:11" hidden="1">
      <c r="B94" s="80"/>
      <c r="C94" s="90"/>
      <c r="D94" s="90"/>
      <c r="E94" s="90" t="s">
        <v>287</v>
      </c>
      <c r="F94" s="90"/>
      <c r="G94" s="99">
        <v>3.75</v>
      </c>
      <c r="H94" s="99">
        <v>0</v>
      </c>
      <c r="I94" s="96">
        <f>SUM(G94:H94)</f>
        <v>3.75</v>
      </c>
      <c r="J94" s="90"/>
      <c r="K94" s="81"/>
    </row>
    <row r="95" spans="2:11" hidden="1">
      <c r="B95" s="80"/>
      <c r="C95" s="90"/>
      <c r="D95" s="90"/>
      <c r="E95" s="90" t="s">
        <v>288</v>
      </c>
      <c r="F95" s="90"/>
      <c r="G95" s="99">
        <v>3.5</v>
      </c>
      <c r="H95" s="99">
        <v>2</v>
      </c>
      <c r="I95" s="96">
        <f>SUM(G95:H95)</f>
        <v>5.5</v>
      </c>
      <c r="J95" s="90"/>
      <c r="K95" s="81"/>
    </row>
    <row r="96" spans="2:11" hidden="1">
      <c r="B96" s="80"/>
      <c r="C96" s="90"/>
      <c r="D96" s="90"/>
      <c r="E96" s="90" t="s">
        <v>289</v>
      </c>
      <c r="F96" s="90"/>
      <c r="G96" s="99">
        <v>3.5</v>
      </c>
      <c r="H96" s="99">
        <v>0</v>
      </c>
      <c r="I96" s="96">
        <f>SUM(G96:H96)</f>
        <v>3.5</v>
      </c>
      <c r="J96" s="90"/>
      <c r="K96" s="81"/>
    </row>
    <row r="97" spans="2:11" hidden="1">
      <c r="B97" s="80"/>
      <c r="C97" s="90"/>
      <c r="D97" s="90"/>
      <c r="E97" s="97" t="s">
        <v>295</v>
      </c>
      <c r="F97" s="97"/>
      <c r="G97" s="92"/>
      <c r="H97" s="92"/>
      <c r="I97" s="96">
        <f>SUM(I92:I96)</f>
        <v>23.75</v>
      </c>
      <c r="J97" s="90"/>
      <c r="K97" s="81"/>
    </row>
    <row r="98" spans="2:11" hidden="1">
      <c r="B98" s="80"/>
      <c r="C98" s="90"/>
      <c r="D98" s="90"/>
      <c r="E98" s="97" t="s">
        <v>367</v>
      </c>
      <c r="F98" s="97"/>
      <c r="G98" s="92"/>
      <c r="H98" s="92"/>
      <c r="I98" s="98">
        <f>ROUND(+I97*G89,0)</f>
        <v>931</v>
      </c>
      <c r="J98" s="90"/>
      <c r="K98" s="81"/>
    </row>
    <row r="99" spans="2:11" hidden="1">
      <c r="B99" s="80"/>
      <c r="C99" s="90"/>
      <c r="D99" s="90"/>
      <c r="E99" s="97"/>
      <c r="F99" s="97"/>
      <c r="G99" s="92"/>
      <c r="H99" s="92"/>
      <c r="I99" s="92"/>
      <c r="J99" s="90"/>
      <c r="K99" s="81"/>
    </row>
    <row r="100" spans="2:11" hidden="1">
      <c r="B100" s="80"/>
      <c r="C100" s="90"/>
      <c r="D100" s="93" t="s">
        <v>363</v>
      </c>
      <c r="E100" s="90"/>
      <c r="F100" s="90"/>
      <c r="G100" s="92">
        <f>+G89</f>
        <v>39.200000000000003</v>
      </c>
      <c r="H100" s="92"/>
      <c r="I100" s="92"/>
      <c r="J100" s="90"/>
      <c r="K100" s="81"/>
    </row>
    <row r="101" spans="2:11" hidden="1">
      <c r="B101" s="80"/>
      <c r="C101" s="90"/>
      <c r="D101" s="93" t="s">
        <v>387</v>
      </c>
      <c r="E101" s="90"/>
      <c r="F101" s="90"/>
      <c r="G101" s="92"/>
      <c r="H101" s="92"/>
      <c r="I101" s="92" t="s">
        <v>366</v>
      </c>
      <c r="J101" s="90"/>
      <c r="K101" s="81"/>
    </row>
    <row r="102" spans="2:11" hidden="1">
      <c r="B102" s="80"/>
      <c r="C102" s="90"/>
      <c r="D102" s="90" t="s">
        <v>364</v>
      </c>
      <c r="E102" s="90"/>
      <c r="F102" s="90"/>
      <c r="G102" s="92" t="s">
        <v>365</v>
      </c>
      <c r="H102" s="92" t="s">
        <v>366</v>
      </c>
      <c r="I102" s="92" t="s">
        <v>321</v>
      </c>
      <c r="J102" s="90"/>
      <c r="K102" s="81"/>
    </row>
    <row r="103" spans="2:11" hidden="1">
      <c r="B103" s="80"/>
      <c r="C103" s="90"/>
      <c r="D103" s="90"/>
      <c r="E103" s="90" t="s">
        <v>285</v>
      </c>
      <c r="F103" s="90"/>
      <c r="G103" s="99">
        <v>3.5</v>
      </c>
      <c r="H103" s="99">
        <v>2</v>
      </c>
      <c r="I103" s="96">
        <f>SUM(G103:H103)</f>
        <v>5.5</v>
      </c>
      <c r="J103" s="90"/>
      <c r="K103" s="81"/>
    </row>
    <row r="104" spans="2:11" hidden="1">
      <c r="B104" s="80"/>
      <c r="C104" s="90"/>
      <c r="D104" s="90"/>
      <c r="E104" s="90" t="s">
        <v>286</v>
      </c>
      <c r="F104" s="90"/>
      <c r="G104" s="99">
        <v>3.5</v>
      </c>
      <c r="H104" s="99">
        <v>2</v>
      </c>
      <c r="I104" s="96">
        <f>SUM(G104:H104)</f>
        <v>5.5</v>
      </c>
      <c r="J104" s="90"/>
      <c r="K104" s="81"/>
    </row>
    <row r="105" spans="2:11" hidden="1">
      <c r="B105" s="80"/>
      <c r="C105" s="90"/>
      <c r="D105" s="90"/>
      <c r="E105" s="90" t="s">
        <v>287</v>
      </c>
      <c r="F105" s="90"/>
      <c r="G105" s="99">
        <v>3.75</v>
      </c>
      <c r="H105" s="99">
        <v>0</v>
      </c>
      <c r="I105" s="96">
        <f>SUM(G105:H105)</f>
        <v>3.75</v>
      </c>
      <c r="J105" s="90"/>
      <c r="K105" s="81"/>
    </row>
    <row r="106" spans="2:11" hidden="1">
      <c r="B106" s="80"/>
      <c r="C106" s="90"/>
      <c r="D106" s="90"/>
      <c r="E106" s="90" t="s">
        <v>288</v>
      </c>
      <c r="F106" s="90"/>
      <c r="G106" s="99">
        <v>3.5</v>
      </c>
      <c r="H106" s="99">
        <v>2</v>
      </c>
      <c r="I106" s="96">
        <f>SUM(G106:H106)</f>
        <v>5.5</v>
      </c>
      <c r="J106" s="90"/>
      <c r="K106" s="81"/>
    </row>
    <row r="107" spans="2:11" hidden="1">
      <c r="B107" s="80"/>
      <c r="C107" s="90"/>
      <c r="D107" s="90"/>
      <c r="E107" s="90" t="s">
        <v>289</v>
      </c>
      <c r="F107" s="90"/>
      <c r="G107" s="99">
        <v>3.5</v>
      </c>
      <c r="H107" s="99">
        <v>0</v>
      </c>
      <c r="I107" s="96">
        <f>SUM(G107:H107)</f>
        <v>3.5</v>
      </c>
      <c r="J107" s="90"/>
      <c r="K107" s="81"/>
    </row>
    <row r="108" spans="2:11" hidden="1">
      <c r="B108" s="80"/>
      <c r="C108" s="90"/>
      <c r="D108" s="90"/>
      <c r="E108" s="97" t="s">
        <v>295</v>
      </c>
      <c r="F108" s="97"/>
      <c r="G108" s="92"/>
      <c r="H108" s="92"/>
      <c r="I108" s="96">
        <f>SUM(I103:I107)</f>
        <v>23.75</v>
      </c>
      <c r="J108" s="90"/>
      <c r="K108" s="81"/>
    </row>
    <row r="109" spans="2:11" hidden="1">
      <c r="B109" s="80"/>
      <c r="C109" s="90"/>
      <c r="D109" s="90"/>
      <c r="E109" s="97" t="s">
        <v>367</v>
      </c>
      <c r="F109" s="97"/>
      <c r="G109" s="92"/>
      <c r="H109" s="92"/>
      <c r="I109" s="98">
        <f>ROUND(+I108*G100,0)</f>
        <v>931</v>
      </c>
      <c r="J109" s="90"/>
      <c r="K109" s="81"/>
    </row>
    <row r="110" spans="2:11" hidden="1">
      <c r="B110" s="80"/>
      <c r="C110" s="90"/>
      <c r="D110" s="90"/>
      <c r="E110" s="90"/>
      <c r="F110" s="90"/>
      <c r="G110" s="92"/>
      <c r="H110" s="92"/>
      <c r="I110" s="92"/>
      <c r="J110" s="90"/>
      <c r="K110" s="81"/>
    </row>
    <row r="111" spans="2:11" hidden="1">
      <c r="B111" s="80"/>
      <c r="C111" s="90"/>
      <c r="D111" s="93" t="s">
        <v>363</v>
      </c>
      <c r="E111" s="90"/>
      <c r="F111" s="90"/>
      <c r="G111" s="92">
        <f>+G100</f>
        <v>39.200000000000003</v>
      </c>
      <c r="H111" s="92"/>
      <c r="I111" s="92"/>
      <c r="J111" s="90"/>
      <c r="K111" s="81"/>
    </row>
    <row r="112" spans="2:11" hidden="1">
      <c r="B112" s="80"/>
      <c r="C112" s="90"/>
      <c r="D112" s="93" t="s">
        <v>388</v>
      </c>
      <c r="E112" s="90"/>
      <c r="F112" s="90"/>
      <c r="G112" s="92"/>
      <c r="H112" s="92"/>
      <c r="I112" s="92" t="s">
        <v>366</v>
      </c>
      <c r="J112" s="90"/>
      <c r="K112" s="81"/>
    </row>
    <row r="113" spans="2:11" hidden="1">
      <c r="B113" s="80"/>
      <c r="C113" s="90"/>
      <c r="D113" s="90" t="s">
        <v>364</v>
      </c>
      <c r="E113" s="90"/>
      <c r="F113" s="90"/>
      <c r="G113" s="92" t="s">
        <v>365</v>
      </c>
      <c r="H113" s="92" t="s">
        <v>366</v>
      </c>
      <c r="I113" s="92" t="s">
        <v>321</v>
      </c>
      <c r="J113" s="90"/>
      <c r="K113" s="81"/>
    </row>
    <row r="114" spans="2:11" hidden="1">
      <c r="B114" s="80"/>
      <c r="C114" s="90"/>
      <c r="D114" s="90"/>
      <c r="E114" s="90" t="s">
        <v>285</v>
      </c>
      <c r="F114" s="90"/>
      <c r="G114" s="99">
        <v>3.5</v>
      </c>
      <c r="H114" s="99">
        <v>2</v>
      </c>
      <c r="I114" s="96">
        <f>SUM(G114:H114)</f>
        <v>5.5</v>
      </c>
      <c r="J114" s="90"/>
      <c r="K114" s="81"/>
    </row>
    <row r="115" spans="2:11" hidden="1">
      <c r="B115" s="80"/>
      <c r="C115" s="90"/>
      <c r="D115" s="90"/>
      <c r="E115" s="90" t="s">
        <v>286</v>
      </c>
      <c r="F115" s="90"/>
      <c r="G115" s="99">
        <v>3.5</v>
      </c>
      <c r="H115" s="99">
        <v>2</v>
      </c>
      <c r="I115" s="96">
        <f>SUM(G115:H115)</f>
        <v>5.5</v>
      </c>
      <c r="J115" s="90"/>
      <c r="K115" s="81"/>
    </row>
    <row r="116" spans="2:11" hidden="1">
      <c r="B116" s="80"/>
      <c r="C116" s="90"/>
      <c r="D116" s="90"/>
      <c r="E116" s="90" t="s">
        <v>287</v>
      </c>
      <c r="F116" s="90"/>
      <c r="G116" s="99">
        <v>3.75</v>
      </c>
      <c r="H116" s="99">
        <v>0</v>
      </c>
      <c r="I116" s="96">
        <f>SUM(G116:H116)</f>
        <v>3.75</v>
      </c>
      <c r="J116" s="90"/>
      <c r="K116" s="81"/>
    </row>
    <row r="117" spans="2:11" hidden="1">
      <c r="B117" s="80"/>
      <c r="C117" s="90"/>
      <c r="D117" s="90"/>
      <c r="E117" s="90" t="s">
        <v>288</v>
      </c>
      <c r="F117" s="90"/>
      <c r="G117" s="99">
        <v>3.5</v>
      </c>
      <c r="H117" s="99">
        <v>2</v>
      </c>
      <c r="I117" s="96">
        <f>SUM(G117:H117)</f>
        <v>5.5</v>
      </c>
      <c r="J117" s="90"/>
      <c r="K117" s="81"/>
    </row>
    <row r="118" spans="2:11" hidden="1">
      <c r="B118" s="80"/>
      <c r="C118" s="90"/>
      <c r="D118" s="90"/>
      <c r="E118" s="90" t="s">
        <v>289</v>
      </c>
      <c r="F118" s="90"/>
      <c r="G118" s="99">
        <v>3.5</v>
      </c>
      <c r="H118" s="99">
        <v>0</v>
      </c>
      <c r="I118" s="96">
        <f>SUM(G118:H118)</f>
        <v>3.5</v>
      </c>
      <c r="J118" s="90"/>
      <c r="K118" s="81"/>
    </row>
    <row r="119" spans="2:11" hidden="1">
      <c r="B119" s="80"/>
      <c r="C119" s="90"/>
      <c r="D119" s="90"/>
      <c r="E119" s="97" t="s">
        <v>295</v>
      </c>
      <c r="F119" s="97"/>
      <c r="G119" s="92"/>
      <c r="H119" s="92"/>
      <c r="I119" s="96">
        <f>SUM(I114:I118)</f>
        <v>23.75</v>
      </c>
      <c r="J119" s="90"/>
      <c r="K119" s="81"/>
    </row>
    <row r="120" spans="2:11" hidden="1">
      <c r="B120" s="80"/>
      <c r="C120" s="90"/>
      <c r="D120" s="90"/>
      <c r="E120" s="97" t="s">
        <v>367</v>
      </c>
      <c r="F120" s="97"/>
      <c r="G120" s="92"/>
      <c r="H120" s="92"/>
      <c r="I120" s="98">
        <f>ROUND(+I119*G111,0)</f>
        <v>931</v>
      </c>
      <c r="J120" s="90"/>
      <c r="K120" s="81"/>
    </row>
    <row r="121" spans="2:11" hidden="1">
      <c r="B121" s="80"/>
      <c r="C121" s="90"/>
      <c r="D121" s="90"/>
      <c r="E121" s="90"/>
      <c r="F121" s="90"/>
      <c r="G121" s="92"/>
      <c r="H121" s="92"/>
      <c r="I121" s="92"/>
      <c r="J121" s="90"/>
      <c r="K121" s="81"/>
    </row>
    <row r="122" spans="2:11" hidden="1">
      <c r="B122" s="80"/>
      <c r="C122" s="90"/>
      <c r="D122" s="93" t="s">
        <v>363</v>
      </c>
      <c r="E122" s="90"/>
      <c r="F122" s="90"/>
      <c r="G122" s="92">
        <f>+G111</f>
        <v>39.200000000000003</v>
      </c>
      <c r="H122" s="92"/>
      <c r="I122" s="92"/>
      <c r="J122" s="90"/>
      <c r="K122" s="81"/>
    </row>
    <row r="123" spans="2:11" hidden="1">
      <c r="B123" s="80"/>
      <c r="C123" s="90"/>
      <c r="D123" s="93" t="s">
        <v>389</v>
      </c>
      <c r="E123" s="90"/>
      <c r="F123" s="90"/>
      <c r="G123" s="92"/>
      <c r="H123" s="92"/>
      <c r="I123" s="92" t="s">
        <v>366</v>
      </c>
      <c r="J123" s="90"/>
      <c r="K123" s="81"/>
    </row>
    <row r="124" spans="2:11" hidden="1">
      <c r="B124" s="80"/>
      <c r="C124" s="90"/>
      <c r="D124" s="90" t="s">
        <v>364</v>
      </c>
      <c r="E124" s="90"/>
      <c r="F124" s="90"/>
      <c r="G124" s="92" t="s">
        <v>365</v>
      </c>
      <c r="H124" s="92" t="s">
        <v>366</v>
      </c>
      <c r="I124" s="92" t="s">
        <v>321</v>
      </c>
      <c r="J124" s="90"/>
      <c r="K124" s="81"/>
    </row>
    <row r="125" spans="2:11" hidden="1">
      <c r="B125" s="80"/>
      <c r="C125" s="90"/>
      <c r="D125" s="90"/>
      <c r="E125" s="90" t="s">
        <v>285</v>
      </c>
      <c r="F125" s="90"/>
      <c r="G125" s="99">
        <v>3.5</v>
      </c>
      <c r="H125" s="99">
        <v>2</v>
      </c>
      <c r="I125" s="96">
        <f>SUM(G125:H125)</f>
        <v>5.5</v>
      </c>
      <c r="J125" s="90"/>
      <c r="K125" s="81"/>
    </row>
    <row r="126" spans="2:11" hidden="1">
      <c r="B126" s="80"/>
      <c r="C126" s="90"/>
      <c r="D126" s="90"/>
      <c r="E126" s="90" t="s">
        <v>286</v>
      </c>
      <c r="F126" s="90"/>
      <c r="G126" s="99">
        <v>3.5</v>
      </c>
      <c r="H126" s="99">
        <v>2</v>
      </c>
      <c r="I126" s="96">
        <f>SUM(G126:H126)</f>
        <v>5.5</v>
      </c>
      <c r="J126" s="90"/>
      <c r="K126" s="81"/>
    </row>
    <row r="127" spans="2:11" hidden="1">
      <c r="B127" s="80"/>
      <c r="C127" s="90"/>
      <c r="D127" s="90"/>
      <c r="E127" s="90" t="s">
        <v>287</v>
      </c>
      <c r="F127" s="90"/>
      <c r="G127" s="99">
        <v>3.75</v>
      </c>
      <c r="H127" s="99">
        <v>0</v>
      </c>
      <c r="I127" s="96">
        <f>SUM(G127:H127)</f>
        <v>3.75</v>
      </c>
      <c r="J127" s="90"/>
      <c r="K127" s="81"/>
    </row>
    <row r="128" spans="2:11" hidden="1">
      <c r="B128" s="80"/>
      <c r="C128" s="90"/>
      <c r="D128" s="90"/>
      <c r="E128" s="90" t="s">
        <v>288</v>
      </c>
      <c r="F128" s="90"/>
      <c r="G128" s="99">
        <v>3.5</v>
      </c>
      <c r="H128" s="99">
        <v>2</v>
      </c>
      <c r="I128" s="96">
        <f>SUM(G128:H128)</f>
        <v>5.5</v>
      </c>
      <c r="J128" s="90"/>
      <c r="K128" s="81"/>
    </row>
    <row r="129" spans="2:11" hidden="1">
      <c r="B129" s="80"/>
      <c r="C129" s="90"/>
      <c r="D129" s="90"/>
      <c r="E129" s="90" t="s">
        <v>289</v>
      </c>
      <c r="F129" s="90"/>
      <c r="G129" s="99">
        <v>3.5</v>
      </c>
      <c r="H129" s="99">
        <v>0</v>
      </c>
      <c r="I129" s="96">
        <f>SUM(G129:H129)</f>
        <v>3.5</v>
      </c>
      <c r="J129" s="90"/>
      <c r="K129" s="81"/>
    </row>
    <row r="130" spans="2:11" hidden="1">
      <c r="B130" s="80"/>
      <c r="C130" s="90"/>
      <c r="D130" s="90"/>
      <c r="E130" s="97" t="s">
        <v>295</v>
      </c>
      <c r="F130" s="97"/>
      <c r="G130" s="92"/>
      <c r="H130" s="92"/>
      <c r="I130" s="96">
        <f>SUM(I125:I129)</f>
        <v>23.75</v>
      </c>
      <c r="J130" s="90"/>
      <c r="K130" s="81"/>
    </row>
    <row r="131" spans="2:11" hidden="1">
      <c r="B131" s="80"/>
      <c r="C131" s="90"/>
      <c r="D131" s="90"/>
      <c r="E131" s="97" t="s">
        <v>367</v>
      </c>
      <c r="F131" s="97"/>
      <c r="G131" s="92"/>
      <c r="H131" s="92"/>
      <c r="I131" s="98">
        <f>ROUND(+I130*G122,0)</f>
        <v>931</v>
      </c>
      <c r="J131" s="90"/>
      <c r="K131" s="81"/>
    </row>
    <row r="132" spans="2:11" hidden="1">
      <c r="B132" s="80"/>
      <c r="C132" s="90"/>
      <c r="D132" s="90"/>
      <c r="E132" s="90"/>
      <c r="F132" s="90"/>
      <c r="G132" s="92"/>
      <c r="H132" s="92"/>
      <c r="I132" s="92"/>
      <c r="J132" s="90"/>
      <c r="K132" s="81"/>
    </row>
    <row r="133" spans="2:11" hidden="1">
      <c r="B133" s="80"/>
      <c r="C133" s="90"/>
      <c r="D133" s="93" t="s">
        <v>363</v>
      </c>
      <c r="E133" s="90"/>
      <c r="F133" s="90"/>
      <c r="G133" s="92">
        <f>+G122</f>
        <v>39.200000000000003</v>
      </c>
      <c r="H133" s="92"/>
      <c r="I133" s="92"/>
      <c r="J133" s="90"/>
      <c r="K133" s="81"/>
    </row>
    <row r="134" spans="2:11" hidden="1">
      <c r="B134" s="80"/>
      <c r="C134" s="90"/>
      <c r="D134" s="93" t="s">
        <v>390</v>
      </c>
      <c r="E134" s="90"/>
      <c r="F134" s="90"/>
      <c r="G134" s="92"/>
      <c r="H134" s="92"/>
      <c r="I134" s="92" t="s">
        <v>366</v>
      </c>
      <c r="J134" s="90"/>
      <c r="K134" s="81"/>
    </row>
    <row r="135" spans="2:11" hidden="1">
      <c r="B135" s="80"/>
      <c r="C135" s="90"/>
      <c r="D135" s="90" t="s">
        <v>364</v>
      </c>
      <c r="E135" s="90"/>
      <c r="F135" s="90"/>
      <c r="G135" s="92" t="s">
        <v>365</v>
      </c>
      <c r="H135" s="92" t="s">
        <v>366</v>
      </c>
      <c r="I135" s="92" t="s">
        <v>321</v>
      </c>
      <c r="J135" s="90"/>
      <c r="K135" s="81"/>
    </row>
    <row r="136" spans="2:11" hidden="1">
      <c r="B136" s="80"/>
      <c r="C136" s="90"/>
      <c r="D136" s="90"/>
      <c r="E136" s="90" t="s">
        <v>285</v>
      </c>
      <c r="F136" s="90"/>
      <c r="G136" s="99">
        <v>3.5</v>
      </c>
      <c r="H136" s="99">
        <v>2</v>
      </c>
      <c r="I136" s="96">
        <f>SUM(G136:H136)</f>
        <v>5.5</v>
      </c>
      <c r="J136" s="90"/>
      <c r="K136" s="81"/>
    </row>
    <row r="137" spans="2:11" hidden="1">
      <c r="B137" s="80"/>
      <c r="C137" s="90"/>
      <c r="D137" s="90"/>
      <c r="E137" s="90" t="s">
        <v>286</v>
      </c>
      <c r="F137" s="90"/>
      <c r="G137" s="99">
        <v>3.5</v>
      </c>
      <c r="H137" s="99">
        <v>2</v>
      </c>
      <c r="I137" s="96">
        <f>SUM(G137:H137)</f>
        <v>5.5</v>
      </c>
      <c r="J137" s="90"/>
      <c r="K137" s="81"/>
    </row>
    <row r="138" spans="2:11" hidden="1">
      <c r="B138" s="80"/>
      <c r="C138" s="90"/>
      <c r="D138" s="90"/>
      <c r="E138" s="90" t="s">
        <v>287</v>
      </c>
      <c r="F138" s="90"/>
      <c r="G138" s="99">
        <v>3.75</v>
      </c>
      <c r="H138" s="99">
        <v>0</v>
      </c>
      <c r="I138" s="96">
        <f>SUM(G138:H138)</f>
        <v>3.75</v>
      </c>
      <c r="J138" s="90"/>
      <c r="K138" s="81"/>
    </row>
    <row r="139" spans="2:11" hidden="1">
      <c r="B139" s="80"/>
      <c r="C139" s="90"/>
      <c r="D139" s="90"/>
      <c r="E139" s="90" t="s">
        <v>288</v>
      </c>
      <c r="F139" s="90"/>
      <c r="G139" s="99">
        <v>3.5</v>
      </c>
      <c r="H139" s="99">
        <v>2</v>
      </c>
      <c r="I139" s="96">
        <f>SUM(G139:H139)</f>
        <v>5.5</v>
      </c>
      <c r="J139" s="90"/>
      <c r="K139" s="81"/>
    </row>
    <row r="140" spans="2:11" hidden="1">
      <c r="B140" s="80"/>
      <c r="C140" s="90"/>
      <c r="D140" s="90"/>
      <c r="E140" s="90" t="s">
        <v>289</v>
      </c>
      <c r="F140" s="90"/>
      <c r="G140" s="99">
        <v>3.5</v>
      </c>
      <c r="H140" s="99">
        <v>0</v>
      </c>
      <c r="I140" s="96">
        <f>SUM(G140:H140)</f>
        <v>3.5</v>
      </c>
      <c r="J140" s="90"/>
      <c r="K140" s="81"/>
    </row>
    <row r="141" spans="2:11" hidden="1">
      <c r="B141" s="80"/>
      <c r="C141" s="90"/>
      <c r="D141" s="90"/>
      <c r="E141" s="97" t="s">
        <v>295</v>
      </c>
      <c r="F141" s="97"/>
      <c r="G141" s="92"/>
      <c r="H141" s="92"/>
      <c r="I141" s="96">
        <f>SUM(I136:I140)</f>
        <v>23.75</v>
      </c>
      <c r="J141" s="90"/>
      <c r="K141" s="81"/>
    </row>
    <row r="142" spans="2:11" hidden="1">
      <c r="B142" s="80"/>
      <c r="C142" s="90"/>
      <c r="D142" s="90"/>
      <c r="E142" s="97" t="s">
        <v>367</v>
      </c>
      <c r="F142" s="97"/>
      <c r="G142" s="92"/>
      <c r="H142" s="92"/>
      <c r="I142" s="98">
        <f>ROUND(+I141*G133,0)</f>
        <v>931</v>
      </c>
      <c r="J142" s="90"/>
      <c r="K142" s="81"/>
    </row>
    <row r="143" spans="2:11" hidden="1">
      <c r="B143" s="80"/>
      <c r="C143" s="90"/>
      <c r="D143" s="90"/>
      <c r="E143" s="90"/>
      <c r="F143" s="90"/>
      <c r="G143" s="92"/>
      <c r="H143" s="92"/>
      <c r="I143" s="92"/>
      <c r="J143" s="90"/>
      <c r="K143" s="81"/>
    </row>
    <row r="144" spans="2:11">
      <c r="B144" s="80"/>
      <c r="K144" s="81"/>
    </row>
    <row r="145" spans="2:11">
      <c r="B145" s="80"/>
      <c r="C145" s="90"/>
      <c r="D145" s="90"/>
      <c r="E145" s="90"/>
      <c r="F145" s="90"/>
      <c r="G145" s="92"/>
      <c r="H145" s="92"/>
      <c r="I145" s="92"/>
      <c r="J145" s="90"/>
      <c r="K145" s="81"/>
    </row>
    <row r="146" spans="2:11">
      <c r="B146" s="80"/>
      <c r="C146" s="90"/>
      <c r="D146" s="93" t="s">
        <v>71</v>
      </c>
      <c r="E146" s="90"/>
      <c r="F146" s="90"/>
      <c r="G146" s="92"/>
      <c r="H146" s="92"/>
      <c r="I146" s="92"/>
      <c r="J146" s="90"/>
      <c r="K146" s="81"/>
    </row>
    <row r="147" spans="2:11">
      <c r="B147" s="80"/>
      <c r="C147" s="90"/>
      <c r="D147" s="90"/>
      <c r="E147" s="90"/>
      <c r="F147" s="90"/>
      <c r="G147" s="92"/>
      <c r="H147" s="92"/>
      <c r="I147" s="92"/>
      <c r="J147" s="90"/>
      <c r="K147" s="81"/>
    </row>
    <row r="148" spans="2:11">
      <c r="B148" s="80"/>
      <c r="C148" s="90"/>
      <c r="D148" s="93" t="s">
        <v>547</v>
      </c>
      <c r="E148" s="90"/>
      <c r="F148" s="90"/>
      <c r="G148" s="83">
        <v>40</v>
      </c>
      <c r="H148" s="92"/>
      <c r="I148" s="92"/>
      <c r="J148" s="90"/>
      <c r="K148" s="81"/>
    </row>
    <row r="149" spans="2:11">
      <c r="B149" s="80"/>
      <c r="C149" s="90"/>
      <c r="D149" s="100" t="s">
        <v>395</v>
      </c>
      <c r="E149" s="90"/>
      <c r="F149" s="90"/>
      <c r="G149" s="131">
        <v>5</v>
      </c>
      <c r="H149" s="90"/>
      <c r="I149" s="90"/>
      <c r="J149" s="90"/>
      <c r="K149" s="81"/>
    </row>
    <row r="150" spans="2:11">
      <c r="B150" s="80"/>
      <c r="C150" s="90"/>
      <c r="D150" s="90"/>
      <c r="E150" s="90"/>
      <c r="F150" s="90"/>
      <c r="G150" s="92"/>
      <c r="H150" s="92"/>
      <c r="I150" s="92"/>
      <c r="J150" s="90"/>
      <c r="K150" s="81"/>
    </row>
    <row r="151" spans="2:11">
      <c r="B151" s="80"/>
      <c r="C151" s="90"/>
      <c r="D151" s="90"/>
      <c r="E151" s="90"/>
      <c r="F151" s="90"/>
      <c r="G151" s="103" t="s">
        <v>290</v>
      </c>
      <c r="H151" s="103" t="s">
        <v>291</v>
      </c>
      <c r="I151" s="103" t="s">
        <v>489</v>
      </c>
      <c r="J151" s="90"/>
      <c r="K151" s="81"/>
    </row>
    <row r="152" spans="2:11">
      <c r="B152" s="80"/>
      <c r="C152" s="90"/>
      <c r="D152" s="90"/>
      <c r="E152" s="90"/>
      <c r="F152" s="90"/>
      <c r="G152" s="92"/>
      <c r="H152" s="92"/>
      <c r="I152" s="92"/>
      <c r="J152" s="90"/>
      <c r="K152" s="81"/>
    </row>
    <row r="153" spans="2:11">
      <c r="B153" s="80"/>
      <c r="C153" s="90"/>
      <c r="D153" s="90" t="s">
        <v>285</v>
      </c>
      <c r="E153" s="90"/>
      <c r="F153" s="90"/>
      <c r="G153" s="84">
        <v>3</v>
      </c>
      <c r="H153" s="84">
        <v>1.5</v>
      </c>
      <c r="I153" s="102">
        <f>SUM(G153:H153)</f>
        <v>4.5</v>
      </c>
      <c r="J153" s="90"/>
      <c r="K153" s="81"/>
    </row>
    <row r="154" spans="2:11">
      <c r="B154" s="80"/>
      <c r="C154" s="90"/>
      <c r="D154" s="90" t="s">
        <v>286</v>
      </c>
      <c r="E154" s="90"/>
      <c r="F154" s="90"/>
      <c r="G154" s="84">
        <v>3</v>
      </c>
      <c r="H154" s="84">
        <v>2</v>
      </c>
      <c r="I154" s="102">
        <f>SUM(G154:H154)</f>
        <v>5</v>
      </c>
      <c r="J154" s="90"/>
      <c r="K154" s="81"/>
    </row>
    <row r="155" spans="2:11">
      <c r="B155" s="80"/>
      <c r="C155" s="90"/>
      <c r="D155" s="90" t="s">
        <v>287</v>
      </c>
      <c r="E155" s="90"/>
      <c r="F155" s="90"/>
      <c r="G155" s="84">
        <v>3</v>
      </c>
      <c r="H155" s="84">
        <v>2</v>
      </c>
      <c r="I155" s="102">
        <f>SUM(G155:H155)</f>
        <v>5</v>
      </c>
      <c r="J155" s="90"/>
      <c r="K155" s="81"/>
    </row>
    <row r="156" spans="2:11">
      <c r="B156" s="80"/>
      <c r="C156" s="90"/>
      <c r="D156" s="90" t="s">
        <v>288</v>
      </c>
      <c r="E156" s="90"/>
      <c r="F156" s="90"/>
      <c r="G156" s="84">
        <v>3</v>
      </c>
      <c r="H156" s="84">
        <v>2</v>
      </c>
      <c r="I156" s="102">
        <f>SUM(G156:H156)</f>
        <v>5</v>
      </c>
      <c r="J156" s="90"/>
      <c r="K156" s="81"/>
    </row>
    <row r="157" spans="2:11">
      <c r="B157" s="80"/>
      <c r="C157" s="90"/>
      <c r="D157" s="90" t="s">
        <v>289</v>
      </c>
      <c r="E157" s="90"/>
      <c r="F157" s="90"/>
      <c r="G157" s="84">
        <v>3</v>
      </c>
      <c r="H157" s="84">
        <v>1</v>
      </c>
      <c r="I157" s="102">
        <f>SUM(G157:H157)</f>
        <v>4</v>
      </c>
      <c r="J157" s="90"/>
      <c r="K157" s="81"/>
    </row>
    <row r="158" spans="2:11">
      <c r="B158" s="80"/>
      <c r="C158" s="90"/>
      <c r="D158" s="100" t="s">
        <v>295</v>
      </c>
      <c r="E158" s="93"/>
      <c r="F158" s="93"/>
      <c r="G158" s="95"/>
      <c r="H158" s="95"/>
      <c r="I158" s="105">
        <f>SUM(I153:I157)</f>
        <v>23.5</v>
      </c>
      <c r="J158" s="90"/>
      <c r="K158" s="81"/>
    </row>
    <row r="159" spans="2:11">
      <c r="B159" s="80"/>
      <c r="C159" s="90"/>
      <c r="D159" s="100" t="s">
        <v>367</v>
      </c>
      <c r="E159" s="93"/>
      <c r="F159" s="93"/>
      <c r="G159" s="95"/>
      <c r="H159" s="95"/>
      <c r="I159" s="106">
        <f>ROUND(+I158*G148,0)</f>
        <v>940</v>
      </c>
      <c r="J159" s="90"/>
      <c r="K159" s="81"/>
    </row>
    <row r="160" spans="2:11">
      <c r="B160" s="80"/>
      <c r="C160" s="90"/>
      <c r="D160" s="97"/>
      <c r="E160" s="90"/>
      <c r="F160" s="90"/>
      <c r="G160" s="92"/>
      <c r="H160" s="92"/>
      <c r="I160" s="98"/>
      <c r="J160" s="90"/>
      <c r="K160" s="81"/>
    </row>
    <row r="161" spans="2:11">
      <c r="B161" s="80"/>
      <c r="C161" s="90"/>
      <c r="D161" s="97"/>
      <c r="E161" s="90"/>
      <c r="F161" s="90"/>
      <c r="G161" s="92"/>
      <c r="H161" s="92"/>
      <c r="I161" s="98"/>
      <c r="J161" s="90"/>
      <c r="K161" s="81"/>
    </row>
    <row r="162" spans="2:11">
      <c r="B162" s="80"/>
      <c r="K162" s="81"/>
    </row>
    <row r="163" spans="2:11" ht="13.5" thickBot="1">
      <c r="B163" s="86"/>
      <c r="C163" s="87"/>
      <c r="D163" s="87"/>
      <c r="E163" s="87"/>
      <c r="F163" s="87"/>
      <c r="G163" s="88"/>
      <c r="H163" s="88"/>
      <c r="I163" s="88"/>
      <c r="J163" s="87"/>
      <c r="K163" s="89"/>
    </row>
  </sheetData>
  <sheetProtection password="DE55" sheet="1" objects="1" scenarios="1"/>
  <phoneticPr fontId="0" type="noConversion"/>
  <dataValidations count="1">
    <dataValidation type="list" allowBlank="1" showInputMessage="1" showErrorMessage="1" sqref="G149">
      <formula1>"1,2,3,4,5,6,7,8"</formula1>
    </dataValidation>
  </dataValidations>
  <printOptions gridLines="1"/>
  <pageMargins left="0.75" right="0.75" top="1" bottom="1" header="0.5" footer="0.5"/>
  <pageSetup paperSize="9" scale="70" orientation="portrait" r:id="rId1"/>
  <headerFooter alignWithMargins="0">
    <oddHeader>&amp;L&amp;"Arial,Vet"&amp;F&amp;C&amp;"Arial,Vet"&amp;A&amp;R&amp;"Arial,Vet"&amp;D</oddHeader>
    <oddFooter>&amp;L&amp;"Arial,Vet"VOS/ABB&amp;C&amp;"Arial,Vet"&amp;P&amp;R&amp;"Arial,Vet"Toolbox</oddFooter>
  </headerFooter>
  <drawing r:id="rId2"/>
  <legacyDrawing r:id="rId3"/>
</worksheet>
</file>

<file path=xl/worksheets/sheet3.xml><?xml version="1.0" encoding="utf-8"?>
<worksheet xmlns="http://schemas.openxmlformats.org/spreadsheetml/2006/main" xmlns:r="http://schemas.openxmlformats.org/officeDocument/2006/relationships">
  <dimension ref="B1:AK297"/>
  <sheetViews>
    <sheetView zoomScale="85" zoomScaleNormal="75" zoomScaleSheetLayoutView="85" workbookViewId="0">
      <selection activeCell="B2" sqref="B2"/>
    </sheetView>
  </sheetViews>
  <sheetFormatPr defaultRowHeight="12.75"/>
  <cols>
    <col min="1" max="1" width="5.7109375" style="71" customWidth="1"/>
    <col min="2" max="2" width="2.7109375" style="71" customWidth="1"/>
    <col min="3" max="3" width="2.5703125" style="71" customWidth="1"/>
    <col min="4" max="4" width="45.7109375" style="71" customWidth="1"/>
    <col min="5" max="5" width="2.7109375" style="71" customWidth="1"/>
    <col min="6" max="8" width="14.85546875" style="71" customWidth="1"/>
    <col min="9" max="9" width="3" style="71" customWidth="1"/>
    <col min="10" max="10" width="15.85546875" style="71" customWidth="1"/>
    <col min="11" max="11" width="14.85546875" style="71" customWidth="1"/>
    <col min="12" max="12" width="10" style="71" customWidth="1"/>
    <col min="13" max="14" width="2.5703125" style="71" customWidth="1"/>
    <col min="15" max="17" width="2.85546875" style="71" customWidth="1"/>
    <col min="18" max="18" width="12.7109375" style="71" customWidth="1"/>
    <col min="19" max="19" width="12.140625" style="71" hidden="1" customWidth="1"/>
    <col min="20" max="20" width="9.5703125" style="71" hidden="1" customWidth="1"/>
    <col min="21" max="21" width="14.140625" style="71" hidden="1" customWidth="1"/>
    <col min="22" max="22" width="13.5703125" style="71" hidden="1" customWidth="1"/>
    <col min="23" max="23" width="9.42578125" style="71" hidden="1" customWidth="1"/>
    <col min="24" max="25" width="9.28515625" style="71" hidden="1" customWidth="1"/>
    <col min="26" max="26" width="9.140625" style="71" hidden="1" customWidth="1"/>
    <col min="27" max="16384" width="9.140625" style="71"/>
  </cols>
  <sheetData>
    <row r="1" spans="2:17" ht="13.5" thickBot="1"/>
    <row r="2" spans="2:17">
      <c r="B2" s="76"/>
      <c r="C2" s="77"/>
      <c r="D2" s="77"/>
      <c r="E2" s="77"/>
      <c r="F2" s="77"/>
      <c r="G2" s="77"/>
      <c r="H2" s="77"/>
      <c r="I2" s="77"/>
      <c r="J2" s="77"/>
      <c r="K2" s="77"/>
      <c r="L2" s="77"/>
      <c r="M2" s="77"/>
      <c r="N2" s="79"/>
    </row>
    <row r="3" spans="2:17">
      <c r="B3" s="80"/>
      <c r="N3" s="81"/>
    </row>
    <row r="4" spans="2:17" s="68" customFormat="1" ht="18">
      <c r="B4" s="73"/>
      <c r="C4" s="69" t="s">
        <v>605</v>
      </c>
      <c r="N4" s="74"/>
    </row>
    <row r="5" spans="2:17" ht="18">
      <c r="B5" s="73"/>
      <c r="C5" s="69"/>
      <c r="D5" s="68"/>
      <c r="E5" s="68"/>
      <c r="F5" s="68"/>
      <c r="G5" s="68"/>
      <c r="H5" s="68"/>
      <c r="I5" s="68"/>
      <c r="J5" s="68"/>
      <c r="K5" s="68"/>
      <c r="L5" s="68"/>
      <c r="M5" s="68"/>
      <c r="N5" s="74"/>
      <c r="O5" s="68"/>
      <c r="P5" s="68"/>
      <c r="Q5" s="68"/>
    </row>
    <row r="6" spans="2:17">
      <c r="B6" s="80"/>
      <c r="D6" s="67"/>
      <c r="N6" s="81"/>
    </row>
    <row r="7" spans="2:17">
      <c r="B7" s="80"/>
      <c r="C7" s="90"/>
      <c r="D7" s="90"/>
      <c r="E7" s="90"/>
      <c r="F7" s="90"/>
      <c r="G7" s="90"/>
      <c r="H7" s="90"/>
      <c r="I7" s="90"/>
      <c r="J7" s="90"/>
      <c r="K7" s="90"/>
      <c r="L7" s="90"/>
      <c r="M7" s="90"/>
      <c r="N7" s="81"/>
    </row>
    <row r="8" spans="2:17">
      <c r="B8" s="80"/>
      <c r="C8" s="90"/>
      <c r="D8" s="90" t="s">
        <v>282</v>
      </c>
      <c r="E8" s="90"/>
      <c r="F8" s="100" t="str">
        <f>+tab!C79</f>
        <v>2013-2014</v>
      </c>
      <c r="G8" s="90"/>
      <c r="H8" s="90"/>
      <c r="I8" s="90"/>
      <c r="J8" s="90"/>
      <c r="K8" s="90"/>
      <c r="L8" s="90"/>
      <c r="M8" s="90"/>
      <c r="N8" s="81"/>
    </row>
    <row r="9" spans="2:17">
      <c r="B9" s="80"/>
      <c r="C9" s="90"/>
      <c r="D9" s="90"/>
      <c r="E9" s="90"/>
      <c r="F9" s="104"/>
      <c r="G9" s="90"/>
      <c r="H9" s="90"/>
      <c r="I9" s="90"/>
      <c r="J9" s="90"/>
      <c r="K9" s="90"/>
      <c r="L9" s="90"/>
      <c r="M9" s="90"/>
      <c r="N9" s="81"/>
    </row>
    <row r="10" spans="2:17">
      <c r="B10" s="80"/>
      <c r="C10" s="90"/>
      <c r="D10" s="90" t="s">
        <v>296</v>
      </c>
      <c r="E10" s="90"/>
      <c r="F10" s="123" t="s">
        <v>308</v>
      </c>
      <c r="G10" s="112"/>
      <c r="H10" s="112"/>
      <c r="I10" s="94"/>
      <c r="J10" s="90"/>
      <c r="K10" s="90"/>
      <c r="L10" s="90"/>
      <c r="M10" s="90"/>
      <c r="N10" s="81"/>
    </row>
    <row r="11" spans="2:17">
      <c r="B11" s="80"/>
      <c r="C11" s="90"/>
      <c r="D11" s="90" t="s">
        <v>297</v>
      </c>
      <c r="E11" s="90"/>
      <c r="F11" s="123" t="s">
        <v>471</v>
      </c>
      <c r="G11" s="112"/>
      <c r="H11" s="112"/>
      <c r="I11" s="94"/>
      <c r="J11" s="90"/>
      <c r="K11" s="90"/>
      <c r="L11" s="90"/>
      <c r="M11" s="90"/>
      <c r="N11" s="81"/>
    </row>
    <row r="12" spans="2:17">
      <c r="B12" s="80"/>
      <c r="C12" s="90"/>
      <c r="D12" s="90" t="s">
        <v>298</v>
      </c>
      <c r="E12" s="90"/>
      <c r="F12" s="123" t="s">
        <v>576</v>
      </c>
      <c r="G12" s="112"/>
      <c r="H12" s="112"/>
      <c r="I12" s="94"/>
      <c r="J12" s="90"/>
      <c r="K12" s="90"/>
      <c r="L12" s="90"/>
      <c r="M12" s="90"/>
      <c r="N12" s="81"/>
    </row>
    <row r="13" spans="2:17">
      <c r="B13" s="80"/>
      <c r="C13" s="90"/>
      <c r="D13" s="90" t="s">
        <v>535</v>
      </c>
      <c r="E13" s="97"/>
      <c r="F13" s="124">
        <v>21287</v>
      </c>
      <c r="G13" s="114"/>
      <c r="H13" s="112"/>
      <c r="I13" s="90"/>
      <c r="J13" s="90"/>
      <c r="K13" s="90"/>
      <c r="L13" s="90"/>
      <c r="M13" s="90"/>
      <c r="N13" s="81"/>
    </row>
    <row r="14" spans="2:17">
      <c r="B14" s="80"/>
      <c r="C14" s="90"/>
      <c r="D14" s="90" t="s">
        <v>530</v>
      </c>
      <c r="E14" s="90"/>
      <c r="F14" s="126">
        <f>+T72</f>
        <v>55</v>
      </c>
      <c r="G14" s="127"/>
      <c r="H14" s="125"/>
      <c r="I14" s="94"/>
      <c r="J14" s="90"/>
      <c r="K14" s="90"/>
      <c r="L14" s="90"/>
      <c r="M14" s="90"/>
      <c r="N14" s="81"/>
    </row>
    <row r="15" spans="2:17">
      <c r="B15" s="80"/>
      <c r="C15" s="90"/>
      <c r="D15" s="122" t="s">
        <v>323</v>
      </c>
      <c r="E15" s="122"/>
      <c r="F15" s="169">
        <v>41487</v>
      </c>
      <c r="G15" s="122"/>
      <c r="H15" s="122"/>
      <c r="I15" s="90"/>
      <c r="J15" s="93"/>
      <c r="K15" s="93"/>
      <c r="L15" s="118"/>
      <c r="M15" s="90"/>
      <c r="N15" s="81"/>
    </row>
    <row r="16" spans="2:17">
      <c r="B16" s="80"/>
      <c r="C16" s="90"/>
      <c r="D16" s="90"/>
      <c r="E16" s="90"/>
      <c r="F16" s="260"/>
      <c r="G16" s="90"/>
      <c r="H16" s="90"/>
      <c r="I16" s="90"/>
      <c r="J16" s="90"/>
      <c r="K16" s="93"/>
      <c r="L16" s="90"/>
      <c r="M16" s="119"/>
      <c r="N16" s="116"/>
      <c r="O16" s="113"/>
      <c r="P16" s="113"/>
      <c r="Q16" s="113"/>
    </row>
    <row r="17" spans="2:19">
      <c r="B17" s="80"/>
      <c r="K17" s="67"/>
      <c r="M17" s="113"/>
      <c r="N17" s="116"/>
      <c r="O17" s="113"/>
      <c r="P17" s="113"/>
      <c r="Q17" s="113"/>
    </row>
    <row r="18" spans="2:19">
      <c r="B18" s="80"/>
      <c r="C18" s="90"/>
      <c r="D18" s="90"/>
      <c r="E18" s="90"/>
      <c r="F18" s="90"/>
      <c r="G18" s="90"/>
      <c r="H18" s="90"/>
      <c r="I18" s="90"/>
      <c r="J18" s="90"/>
      <c r="K18" s="93"/>
      <c r="L18" s="90"/>
      <c r="M18" s="119"/>
      <c r="N18" s="116"/>
      <c r="O18" s="113"/>
      <c r="P18" s="113"/>
      <c r="Q18" s="113"/>
    </row>
    <row r="19" spans="2:19">
      <c r="B19" s="80"/>
      <c r="C19" s="90"/>
      <c r="D19" s="93" t="s">
        <v>529</v>
      </c>
      <c r="E19" s="90"/>
      <c r="F19" s="131" t="s">
        <v>396</v>
      </c>
      <c r="G19" s="90"/>
      <c r="H19" s="90"/>
      <c r="I19" s="90"/>
      <c r="J19" s="90"/>
      <c r="K19" s="90"/>
      <c r="L19" s="90"/>
      <c r="M19" s="120"/>
      <c r="N19" s="117"/>
      <c r="O19" s="165"/>
      <c r="P19" s="165"/>
      <c r="Q19" s="165"/>
    </row>
    <row r="20" spans="2:19">
      <c r="B20" s="80"/>
      <c r="C20" s="90"/>
      <c r="D20" s="93" t="s">
        <v>370</v>
      </c>
      <c r="E20" s="90"/>
      <c r="F20" s="107">
        <f>IF($F$19="1&amp;2",rooster!G13,IF($F$19="3&amp;4",rooster!G28,IF($F$19="5&amp;8",rooster!G43,rooster!G148)))</f>
        <v>40</v>
      </c>
      <c r="G20" s="90"/>
      <c r="H20" s="90"/>
      <c r="I20" s="90"/>
      <c r="J20" s="90"/>
      <c r="K20" s="90"/>
      <c r="L20" s="120"/>
      <c r="M20" s="119"/>
      <c r="N20" s="116"/>
      <c r="O20" s="113"/>
      <c r="P20" s="113"/>
      <c r="Q20" s="113"/>
      <c r="R20" s="113"/>
      <c r="S20" s="75" t="s">
        <v>396</v>
      </c>
    </row>
    <row r="21" spans="2:19">
      <c r="B21" s="80"/>
      <c r="C21" s="90"/>
      <c r="D21" s="93"/>
      <c r="E21" s="90"/>
      <c r="F21" s="93"/>
      <c r="G21" s="90"/>
      <c r="H21" s="90"/>
      <c r="I21" s="90"/>
      <c r="J21" s="90"/>
      <c r="K21" s="90"/>
      <c r="L21" s="120"/>
      <c r="M21" s="119"/>
      <c r="N21" s="116"/>
      <c r="O21" s="113"/>
      <c r="P21" s="113"/>
      <c r="Q21" s="113"/>
      <c r="S21" s="75" t="s">
        <v>397</v>
      </c>
    </row>
    <row r="22" spans="2:19">
      <c r="B22" s="80"/>
      <c r="C22" s="90"/>
      <c r="D22" s="90"/>
      <c r="E22" s="90"/>
      <c r="F22" s="103" t="s">
        <v>290</v>
      </c>
      <c r="G22" s="103" t="s">
        <v>291</v>
      </c>
      <c r="H22" s="103" t="s">
        <v>489</v>
      </c>
      <c r="I22" s="90"/>
      <c r="J22" s="90"/>
      <c r="K22" s="90"/>
      <c r="L22" s="120"/>
      <c r="M22" s="119"/>
      <c r="N22" s="116"/>
      <c r="O22" s="113"/>
      <c r="P22" s="113"/>
      <c r="Q22" s="113"/>
      <c r="S22" s="75" t="s">
        <v>398</v>
      </c>
    </row>
    <row r="23" spans="2:19">
      <c r="B23" s="80"/>
      <c r="C23" s="90"/>
      <c r="D23" s="93" t="s">
        <v>402</v>
      </c>
      <c r="E23" s="90"/>
      <c r="F23" s="90"/>
      <c r="G23" s="90"/>
      <c r="H23" s="90"/>
      <c r="I23" s="90"/>
      <c r="J23" s="90"/>
      <c r="K23" s="90"/>
      <c r="L23" s="120"/>
      <c r="M23" s="119"/>
      <c r="N23" s="116"/>
      <c r="O23" s="113"/>
      <c r="P23" s="113"/>
      <c r="Q23" s="113"/>
      <c r="S23" s="75">
        <v>1</v>
      </c>
    </row>
    <row r="24" spans="2:19">
      <c r="B24" s="80"/>
      <c r="C24" s="90"/>
      <c r="D24" s="90" t="s">
        <v>285</v>
      </c>
      <c r="E24" s="90"/>
      <c r="F24" s="153">
        <f>IF($F$19="1&amp;2",rooster!G18,IF($F$19="3&amp;4",rooster!G33,IF($F$19="5&amp;8",rooster!G48,rooster!G153)))</f>
        <v>3.5</v>
      </c>
      <c r="G24" s="153">
        <f>IF($F$19="1&amp;2",rooster!H18,IF($F$19="3&amp;4",rooster!H33,IF($F$19="5&amp;8",rooster!H48,rooster!H153)))</f>
        <v>2</v>
      </c>
      <c r="H24" s="153">
        <f>SUM(F24:G24)</f>
        <v>5.5</v>
      </c>
      <c r="I24" s="90"/>
      <c r="J24" s="90"/>
      <c r="K24" s="90"/>
      <c r="L24" s="90"/>
      <c r="M24" s="119"/>
      <c r="N24" s="116"/>
      <c r="O24" s="113"/>
      <c r="P24" s="113"/>
      <c r="Q24" s="113"/>
      <c r="S24" s="75">
        <v>2</v>
      </c>
    </row>
    <row r="25" spans="2:19">
      <c r="B25" s="80"/>
      <c r="C25" s="90"/>
      <c r="D25" s="90" t="s">
        <v>286</v>
      </c>
      <c r="E25" s="90"/>
      <c r="F25" s="153">
        <f>IF($F$19="1&amp;2",rooster!G19,IF($F$19="3&amp;4",rooster!G34,IF($F$19="5&amp;8",rooster!G49,rooster!G154)))</f>
        <v>3.5</v>
      </c>
      <c r="G25" s="153">
        <f>IF($F$19="1&amp;2",rooster!H19,IF($F$19="3&amp;4",rooster!H34,IF($F$19="5&amp;8",rooster!H49,rooster!H154)))</f>
        <v>2</v>
      </c>
      <c r="H25" s="153">
        <f>SUM(F25:G25)</f>
        <v>5.5</v>
      </c>
      <c r="I25" s="90"/>
      <c r="J25" s="90"/>
      <c r="K25" s="90"/>
      <c r="L25" s="90"/>
      <c r="M25" s="119"/>
      <c r="N25" s="116"/>
      <c r="O25" s="113"/>
      <c r="P25" s="113"/>
      <c r="Q25" s="113"/>
      <c r="S25" s="75">
        <v>3</v>
      </c>
    </row>
    <row r="26" spans="2:19">
      <c r="B26" s="80"/>
      <c r="C26" s="90"/>
      <c r="D26" s="90" t="s">
        <v>287</v>
      </c>
      <c r="E26" s="90"/>
      <c r="F26" s="153">
        <f>IF($F$19="1&amp;2",rooster!G20,IF($F$19="3&amp;4",rooster!G35,IF($F$19="5&amp;8",rooster!G50,rooster!G155)))</f>
        <v>3.5</v>
      </c>
      <c r="G26" s="153">
        <f>IF($F$19="1&amp;2",rooster!H20,IF($F$19="3&amp;4",rooster!H35,IF($F$19="5&amp;8",rooster!H50,rooster!H155)))</f>
        <v>0</v>
      </c>
      <c r="H26" s="153">
        <f>SUM(F26:G26)</f>
        <v>3.5</v>
      </c>
      <c r="I26" s="90"/>
      <c r="J26" s="90"/>
      <c r="K26" s="90"/>
      <c r="L26" s="90"/>
      <c r="M26" s="119"/>
      <c r="N26" s="116"/>
      <c r="O26" s="113"/>
      <c r="P26" s="113"/>
      <c r="Q26" s="113"/>
      <c r="S26" s="75">
        <v>4</v>
      </c>
    </row>
    <row r="27" spans="2:19">
      <c r="B27" s="80"/>
      <c r="C27" s="90"/>
      <c r="D27" s="90" t="s">
        <v>288</v>
      </c>
      <c r="E27" s="90"/>
      <c r="F27" s="153">
        <f>IF($F$19="1&amp;2",rooster!G21,IF($F$19="3&amp;4",rooster!G36,IF($F$19="5&amp;8",rooster!G51,rooster!G156)))</f>
        <v>3.5</v>
      </c>
      <c r="G27" s="153">
        <f>IF($F$19="1&amp;2",rooster!H21,IF($F$19="3&amp;4",rooster!H36,IF($F$19="5&amp;8",rooster!H51,rooster!H156)))</f>
        <v>2</v>
      </c>
      <c r="H27" s="153">
        <f>SUM(F27:G27)</f>
        <v>5.5</v>
      </c>
      <c r="I27" s="90"/>
      <c r="J27" s="90"/>
      <c r="K27" s="90"/>
      <c r="L27" s="90"/>
      <c r="M27" s="119"/>
      <c r="N27" s="116"/>
      <c r="O27" s="113"/>
      <c r="P27" s="113"/>
      <c r="Q27" s="113"/>
      <c r="S27" s="75">
        <v>5</v>
      </c>
    </row>
    <row r="28" spans="2:19">
      <c r="B28" s="80"/>
      <c r="C28" s="90"/>
      <c r="D28" s="90" t="s">
        <v>289</v>
      </c>
      <c r="E28" s="90"/>
      <c r="F28" s="153">
        <f>IF($F$19="1&amp;2",rooster!G22,IF($F$19="3&amp;4",rooster!G37,IF($F$19="5&amp;8",rooster!G52,rooster!G157)))</f>
        <v>3.5</v>
      </c>
      <c r="G28" s="153">
        <f>IF($F$19="1&amp;2",rooster!H22,IF($F$19="3&amp;4",rooster!H37,IF($F$19="5&amp;8",rooster!H52,rooster!H157)))</f>
        <v>0</v>
      </c>
      <c r="H28" s="153">
        <f>SUM(F28:G28)</f>
        <v>3.5</v>
      </c>
      <c r="I28" s="90"/>
      <c r="J28" s="90"/>
      <c r="K28" s="90"/>
      <c r="L28" s="90"/>
      <c r="M28" s="119"/>
      <c r="N28" s="116"/>
      <c r="O28" s="113"/>
      <c r="P28" s="113"/>
      <c r="Q28" s="113"/>
      <c r="S28" s="75">
        <v>6</v>
      </c>
    </row>
    <row r="29" spans="2:19">
      <c r="B29" s="80"/>
      <c r="C29" s="90"/>
      <c r="D29" s="90" t="s">
        <v>295</v>
      </c>
      <c r="E29" s="90"/>
      <c r="F29" s="92"/>
      <c r="G29" s="92"/>
      <c r="H29" s="171">
        <f>SUM(H24:H28)</f>
        <v>23.5</v>
      </c>
      <c r="I29" s="90"/>
      <c r="J29" s="90"/>
      <c r="K29" s="90"/>
      <c r="L29" s="90"/>
      <c r="M29" s="119"/>
      <c r="N29" s="116"/>
      <c r="O29" s="113"/>
      <c r="P29" s="113"/>
      <c r="Q29" s="113"/>
      <c r="S29" s="75">
        <v>7</v>
      </c>
    </row>
    <row r="30" spans="2:19">
      <c r="B30" s="80"/>
      <c r="C30" s="90"/>
      <c r="D30" s="90" t="s">
        <v>367</v>
      </c>
      <c r="E30" s="90"/>
      <c r="F30" s="92"/>
      <c r="G30" s="92"/>
      <c r="H30" s="107">
        <f>ROUND(H29*F20,0)</f>
        <v>940</v>
      </c>
      <c r="I30" s="90"/>
      <c r="J30" s="90"/>
      <c r="K30" s="90"/>
      <c r="L30" s="90"/>
      <c r="M30" s="119"/>
      <c r="N30" s="116"/>
      <c r="O30" s="113"/>
      <c r="P30" s="113"/>
      <c r="Q30" s="113"/>
      <c r="S30" s="75">
        <v>8</v>
      </c>
    </row>
    <row r="31" spans="2:19">
      <c r="B31" s="80"/>
      <c r="C31" s="90"/>
      <c r="D31" s="90"/>
      <c r="E31" s="90"/>
      <c r="F31" s="92"/>
      <c r="G31" s="92"/>
      <c r="H31" s="92"/>
      <c r="I31" s="90"/>
      <c r="J31" s="90"/>
      <c r="K31" s="90"/>
      <c r="L31" s="90"/>
      <c r="M31" s="119"/>
      <c r="N31" s="116"/>
      <c r="O31" s="113"/>
      <c r="P31" s="113"/>
      <c r="Q31" s="113"/>
    </row>
    <row r="32" spans="2:19">
      <c r="B32" s="80"/>
      <c r="C32" s="90"/>
      <c r="D32" s="90"/>
      <c r="E32" s="90"/>
      <c r="F32" s="92"/>
      <c r="G32" s="92"/>
      <c r="H32" s="92"/>
      <c r="I32" s="90"/>
      <c r="J32" s="90"/>
      <c r="K32" s="93"/>
      <c r="L32" s="90"/>
      <c r="M32" s="119"/>
      <c r="N32" s="116"/>
      <c r="O32" s="113"/>
      <c r="P32" s="113"/>
      <c r="Q32" s="113"/>
    </row>
    <row r="33" spans="2:17">
      <c r="B33" s="80"/>
      <c r="C33" s="90"/>
      <c r="D33" s="93" t="s">
        <v>368</v>
      </c>
      <c r="E33" s="90"/>
      <c r="F33" s="95" t="s">
        <v>290</v>
      </c>
      <c r="G33" s="95" t="s">
        <v>291</v>
      </c>
      <c r="H33" s="95" t="s">
        <v>489</v>
      </c>
      <c r="I33" s="90"/>
      <c r="J33" s="90"/>
      <c r="K33" s="93"/>
      <c r="L33" s="90"/>
      <c r="M33" s="119"/>
      <c r="N33" s="116"/>
      <c r="O33" s="113"/>
      <c r="P33" s="113"/>
      <c r="Q33" s="113"/>
    </row>
    <row r="34" spans="2:17">
      <c r="B34" s="80"/>
      <c r="C34" s="90"/>
      <c r="D34" s="90"/>
      <c r="E34" s="90"/>
      <c r="F34" s="92"/>
      <c r="G34" s="92"/>
      <c r="H34" s="92"/>
      <c r="I34" s="90"/>
      <c r="J34" s="90"/>
      <c r="K34" s="93"/>
      <c r="L34" s="90"/>
      <c r="M34" s="119"/>
      <c r="N34" s="116"/>
      <c r="O34" s="113"/>
      <c r="P34" s="113"/>
      <c r="Q34" s="113"/>
    </row>
    <row r="35" spans="2:17">
      <c r="B35" s="80"/>
      <c r="C35" s="90"/>
      <c r="D35" s="90" t="s">
        <v>285</v>
      </c>
      <c r="E35" s="90"/>
      <c r="F35" s="84">
        <v>3.5</v>
      </c>
      <c r="G35" s="84">
        <v>2</v>
      </c>
      <c r="H35" s="101">
        <f>SUM(F35:G35)</f>
        <v>5.5</v>
      </c>
      <c r="I35" s="90"/>
      <c r="J35" s="90"/>
      <c r="K35" s="93"/>
      <c r="L35" s="90"/>
      <c r="M35" s="119"/>
      <c r="N35" s="116"/>
      <c r="O35" s="113"/>
      <c r="P35" s="113"/>
      <c r="Q35" s="113"/>
    </row>
    <row r="36" spans="2:17">
      <c r="B36" s="80"/>
      <c r="C36" s="90"/>
      <c r="D36" s="90" t="s">
        <v>286</v>
      </c>
      <c r="E36" s="90"/>
      <c r="F36" s="84">
        <v>3.5</v>
      </c>
      <c r="G36" s="84">
        <v>2</v>
      </c>
      <c r="H36" s="101">
        <f>SUM(F36:G36)</f>
        <v>5.5</v>
      </c>
      <c r="I36" s="90"/>
      <c r="J36" s="90"/>
      <c r="K36" s="93"/>
      <c r="L36" s="90"/>
      <c r="M36" s="119"/>
      <c r="N36" s="116"/>
      <c r="O36" s="113"/>
      <c r="P36" s="113"/>
      <c r="Q36" s="113"/>
    </row>
    <row r="37" spans="2:17">
      <c r="B37" s="80"/>
      <c r="C37" s="90"/>
      <c r="D37" s="90" t="s">
        <v>287</v>
      </c>
      <c r="E37" s="90"/>
      <c r="F37" s="84">
        <v>3.5</v>
      </c>
      <c r="G37" s="84">
        <v>0</v>
      </c>
      <c r="H37" s="101">
        <f>SUM(F37:G37)</f>
        <v>3.5</v>
      </c>
      <c r="I37" s="90"/>
      <c r="J37" s="90"/>
      <c r="K37" s="93"/>
      <c r="L37" s="93"/>
      <c r="M37" s="119"/>
      <c r="N37" s="116"/>
      <c r="O37" s="113"/>
      <c r="P37" s="113"/>
      <c r="Q37" s="113"/>
    </row>
    <row r="38" spans="2:17">
      <c r="B38" s="80"/>
      <c r="C38" s="90"/>
      <c r="D38" s="90" t="s">
        <v>288</v>
      </c>
      <c r="E38" s="90"/>
      <c r="F38" s="84">
        <v>3.5</v>
      </c>
      <c r="G38" s="84">
        <v>2</v>
      </c>
      <c r="H38" s="101">
        <f>SUM(F38:G38)</f>
        <v>5.5</v>
      </c>
      <c r="I38" s="90"/>
      <c r="J38" s="90"/>
      <c r="K38" s="93"/>
      <c r="L38" s="93"/>
      <c r="M38" s="119"/>
      <c r="N38" s="116"/>
      <c r="O38" s="113"/>
      <c r="P38" s="113"/>
      <c r="Q38" s="113"/>
    </row>
    <row r="39" spans="2:17">
      <c r="B39" s="80"/>
      <c r="C39" s="90"/>
      <c r="D39" s="90" t="s">
        <v>289</v>
      </c>
      <c r="E39" s="90"/>
      <c r="F39" s="84">
        <v>3.5</v>
      </c>
      <c r="G39" s="84">
        <v>0</v>
      </c>
      <c r="H39" s="101">
        <f>SUM(F39:G39)</f>
        <v>3.5</v>
      </c>
      <c r="I39" s="90"/>
      <c r="J39" s="90"/>
      <c r="K39" s="93"/>
      <c r="L39" s="93"/>
      <c r="M39" s="119"/>
      <c r="N39" s="116"/>
      <c r="O39" s="113"/>
      <c r="P39" s="113"/>
      <c r="Q39" s="113"/>
    </row>
    <row r="40" spans="2:17">
      <c r="B40" s="80"/>
      <c r="C40" s="90"/>
      <c r="D40" s="90" t="s">
        <v>295</v>
      </c>
      <c r="E40" s="90"/>
      <c r="F40" s="172"/>
      <c r="G40" s="172"/>
      <c r="H40" s="171">
        <f>SUM(H35:H39)</f>
        <v>23.5</v>
      </c>
      <c r="I40" s="90"/>
      <c r="J40" s="90"/>
      <c r="K40" s="93"/>
      <c r="L40" s="93"/>
      <c r="M40" s="119"/>
      <c r="N40" s="116"/>
      <c r="O40" s="113"/>
      <c r="P40" s="113"/>
      <c r="Q40" s="113"/>
    </row>
    <row r="41" spans="2:17">
      <c r="B41" s="80"/>
      <c r="C41" s="90"/>
      <c r="D41" s="90" t="s">
        <v>367</v>
      </c>
      <c r="E41" s="90"/>
      <c r="F41" s="92"/>
      <c r="G41" s="92"/>
      <c r="H41" s="107">
        <f>ROUND(+H40*F20,0)</f>
        <v>940</v>
      </c>
      <c r="I41" s="90"/>
      <c r="J41" s="90"/>
      <c r="K41" s="93"/>
      <c r="L41" s="93"/>
      <c r="M41" s="119"/>
      <c r="N41" s="116"/>
      <c r="O41" s="113"/>
      <c r="P41" s="113"/>
      <c r="Q41" s="113"/>
    </row>
    <row r="42" spans="2:17">
      <c r="B42" s="80"/>
      <c r="C42" s="90"/>
      <c r="D42" s="90" t="s">
        <v>74</v>
      </c>
      <c r="E42" s="90"/>
      <c r="F42" s="92"/>
      <c r="G42" s="92"/>
      <c r="H42" s="131">
        <v>10</v>
      </c>
      <c r="I42" s="90"/>
      <c r="J42" s="90"/>
      <c r="K42" s="93"/>
      <c r="L42" s="93"/>
      <c r="M42" s="119"/>
      <c r="N42" s="116"/>
      <c r="O42" s="113"/>
      <c r="P42" s="113"/>
      <c r="Q42" s="113"/>
    </row>
    <row r="43" spans="2:17">
      <c r="B43" s="80"/>
      <c r="C43" s="90"/>
      <c r="D43" s="90" t="s">
        <v>373</v>
      </c>
      <c r="E43" s="90"/>
      <c r="F43" s="92"/>
      <c r="G43" s="92"/>
      <c r="H43" s="107">
        <f>+H41-H42</f>
        <v>930</v>
      </c>
      <c r="I43" s="90"/>
      <c r="J43" s="90"/>
      <c r="K43" s="93"/>
      <c r="L43" s="93"/>
      <c r="M43" s="119"/>
      <c r="N43" s="116"/>
      <c r="O43" s="113"/>
      <c r="P43" s="113"/>
      <c r="Q43" s="113"/>
    </row>
    <row r="44" spans="2:17">
      <c r="B44" s="80"/>
      <c r="C44" s="90"/>
      <c r="D44" s="90"/>
      <c r="E44" s="90"/>
      <c r="F44" s="92"/>
      <c r="G44" s="92"/>
      <c r="H44" s="92"/>
      <c r="I44" s="90"/>
      <c r="J44" s="90"/>
      <c r="K44" s="93"/>
      <c r="L44" s="93"/>
      <c r="M44" s="119"/>
      <c r="N44" s="116"/>
      <c r="O44" s="113"/>
      <c r="P44" s="113"/>
      <c r="Q44" s="113"/>
    </row>
    <row r="45" spans="2:17">
      <c r="B45" s="80"/>
      <c r="C45" s="90"/>
      <c r="D45" s="90"/>
      <c r="E45" s="90"/>
      <c r="F45" s="92"/>
      <c r="G45" s="92"/>
      <c r="H45" s="92"/>
      <c r="I45" s="90"/>
      <c r="J45" s="90"/>
      <c r="K45" s="93"/>
      <c r="L45" s="93"/>
      <c r="M45" s="119"/>
      <c r="N45" s="116"/>
      <c r="O45" s="113"/>
      <c r="P45" s="113"/>
      <c r="Q45" s="113"/>
    </row>
    <row r="46" spans="2:17">
      <c r="B46" s="80"/>
      <c r="C46" s="90"/>
      <c r="D46" s="93" t="s">
        <v>369</v>
      </c>
      <c r="E46" s="90"/>
      <c r="F46" s="92"/>
      <c r="G46" s="92"/>
      <c r="H46" s="153">
        <f>ROUND(+H43/930,4)</f>
        <v>1</v>
      </c>
      <c r="I46" s="90"/>
      <c r="J46" s="90"/>
      <c r="K46" s="93"/>
      <c r="L46" s="93"/>
      <c r="M46" s="119"/>
      <c r="N46" s="116"/>
      <c r="O46" s="113"/>
      <c r="P46" s="113"/>
      <c r="Q46" s="113"/>
    </row>
    <row r="47" spans="2:17">
      <c r="B47" s="80"/>
      <c r="C47" s="90"/>
      <c r="D47" s="93"/>
      <c r="E47" s="90"/>
      <c r="F47" s="92"/>
      <c r="G47" s="92"/>
      <c r="H47" s="92"/>
      <c r="I47" s="90"/>
      <c r="J47" s="90"/>
      <c r="K47" s="93"/>
      <c r="L47" s="93"/>
      <c r="M47" s="119"/>
      <c r="N47" s="116"/>
      <c r="O47" s="113"/>
      <c r="P47" s="113"/>
      <c r="Q47" s="113"/>
    </row>
    <row r="48" spans="2:17">
      <c r="B48" s="80"/>
      <c r="C48" s="90"/>
      <c r="D48" s="93" t="s">
        <v>381</v>
      </c>
      <c r="E48" s="90"/>
      <c r="F48" s="92"/>
      <c r="G48" s="92"/>
      <c r="H48" s="173">
        <v>1</v>
      </c>
      <c r="I48" s="90"/>
      <c r="J48" s="90"/>
      <c r="K48" s="93"/>
      <c r="L48" s="93"/>
      <c r="M48" s="119"/>
      <c r="N48" s="116"/>
      <c r="O48" s="113"/>
      <c r="P48" s="113"/>
      <c r="Q48" s="113"/>
    </row>
    <row r="49" spans="2:17">
      <c r="B49" s="80"/>
      <c r="C49" s="90"/>
      <c r="D49" s="122"/>
      <c r="E49" s="90"/>
      <c r="F49" s="90"/>
      <c r="G49" s="90"/>
      <c r="H49" s="90"/>
      <c r="I49" s="157"/>
      <c r="J49" s="90"/>
      <c r="K49" s="93"/>
      <c r="L49" s="93"/>
      <c r="M49" s="119"/>
      <c r="N49" s="116"/>
      <c r="O49" s="113"/>
      <c r="P49" s="113"/>
      <c r="Q49" s="113"/>
    </row>
    <row r="50" spans="2:17">
      <c r="B50" s="80"/>
      <c r="D50" s="109"/>
      <c r="I50" s="158"/>
      <c r="K50" s="67"/>
      <c r="L50" s="67"/>
      <c r="M50" s="113"/>
      <c r="N50" s="116"/>
      <c r="O50" s="113"/>
      <c r="P50" s="113"/>
      <c r="Q50" s="113"/>
    </row>
    <row r="51" spans="2:17">
      <c r="B51" s="80"/>
      <c r="C51" s="90"/>
      <c r="D51" s="122"/>
      <c r="E51" s="90"/>
      <c r="F51" s="90"/>
      <c r="G51" s="90"/>
      <c r="H51" s="90"/>
      <c r="I51" s="157"/>
      <c r="J51" s="90"/>
      <c r="K51" s="93"/>
      <c r="L51" s="93"/>
      <c r="M51" s="119"/>
      <c r="N51" s="116"/>
      <c r="O51" s="113"/>
      <c r="P51" s="113"/>
      <c r="Q51" s="113"/>
    </row>
    <row r="52" spans="2:17">
      <c r="B52" s="80"/>
      <c r="C52" s="90"/>
      <c r="D52" s="132" t="s">
        <v>75</v>
      </c>
      <c r="E52" s="90"/>
      <c r="F52" s="90"/>
      <c r="G52" s="90"/>
      <c r="H52" s="90"/>
      <c r="I52" s="157"/>
      <c r="J52" s="90"/>
      <c r="K52" s="93"/>
      <c r="L52" s="93"/>
      <c r="M52" s="119"/>
      <c r="N52" s="116"/>
      <c r="O52" s="113"/>
      <c r="P52" s="113"/>
      <c r="Q52" s="113"/>
    </row>
    <row r="53" spans="2:17">
      <c r="B53" s="80"/>
      <c r="C53" s="90"/>
      <c r="D53" s="122" t="s">
        <v>532</v>
      </c>
      <c r="E53" s="90"/>
      <c r="F53" s="90"/>
      <c r="G53" s="90"/>
      <c r="H53" s="90"/>
      <c r="I53" s="157"/>
      <c r="J53" s="90"/>
      <c r="K53" s="93"/>
      <c r="L53" s="93"/>
      <c r="M53" s="119"/>
      <c r="N53" s="116"/>
      <c r="O53" s="113"/>
      <c r="P53" s="113"/>
      <c r="Q53" s="113"/>
    </row>
    <row r="54" spans="2:17">
      <c r="B54" s="80"/>
      <c r="C54" s="90"/>
      <c r="D54" s="122" t="s">
        <v>89</v>
      </c>
      <c r="E54" s="90"/>
      <c r="F54" s="90"/>
      <c r="G54" s="90"/>
      <c r="H54" s="90"/>
      <c r="I54" s="90"/>
      <c r="J54" s="90"/>
      <c r="K54" s="93"/>
      <c r="L54" s="93"/>
      <c r="M54" s="119"/>
      <c r="N54" s="116"/>
      <c r="O54" s="113"/>
      <c r="P54" s="113"/>
      <c r="Q54" s="113"/>
    </row>
    <row r="55" spans="2:17">
      <c r="B55" s="80"/>
      <c r="C55" s="90"/>
      <c r="D55" s="90"/>
      <c r="E55" s="90"/>
      <c r="F55" s="90"/>
      <c r="G55" s="90"/>
      <c r="H55" s="90"/>
      <c r="I55" s="90"/>
      <c r="J55" s="90"/>
      <c r="K55" s="93"/>
      <c r="L55" s="93"/>
      <c r="M55" s="119"/>
      <c r="N55" s="116"/>
      <c r="O55" s="113"/>
      <c r="P55" s="113"/>
      <c r="Q55" s="113"/>
    </row>
    <row r="56" spans="2:17">
      <c r="B56" s="80"/>
      <c r="K56" s="67"/>
      <c r="L56" s="67"/>
      <c r="M56" s="113"/>
      <c r="N56" s="116"/>
      <c r="O56" s="113"/>
      <c r="P56" s="113"/>
      <c r="Q56" s="113"/>
    </row>
    <row r="57" spans="2:17">
      <c r="B57" s="80"/>
      <c r="K57" s="67"/>
      <c r="L57" s="67"/>
      <c r="M57" s="113"/>
      <c r="N57" s="116"/>
      <c r="O57" s="113"/>
      <c r="P57" s="113"/>
      <c r="Q57" s="113"/>
    </row>
    <row r="58" spans="2:17" ht="18">
      <c r="B58" s="80"/>
      <c r="C58" s="69" t="s">
        <v>534</v>
      </c>
      <c r="E58" s="67"/>
      <c r="G58" s="55"/>
      <c r="N58" s="81"/>
    </row>
    <row r="59" spans="2:17">
      <c r="B59" s="80"/>
      <c r="E59" s="67"/>
      <c r="N59" s="81"/>
    </row>
    <row r="60" spans="2:17">
      <c r="B60" s="80"/>
      <c r="C60" s="90"/>
      <c r="D60" s="90"/>
      <c r="E60" s="90"/>
      <c r="F60" s="90"/>
      <c r="G60" s="90"/>
      <c r="H60" s="90"/>
      <c r="I60" s="90"/>
      <c r="J60" s="90"/>
      <c r="K60" s="90"/>
      <c r="L60" s="90"/>
      <c r="M60" s="90"/>
      <c r="N60" s="81"/>
    </row>
    <row r="61" spans="2:17">
      <c r="B61" s="80"/>
      <c r="C61" s="90"/>
      <c r="D61" s="90" t="s">
        <v>282</v>
      </c>
      <c r="E61" s="90"/>
      <c r="F61" s="100" t="str">
        <f>+F8</f>
        <v>2013-2014</v>
      </c>
      <c r="G61" s="137"/>
      <c r="H61" s="137"/>
      <c r="I61" s="90"/>
      <c r="J61" s="90"/>
      <c r="K61" s="90"/>
      <c r="L61" s="90"/>
      <c r="M61" s="90"/>
      <c r="N61" s="81"/>
    </row>
    <row r="62" spans="2:17">
      <c r="B62" s="80"/>
      <c r="C62" s="90"/>
      <c r="D62" s="90"/>
      <c r="E62" s="90"/>
      <c r="F62" s="100"/>
      <c r="G62" s="137"/>
      <c r="H62" s="137"/>
      <c r="I62" s="90"/>
      <c r="J62" s="90"/>
      <c r="K62" s="90"/>
      <c r="L62" s="90"/>
      <c r="M62" s="90"/>
      <c r="N62" s="81"/>
    </row>
    <row r="63" spans="2:17">
      <c r="B63" s="80"/>
      <c r="C63" s="90"/>
      <c r="D63" s="90" t="s">
        <v>296</v>
      </c>
      <c r="E63" s="90"/>
      <c r="F63" s="138" t="str">
        <f>+F10</f>
        <v>P. Werknemer</v>
      </c>
      <c r="G63" s="125"/>
      <c r="H63" s="125"/>
      <c r="I63" s="94"/>
      <c r="J63" s="90"/>
      <c r="K63" s="90"/>
      <c r="L63" s="93"/>
      <c r="M63" s="119"/>
      <c r="N63" s="116"/>
      <c r="O63" s="113"/>
      <c r="P63" s="113"/>
      <c r="Q63" s="113"/>
    </row>
    <row r="64" spans="2:17">
      <c r="B64" s="80"/>
      <c r="C64" s="90"/>
      <c r="D64" s="90" t="s">
        <v>297</v>
      </c>
      <c r="E64" s="90"/>
      <c r="F64" s="138" t="str">
        <f>+F11</f>
        <v>leerkracht</v>
      </c>
      <c r="G64" s="125"/>
      <c r="H64" s="125"/>
      <c r="I64" s="94"/>
      <c r="J64" s="90"/>
      <c r="K64" s="90"/>
      <c r="L64" s="93"/>
      <c r="M64" s="119"/>
      <c r="N64" s="116"/>
      <c r="O64" s="113"/>
      <c r="P64" s="113"/>
      <c r="Q64" s="113"/>
    </row>
    <row r="65" spans="2:25">
      <c r="B65" s="80"/>
      <c r="C65" s="90"/>
      <c r="D65" s="90" t="s">
        <v>298</v>
      </c>
      <c r="E65" s="90"/>
      <c r="F65" s="138" t="str">
        <f>+F12</f>
        <v>School</v>
      </c>
      <c r="G65" s="125"/>
      <c r="H65" s="125"/>
      <c r="I65" s="94"/>
      <c r="J65" s="90"/>
      <c r="K65" s="90"/>
      <c r="L65" s="93"/>
      <c r="M65" s="119"/>
      <c r="N65" s="116"/>
      <c r="O65" s="113"/>
      <c r="P65" s="113"/>
      <c r="Q65" s="113"/>
    </row>
    <row r="66" spans="2:25">
      <c r="B66" s="80"/>
      <c r="C66" s="90"/>
      <c r="D66" s="90" t="s">
        <v>322</v>
      </c>
      <c r="E66" s="97"/>
      <c r="F66" s="154">
        <f>+F13</f>
        <v>21287</v>
      </c>
      <c r="G66" s="125"/>
      <c r="H66" s="125"/>
      <c r="I66" s="90"/>
      <c r="J66" s="90"/>
      <c r="K66" s="90"/>
      <c r="L66" s="93"/>
      <c r="M66" s="119"/>
      <c r="N66" s="116"/>
      <c r="O66" s="113"/>
      <c r="P66" s="113"/>
      <c r="Q66" s="113"/>
    </row>
    <row r="67" spans="2:25">
      <c r="B67" s="80"/>
      <c r="C67" s="90"/>
      <c r="D67" s="90" t="s">
        <v>530</v>
      </c>
      <c r="E67" s="90"/>
      <c r="F67" s="126">
        <f>+T72</f>
        <v>55</v>
      </c>
      <c r="G67" s="125"/>
      <c r="H67" s="125"/>
      <c r="I67" s="94"/>
      <c r="J67" s="90"/>
      <c r="K67" s="90"/>
      <c r="L67" s="93"/>
      <c r="M67" s="93"/>
      <c r="N67" s="140"/>
      <c r="O67" s="67"/>
      <c r="P67" s="67"/>
      <c r="Q67" s="67"/>
    </row>
    <row r="68" spans="2:25">
      <c r="B68" s="80"/>
      <c r="C68" s="90"/>
      <c r="D68" s="90" t="s">
        <v>323</v>
      </c>
      <c r="E68" s="93"/>
      <c r="F68" s="129">
        <f>+F15</f>
        <v>41487</v>
      </c>
      <c r="G68" s="128"/>
      <c r="H68" s="128"/>
      <c r="I68" s="90"/>
      <c r="J68" s="90"/>
      <c r="K68" s="90"/>
      <c r="L68" s="93"/>
      <c r="M68" s="119"/>
      <c r="N68" s="116"/>
      <c r="O68" s="113"/>
      <c r="P68" s="113"/>
      <c r="Q68" s="113"/>
    </row>
    <row r="69" spans="2:25">
      <c r="B69" s="80"/>
      <c r="C69" s="90"/>
      <c r="D69" s="90"/>
      <c r="E69" s="90"/>
      <c r="F69" s="90"/>
      <c r="G69" s="90"/>
      <c r="H69" s="90"/>
      <c r="I69" s="90"/>
      <c r="J69" s="133"/>
      <c r="K69" s="90"/>
      <c r="L69" s="90"/>
      <c r="M69" s="119"/>
      <c r="N69" s="116"/>
      <c r="O69" s="113"/>
      <c r="P69" s="113"/>
      <c r="Q69" s="113"/>
    </row>
    <row r="70" spans="2:25">
      <c r="B70" s="80"/>
      <c r="L70" s="67"/>
      <c r="M70" s="67"/>
      <c r="N70" s="140"/>
      <c r="O70" s="67"/>
      <c r="P70" s="67"/>
      <c r="Q70" s="67"/>
    </row>
    <row r="71" spans="2:25">
      <c r="B71" s="80"/>
      <c r="C71" s="90"/>
      <c r="D71" s="90"/>
      <c r="E71" s="90"/>
      <c r="F71" s="90"/>
      <c r="G71" s="90"/>
      <c r="H71" s="90"/>
      <c r="I71" s="90"/>
      <c r="J71" s="90"/>
      <c r="K71" s="90"/>
      <c r="L71" s="93"/>
      <c r="M71" s="93"/>
      <c r="N71" s="140"/>
      <c r="O71" s="67"/>
      <c r="P71" s="67"/>
      <c r="Q71" s="67"/>
      <c r="T71" s="7"/>
    </row>
    <row r="72" spans="2:25">
      <c r="B72" s="80"/>
      <c r="C72" s="90"/>
      <c r="D72" s="93" t="s">
        <v>81</v>
      </c>
      <c r="E72" s="90"/>
      <c r="F72" s="90"/>
      <c r="G72" s="90"/>
      <c r="H72" s="90"/>
      <c r="I72" s="90"/>
      <c r="J72" s="90"/>
      <c r="K72" s="90"/>
      <c r="L72" s="93"/>
      <c r="M72" s="93"/>
      <c r="N72" s="140"/>
      <c r="O72" s="67"/>
      <c r="P72" s="67"/>
      <c r="Q72" s="67"/>
      <c r="S72" s="71">
        <f>YEAR(F15-F13)</f>
        <v>1955</v>
      </c>
      <c r="T72" s="71">
        <f>S72-1900</f>
        <v>55</v>
      </c>
    </row>
    <row r="73" spans="2:25">
      <c r="B73" s="80"/>
      <c r="C73" s="90"/>
      <c r="D73" s="93"/>
      <c r="E73" s="90"/>
      <c r="F73" s="90"/>
      <c r="G73" s="90"/>
      <c r="H73" s="90"/>
      <c r="I73" s="90"/>
      <c r="J73" s="92" t="s">
        <v>555</v>
      </c>
      <c r="K73" s="90" t="s">
        <v>556</v>
      </c>
      <c r="L73" s="93"/>
      <c r="M73" s="93"/>
      <c r="N73" s="140"/>
      <c r="O73" s="67"/>
      <c r="P73" s="67"/>
      <c r="Q73" s="67"/>
    </row>
    <row r="74" spans="2:25">
      <c r="B74" s="80"/>
      <c r="C74" s="90"/>
      <c r="D74" s="90" t="s">
        <v>317</v>
      </c>
      <c r="E74" s="90"/>
      <c r="F74" s="90"/>
      <c r="G74" s="90"/>
      <c r="H74" s="139">
        <f>+H164</f>
        <v>930</v>
      </c>
      <c r="I74" s="90"/>
      <c r="J74" s="242">
        <f>+V81*H84</f>
        <v>930</v>
      </c>
      <c r="K74" s="242">
        <f>+V81*H84-H96</f>
        <v>930</v>
      </c>
      <c r="L74" s="93"/>
      <c r="M74" s="93"/>
      <c r="N74" s="140"/>
      <c r="O74" s="67"/>
      <c r="P74" s="67"/>
      <c r="Q74" s="67"/>
    </row>
    <row r="75" spans="2:25">
      <c r="B75" s="80"/>
      <c r="C75" s="90"/>
      <c r="D75" s="90" t="s">
        <v>458</v>
      </c>
      <c r="E75" s="90"/>
      <c r="F75" s="90"/>
      <c r="G75" s="90"/>
      <c r="H75" s="139">
        <f>ROUND(+H165*340/208,0)</f>
        <v>0</v>
      </c>
      <c r="I75" s="90"/>
      <c r="J75" s="242"/>
      <c r="K75" s="242">
        <f>+H75</f>
        <v>0</v>
      </c>
      <c r="L75" s="93"/>
      <c r="M75" s="93"/>
      <c r="N75" s="140"/>
      <c r="O75" s="67"/>
      <c r="P75" s="67"/>
      <c r="Q75" s="67"/>
      <c r="R75" s="113"/>
    </row>
    <row r="76" spans="2:25">
      <c r="B76" s="80"/>
      <c r="C76" s="90"/>
      <c r="D76" s="90" t="s">
        <v>318</v>
      </c>
      <c r="E76" s="90"/>
      <c r="F76" s="90"/>
      <c r="G76" s="90"/>
      <c r="H76" s="139">
        <f>+H186</f>
        <v>556</v>
      </c>
      <c r="I76" s="90"/>
      <c r="J76" s="242">
        <f>+V85*H84</f>
        <v>563</v>
      </c>
      <c r="K76" s="242">
        <f>+V85*H84-(F96-H96)+(J77-K77)</f>
        <v>563</v>
      </c>
      <c r="L76" s="93"/>
      <c r="M76" s="93"/>
      <c r="N76" s="140"/>
      <c r="O76" s="67"/>
      <c r="P76" s="67"/>
      <c r="Q76" s="67"/>
      <c r="R76" s="113"/>
    </row>
    <row r="77" spans="2:25">
      <c r="B77" s="80"/>
      <c r="C77" s="90"/>
      <c r="D77" s="90" t="s">
        <v>319</v>
      </c>
      <c r="E77" s="90"/>
      <c r="F77" s="90"/>
      <c r="G77" s="90"/>
      <c r="H77" s="101">
        <f>+H100</f>
        <v>166</v>
      </c>
      <c r="I77" s="90"/>
      <c r="J77" s="242">
        <f>+V82*H84</f>
        <v>166</v>
      </c>
      <c r="K77" s="242">
        <f>+W82*H84</f>
        <v>166</v>
      </c>
      <c r="L77" s="93"/>
      <c r="M77" s="93"/>
      <c r="N77" s="140"/>
      <c r="O77" s="67"/>
      <c r="P77" s="67"/>
      <c r="Q77" s="67"/>
      <c r="R77" s="113"/>
    </row>
    <row r="78" spans="2:25">
      <c r="B78" s="80"/>
      <c r="C78" s="90"/>
      <c r="D78" s="90" t="s">
        <v>321</v>
      </c>
      <c r="E78" s="90"/>
      <c r="F78" s="90"/>
      <c r="G78" s="90"/>
      <c r="H78" s="139">
        <f>SUM(H74:H77)</f>
        <v>1652</v>
      </c>
      <c r="I78" s="90"/>
      <c r="J78" s="242">
        <f>+V80*H84</f>
        <v>1659</v>
      </c>
      <c r="K78" s="242">
        <f>SUM(K74:K77)</f>
        <v>1659</v>
      </c>
      <c r="L78" s="93"/>
      <c r="M78" s="93"/>
      <c r="N78" s="140"/>
      <c r="O78" s="67"/>
      <c r="P78" s="67"/>
      <c r="Q78" s="67"/>
      <c r="R78" s="113"/>
      <c r="W78" s="71" t="s">
        <v>552</v>
      </c>
      <c r="Y78" s="71" t="s">
        <v>581</v>
      </c>
    </row>
    <row r="79" spans="2:25">
      <c r="B79" s="80"/>
      <c r="C79" s="90"/>
      <c r="D79" s="159" t="s">
        <v>374</v>
      </c>
      <c r="E79" s="90"/>
      <c r="F79" s="90"/>
      <c r="G79" s="90"/>
      <c r="H79" s="139">
        <f>-H193</f>
        <v>7</v>
      </c>
      <c r="I79" s="90"/>
      <c r="J79" s="90"/>
      <c r="K79" s="90"/>
      <c r="L79" s="93"/>
      <c r="M79" s="93"/>
      <c r="N79" s="140"/>
      <c r="O79" s="67"/>
      <c r="P79" s="67"/>
      <c r="Q79" s="67"/>
      <c r="R79" s="113"/>
      <c r="T79" s="67" t="s">
        <v>357</v>
      </c>
      <c r="U79" s="67"/>
      <c r="W79" s="167">
        <f>+F96</f>
        <v>0</v>
      </c>
      <c r="Y79" s="71">
        <f>+H85*0.5</f>
        <v>829.5</v>
      </c>
    </row>
    <row r="80" spans="2:25">
      <c r="B80" s="80"/>
      <c r="C80" s="90"/>
      <c r="D80" s="90"/>
      <c r="E80" s="90"/>
      <c r="F80" s="90"/>
      <c r="G80" s="90"/>
      <c r="H80" s="133"/>
      <c r="I80" s="90"/>
      <c r="J80" s="90"/>
      <c r="K80" s="90"/>
      <c r="L80" s="93"/>
      <c r="M80" s="93"/>
      <c r="N80" s="140"/>
      <c r="O80" s="67"/>
      <c r="P80" s="67"/>
      <c r="Q80" s="67"/>
      <c r="R80" s="113"/>
      <c r="T80" s="71" t="s">
        <v>553</v>
      </c>
      <c r="V80" s="71">
        <v>1659</v>
      </c>
      <c r="W80" s="167">
        <f>+V80-W79</f>
        <v>1659</v>
      </c>
    </row>
    <row r="81" spans="2:23">
      <c r="B81" s="80"/>
      <c r="H81" s="115"/>
      <c r="L81" s="67"/>
      <c r="M81" s="67"/>
      <c r="N81" s="140"/>
      <c r="O81" s="67"/>
      <c r="P81" s="67"/>
      <c r="Q81" s="67"/>
      <c r="R81" s="113"/>
      <c r="T81" s="71" t="s">
        <v>356</v>
      </c>
      <c r="V81" s="71">
        <v>930</v>
      </c>
      <c r="W81" s="82">
        <f>+V81-H96</f>
        <v>930</v>
      </c>
    </row>
    <row r="82" spans="2:23">
      <c r="B82" s="80"/>
      <c r="H82" s="115"/>
      <c r="L82" s="67"/>
      <c r="M82" s="67"/>
      <c r="N82" s="140"/>
      <c r="O82" s="67"/>
      <c r="P82" s="67"/>
      <c r="Q82" s="67"/>
      <c r="R82" s="113"/>
      <c r="T82" s="160" t="s">
        <v>284</v>
      </c>
      <c r="U82" s="85"/>
      <c r="V82" s="71">
        <v>166</v>
      </c>
      <c r="W82" s="71">
        <f>ROUND(10%*W80,0)</f>
        <v>166</v>
      </c>
    </row>
    <row r="83" spans="2:23">
      <c r="B83" s="80"/>
      <c r="C83" s="90"/>
      <c r="D83" s="90"/>
      <c r="E83" s="90"/>
      <c r="F83" s="90"/>
      <c r="G83" s="90"/>
      <c r="H83" s="133"/>
      <c r="I83" s="90"/>
      <c r="J83" s="90"/>
      <c r="K83" s="90"/>
      <c r="L83" s="93"/>
      <c r="M83" s="93"/>
      <c r="N83" s="140"/>
      <c r="O83" s="67"/>
      <c r="P83" s="67"/>
      <c r="Q83" s="67"/>
      <c r="R83" s="113"/>
      <c r="T83" s="85" t="s">
        <v>360</v>
      </c>
      <c r="U83" s="85"/>
      <c r="V83" s="71">
        <f>+V82-V84</f>
        <v>83</v>
      </c>
      <c r="W83" s="71">
        <f>+W82-W84</f>
        <v>83</v>
      </c>
    </row>
    <row r="84" spans="2:23">
      <c r="B84" s="80"/>
      <c r="C84" s="90"/>
      <c r="D84" s="93" t="s">
        <v>283</v>
      </c>
      <c r="E84" s="90"/>
      <c r="F84" s="90"/>
      <c r="G84" s="90"/>
      <c r="H84" s="153">
        <f>+H48</f>
        <v>1</v>
      </c>
      <c r="I84" s="90"/>
      <c r="J84" s="90"/>
      <c r="K84" s="90"/>
      <c r="L84" s="90"/>
      <c r="M84" s="90"/>
      <c r="N84" s="81"/>
      <c r="R84" s="113"/>
      <c r="T84" s="85" t="s">
        <v>361</v>
      </c>
      <c r="U84" s="161">
        <v>0.5</v>
      </c>
      <c r="V84" s="71">
        <f>ROUND(+V82*$U84,0)</f>
        <v>83</v>
      </c>
      <c r="W84" s="71">
        <f>ROUND(+W82*$U84,0)</f>
        <v>83</v>
      </c>
    </row>
    <row r="85" spans="2:23">
      <c r="B85" s="80"/>
      <c r="C85" s="90"/>
      <c r="D85" s="90" t="s">
        <v>382</v>
      </c>
      <c r="E85" s="90"/>
      <c r="F85" s="92"/>
      <c r="G85" s="90"/>
      <c r="H85" s="107">
        <f>ROUND(+V80*H84,0)</f>
        <v>1659</v>
      </c>
      <c r="I85" s="210" t="s">
        <v>302</v>
      </c>
      <c r="J85" s="90"/>
      <c r="K85" s="90"/>
      <c r="L85" s="90"/>
      <c r="M85" s="90"/>
      <c r="N85" s="81"/>
      <c r="R85" s="113"/>
      <c r="T85" s="160" t="s">
        <v>362</v>
      </c>
      <c r="V85" s="71">
        <f>+V80-V81-V82</f>
        <v>563</v>
      </c>
      <c r="W85" s="82">
        <f>+W80-W81-W82</f>
        <v>563</v>
      </c>
    </row>
    <row r="86" spans="2:23">
      <c r="B86" s="80"/>
      <c r="C86" s="90"/>
      <c r="D86" s="90" t="s">
        <v>554</v>
      </c>
      <c r="E86" s="90"/>
      <c r="F86" s="92"/>
      <c r="G86" s="90"/>
      <c r="H86" s="139">
        <f>+H85-F96</f>
        <v>1659</v>
      </c>
      <c r="I86" s="210"/>
      <c r="J86" s="90"/>
      <c r="K86" s="90"/>
      <c r="L86" s="90"/>
      <c r="M86" s="90"/>
      <c r="N86" s="81"/>
      <c r="R86" s="113"/>
    </row>
    <row r="87" spans="2:23">
      <c r="B87" s="80"/>
      <c r="C87" s="90"/>
      <c r="D87" s="90"/>
      <c r="E87" s="90"/>
      <c r="F87" s="92"/>
      <c r="G87" s="90"/>
      <c r="H87" s="241"/>
      <c r="I87" s="210"/>
      <c r="J87" s="90"/>
      <c r="K87" s="90"/>
      <c r="L87" s="90"/>
      <c r="M87" s="90"/>
      <c r="N87" s="81"/>
      <c r="R87" s="113"/>
    </row>
    <row r="88" spans="2:23">
      <c r="B88" s="80"/>
      <c r="C88" s="90"/>
      <c r="D88" s="137" t="s">
        <v>378</v>
      </c>
      <c r="E88" s="97"/>
      <c r="F88" s="217">
        <f>DATE(YEAR($F66)+52,MONTH($F66),DAY($F66))</f>
        <v>40280</v>
      </c>
      <c r="G88" s="90"/>
      <c r="H88" s="92"/>
      <c r="I88" s="210"/>
      <c r="J88" s="90"/>
      <c r="K88" s="90"/>
      <c r="L88" s="90"/>
      <c r="M88" s="90"/>
      <c r="N88" s="81"/>
      <c r="R88" s="113"/>
    </row>
    <row r="89" spans="2:23">
      <c r="B89" s="80"/>
      <c r="C89" s="90"/>
      <c r="D89" s="137" t="s">
        <v>72</v>
      </c>
      <c r="E89" s="97"/>
      <c r="F89" s="137" t="str">
        <f>IF((AND($F68&lt;=F88,F88&lt;=T94)),"ja",IF(F88&gt;T94,"later","eerder"))</f>
        <v>eerder</v>
      </c>
      <c r="G89" s="90"/>
      <c r="H89" s="101">
        <f>IF(F89="ja",+V99,IF(F89="eerder",12,0))</f>
        <v>12</v>
      </c>
      <c r="I89" s="210" t="s">
        <v>376</v>
      </c>
      <c r="J89" s="90"/>
      <c r="K89" s="90"/>
      <c r="L89" s="90"/>
      <c r="M89" s="135"/>
      <c r="N89" s="141"/>
      <c r="O89" s="164"/>
      <c r="P89" s="164"/>
      <c r="Q89" s="164"/>
    </row>
    <row r="90" spans="2:23">
      <c r="B90" s="80"/>
      <c r="C90" s="90"/>
      <c r="D90" s="137" t="s">
        <v>450</v>
      </c>
      <c r="E90" s="97"/>
      <c r="F90" s="217">
        <f>DATE(YEAR($F66)+56,MONTH($F66),DAY($F66))</f>
        <v>41741</v>
      </c>
      <c r="G90" s="90"/>
      <c r="H90" s="92"/>
      <c r="I90" s="210"/>
      <c r="J90" s="90"/>
      <c r="K90" s="90"/>
      <c r="L90" s="90"/>
      <c r="M90" s="90"/>
      <c r="N90" s="81"/>
    </row>
    <row r="91" spans="2:23">
      <c r="B91" s="80"/>
      <c r="C91" s="90"/>
      <c r="D91" s="137" t="s">
        <v>73</v>
      </c>
      <c r="E91" s="97"/>
      <c r="F91" s="137" t="str">
        <f>IF((AND($F68&lt;=F90,F90&lt;=T94)),"ja",IF(F90&gt;T94,"later","eerder"))</f>
        <v>ja</v>
      </c>
      <c r="G91" s="90"/>
      <c r="H91" s="101">
        <f>IF(F91="ja",+W99,IF(F91="eerder",12,0))</f>
        <v>3</v>
      </c>
      <c r="I91" s="210" t="s">
        <v>376</v>
      </c>
      <c r="J91" s="90"/>
      <c r="K91" s="90"/>
      <c r="L91" s="90"/>
      <c r="M91" s="97"/>
      <c r="N91" s="142"/>
      <c r="O91" s="85"/>
      <c r="P91" s="85"/>
      <c r="Q91" s="85"/>
    </row>
    <row r="92" spans="2:23">
      <c r="B92" s="80"/>
      <c r="C92" s="90"/>
      <c r="D92" s="90"/>
      <c r="E92" s="90"/>
      <c r="F92" s="90"/>
      <c r="G92" s="90"/>
      <c r="H92" s="90"/>
      <c r="I92" s="90"/>
      <c r="J92" s="90"/>
      <c r="K92" s="90"/>
      <c r="L92" s="90"/>
      <c r="M92" s="90"/>
      <c r="N92" s="81"/>
    </row>
    <row r="93" spans="2:23">
      <c r="B93" s="80"/>
      <c r="C93" s="90"/>
      <c r="D93" s="90"/>
      <c r="E93" s="90"/>
      <c r="F93" s="90"/>
      <c r="G93" s="90"/>
      <c r="H93" s="90"/>
      <c r="I93" s="90"/>
      <c r="J93" s="90"/>
      <c r="K93" s="90"/>
      <c r="L93" s="90"/>
      <c r="M93" s="90"/>
      <c r="N93" s="81"/>
      <c r="T93" s="115">
        <f>DATE(YEAR($F68),MONTH($F68),DAY($F68))</f>
        <v>41487</v>
      </c>
      <c r="U93" s="71">
        <f>YEAR(T93)</f>
        <v>2013</v>
      </c>
    </row>
    <row r="94" spans="2:23">
      <c r="B94" s="80"/>
      <c r="C94" s="90"/>
      <c r="D94" s="90"/>
      <c r="E94" s="90"/>
      <c r="F94" s="132" t="s">
        <v>302</v>
      </c>
      <c r="G94" s="90"/>
      <c r="H94" s="132" t="s">
        <v>372</v>
      </c>
      <c r="I94" s="90"/>
      <c r="J94" s="90"/>
      <c r="K94" s="216" t="s">
        <v>19</v>
      </c>
      <c r="L94" s="90"/>
      <c r="M94" s="90"/>
      <c r="N94" s="81"/>
      <c r="T94" s="115">
        <f>DATE(YEAR($F68)+1,MONTH($F68),DAY($F68))</f>
        <v>41852</v>
      </c>
      <c r="U94" s="71">
        <f>YEAR(T94)</f>
        <v>2014</v>
      </c>
      <c r="V94" s="235"/>
    </row>
    <row r="95" spans="2:23">
      <c r="B95" s="80"/>
      <c r="C95" s="90"/>
      <c r="D95" s="90"/>
      <c r="E95" s="90"/>
      <c r="F95" s="90"/>
      <c r="G95" s="90"/>
      <c r="H95" s="90"/>
      <c r="I95" s="90"/>
      <c r="J95" s="90"/>
      <c r="K95" s="90"/>
      <c r="L95" s="90"/>
      <c r="M95" s="90"/>
      <c r="N95" s="81"/>
    </row>
    <row r="96" spans="2:23">
      <c r="B96" s="80"/>
      <c r="C96" s="90"/>
      <c r="D96" s="100" t="s">
        <v>549</v>
      </c>
      <c r="E96" s="104"/>
      <c r="F96" s="156">
        <v>0</v>
      </c>
      <c r="G96" s="90"/>
      <c r="H96" s="139">
        <f>+F96*208/340</f>
        <v>0</v>
      </c>
      <c r="I96" s="90"/>
      <c r="J96" s="90"/>
      <c r="K96" s="289">
        <f>ROUND(+F96/H85,4)</f>
        <v>0</v>
      </c>
      <c r="L96" s="90"/>
      <c r="M96" s="90"/>
      <c r="N96" s="81"/>
      <c r="V96" s="71">
        <v>52</v>
      </c>
      <c r="W96" s="71">
        <v>56</v>
      </c>
    </row>
    <row r="97" spans="2:26">
      <c r="B97" s="80"/>
      <c r="C97" s="90"/>
      <c r="D97" s="137" t="s">
        <v>452</v>
      </c>
      <c r="E97" s="97"/>
      <c r="F97" s="101">
        <f>IF((ROUND(ROUND(170*IF(H84&gt;1,1,H84)*((H89+H91)/12),1)/0.5,0)*0.5)&lt;45,0,ROUND(ROUND(170*IF(H84&gt;1,1,H84)*((H89+H91)/12),1)/0.5,0)*0.5)</f>
        <v>212.5</v>
      </c>
      <c r="G97" s="90"/>
      <c r="H97" s="139">
        <f>+F97*208/340</f>
        <v>130</v>
      </c>
      <c r="I97" s="90"/>
      <c r="J97" s="90"/>
      <c r="K97" s="90"/>
      <c r="L97" s="90"/>
      <c r="M97" s="90"/>
      <c r="N97" s="81"/>
      <c r="T97" s="160" t="s">
        <v>375</v>
      </c>
      <c r="V97" s="164">
        <f>DATE(YEAR($F66)+52,MONTH($F66),DAY($F66))</f>
        <v>40280</v>
      </c>
      <c r="W97" s="164">
        <f>DATE(YEAR($F66)+56,MONTH($F66),DAY($F66))</f>
        <v>41741</v>
      </c>
      <c r="Y97" s="71">
        <f>MONTH(V97)</f>
        <v>4</v>
      </c>
      <c r="Z97" s="71">
        <f>MONTH(W97)</f>
        <v>4</v>
      </c>
    </row>
    <row r="98" spans="2:26">
      <c r="B98" s="80"/>
      <c r="C98" s="90"/>
      <c r="D98" s="137" t="s">
        <v>371</v>
      </c>
      <c r="E98" s="97"/>
      <c r="F98" s="83">
        <v>0</v>
      </c>
      <c r="G98" s="90"/>
      <c r="H98" s="139">
        <f>+F98*208/340</f>
        <v>0</v>
      </c>
      <c r="I98" s="90"/>
      <c r="J98" s="90"/>
      <c r="K98" s="90"/>
      <c r="L98" s="90"/>
      <c r="M98" s="90"/>
      <c r="N98" s="81"/>
      <c r="T98" s="160" t="s">
        <v>380</v>
      </c>
      <c r="V98" s="71">
        <f>Y97+1</f>
        <v>5</v>
      </c>
      <c r="W98" s="71">
        <f>+Z97+1</f>
        <v>5</v>
      </c>
      <c r="Y98" s="71">
        <f>YEAR(V97)</f>
        <v>2010</v>
      </c>
      <c r="Z98" s="71">
        <f>YEAR(W97)</f>
        <v>2014</v>
      </c>
    </row>
    <row r="99" spans="2:26">
      <c r="B99" s="80"/>
      <c r="C99" s="90"/>
      <c r="D99" s="236" t="s">
        <v>453</v>
      </c>
      <c r="E99" s="237"/>
      <c r="F99" s="238">
        <f>IF(F67&gt;=52,+F97+F98-F96,IF(F67&gt;55,0,+F98-(F96-F97)))</f>
        <v>212.5</v>
      </c>
      <c r="G99" s="239"/>
      <c r="H99" s="240">
        <f>+F99*208/340</f>
        <v>130</v>
      </c>
      <c r="I99" s="155" t="str">
        <f>IF(F99&lt;0,"Er mag niet meer BAPO worden opgenomen als beschikbaar is","")</f>
        <v/>
      </c>
      <c r="J99" s="90"/>
      <c r="K99" s="90"/>
      <c r="L99" s="136"/>
      <c r="M99" s="90"/>
      <c r="N99" s="81"/>
      <c r="T99" s="160" t="s">
        <v>9</v>
      </c>
      <c r="V99" s="85">
        <f>IF(Y99=12,12,IF((8-V98)&lt;0,(12-V98+8),(8-V98)))</f>
        <v>12</v>
      </c>
      <c r="W99" s="85">
        <f>IF(Z99=12,12,IF((8-W98)&lt;0,(12-W98+8),(8-W98)))</f>
        <v>3</v>
      </c>
      <c r="Y99" s="71">
        <f>IF($F68&gt;V97,12,IF((AND($F68&lt;=V97,V97&lt;=T93)),V98,0))</f>
        <v>12</v>
      </c>
      <c r="Z99" s="71">
        <f>IF($F68&gt;W97,12,IF((AND($F68&lt;=W97,W97&lt;=T94)),W98,0))</f>
        <v>5</v>
      </c>
    </row>
    <row r="100" spans="2:26">
      <c r="B100" s="80"/>
      <c r="C100" s="90"/>
      <c r="D100" s="100" t="s">
        <v>319</v>
      </c>
      <c r="E100" s="90"/>
      <c r="F100" s="92"/>
      <c r="G100" s="90"/>
      <c r="H100" s="101">
        <f>ROUND((V80-F96)*10%*H84,0)</f>
        <v>166</v>
      </c>
      <c r="I100" s="90"/>
      <c r="J100" s="90"/>
      <c r="K100" s="90"/>
      <c r="L100" s="90"/>
      <c r="M100" s="90"/>
      <c r="N100" s="81"/>
    </row>
    <row r="101" spans="2:26">
      <c r="B101" s="80"/>
      <c r="C101" s="90"/>
      <c r="D101" s="137" t="s">
        <v>587</v>
      </c>
      <c r="E101" s="97"/>
      <c r="F101" s="92"/>
      <c r="G101" s="90"/>
      <c r="H101" s="101">
        <f>+H100-H102</f>
        <v>83</v>
      </c>
      <c r="I101" s="210"/>
      <c r="J101" s="90"/>
      <c r="K101" s="90"/>
      <c r="L101" s="90"/>
      <c r="M101" s="90"/>
      <c r="N101" s="81"/>
      <c r="T101" s="85" t="s">
        <v>550</v>
      </c>
      <c r="U101" s="71">
        <f>10%*F96</f>
        <v>0</v>
      </c>
    </row>
    <row r="102" spans="2:26">
      <c r="B102" s="80"/>
      <c r="C102" s="90"/>
      <c r="D102" s="137" t="s">
        <v>588</v>
      </c>
      <c r="E102" s="97"/>
      <c r="F102" s="144">
        <v>0.5</v>
      </c>
      <c r="G102" s="90"/>
      <c r="H102" s="101">
        <f>ROUND(+H100*F102,0)</f>
        <v>83</v>
      </c>
      <c r="I102" s="210"/>
      <c r="J102" s="90"/>
      <c r="K102" s="90"/>
      <c r="L102" s="90"/>
      <c r="M102" s="90"/>
      <c r="N102" s="81"/>
      <c r="T102" s="85" t="s">
        <v>551</v>
      </c>
      <c r="U102" s="167">
        <f>+F96-H96-U101</f>
        <v>0</v>
      </c>
    </row>
    <row r="103" spans="2:26">
      <c r="B103" s="80"/>
      <c r="C103" s="90"/>
      <c r="D103" s="90"/>
      <c r="E103" s="90"/>
      <c r="F103" s="90"/>
      <c r="G103" s="90"/>
      <c r="H103" s="90"/>
      <c r="I103" s="218"/>
      <c r="J103" s="90"/>
      <c r="K103" s="90"/>
      <c r="L103" s="90"/>
      <c r="M103" s="90"/>
      <c r="N103" s="81"/>
    </row>
    <row r="104" spans="2:26">
      <c r="B104" s="80"/>
      <c r="C104" s="90"/>
      <c r="D104" s="90"/>
      <c r="E104" s="90"/>
      <c r="F104" s="90"/>
      <c r="G104" s="90"/>
      <c r="H104" s="90"/>
      <c r="I104" s="218"/>
      <c r="J104" s="90"/>
      <c r="K104" s="90"/>
      <c r="L104" s="90"/>
      <c r="M104" s="90"/>
      <c r="N104" s="81"/>
    </row>
    <row r="105" spans="2:26">
      <c r="B105" s="80"/>
      <c r="N105" s="81"/>
    </row>
    <row r="106" spans="2:26">
      <c r="B106" s="80"/>
      <c r="N106" s="81"/>
    </row>
    <row r="107" spans="2:26">
      <c r="B107" s="80"/>
      <c r="C107" s="90"/>
      <c r="D107" s="90"/>
      <c r="E107" s="90"/>
      <c r="F107" s="90"/>
      <c r="G107" s="90"/>
      <c r="H107" s="90"/>
      <c r="I107" s="90"/>
      <c r="J107" s="90"/>
      <c r="K107" s="90"/>
      <c r="L107" s="90"/>
      <c r="M107" s="90"/>
      <c r="N107" s="81"/>
    </row>
    <row r="108" spans="2:26">
      <c r="B108" s="80"/>
      <c r="C108" s="90"/>
      <c r="D108" s="93" t="s">
        <v>391</v>
      </c>
      <c r="E108" s="93"/>
      <c r="F108" s="83">
        <v>38</v>
      </c>
      <c r="G108" s="90"/>
      <c r="H108" s="90"/>
      <c r="I108" s="90"/>
      <c r="J108" s="90"/>
      <c r="K108" s="90"/>
      <c r="L108" s="90"/>
      <c r="M108" s="90"/>
      <c r="N108" s="81"/>
    </row>
    <row r="109" spans="2:26">
      <c r="B109" s="80"/>
      <c r="C109" s="90"/>
      <c r="D109" s="93"/>
      <c r="E109" s="93"/>
      <c r="F109" s="90"/>
      <c r="G109" s="90"/>
      <c r="H109" s="90"/>
      <c r="I109" s="90"/>
      <c r="J109" s="90"/>
      <c r="K109" s="90"/>
      <c r="L109" s="90"/>
      <c r="M109" s="90"/>
      <c r="N109" s="81"/>
    </row>
    <row r="110" spans="2:26">
      <c r="B110" s="80"/>
      <c r="C110" s="90"/>
      <c r="D110" s="90"/>
      <c r="E110" s="90"/>
      <c r="F110" s="103" t="s">
        <v>290</v>
      </c>
      <c r="G110" s="103" t="s">
        <v>291</v>
      </c>
      <c r="H110" s="103" t="s">
        <v>533</v>
      </c>
      <c r="I110" s="90"/>
      <c r="J110" s="103" t="s">
        <v>531</v>
      </c>
      <c r="K110" s="103" t="s">
        <v>79</v>
      </c>
      <c r="L110" s="90"/>
      <c r="M110" s="90"/>
      <c r="N110" s="81"/>
    </row>
    <row r="111" spans="2:26">
      <c r="B111" s="80"/>
      <c r="C111" s="90"/>
      <c r="D111" s="90"/>
      <c r="E111" s="90"/>
      <c r="F111" s="92"/>
      <c r="G111" s="92"/>
      <c r="H111" s="92"/>
      <c r="I111" s="90"/>
      <c r="J111" s="90"/>
      <c r="K111" s="90"/>
      <c r="L111" s="90"/>
      <c r="M111" s="90"/>
      <c r="N111" s="81"/>
    </row>
    <row r="112" spans="2:26">
      <c r="B112" s="80"/>
      <c r="C112" s="90"/>
      <c r="D112" s="90" t="s">
        <v>285</v>
      </c>
      <c r="E112" s="90"/>
      <c r="F112" s="84">
        <v>3</v>
      </c>
      <c r="G112" s="84">
        <v>2</v>
      </c>
      <c r="H112" s="101">
        <f>SUM(F112:G112)</f>
        <v>5</v>
      </c>
      <c r="I112" s="90"/>
      <c r="J112" s="112"/>
      <c r="K112" s="83">
        <v>0</v>
      </c>
      <c r="L112" s="92"/>
      <c r="M112" s="90"/>
      <c r="N112" s="81"/>
    </row>
    <row r="113" spans="2:14">
      <c r="B113" s="80"/>
      <c r="C113" s="90"/>
      <c r="D113" s="90" t="s">
        <v>286</v>
      </c>
      <c r="E113" s="90"/>
      <c r="F113" s="84">
        <v>3</v>
      </c>
      <c r="G113" s="84">
        <v>2</v>
      </c>
      <c r="H113" s="101">
        <f>SUM(F113:G113)</f>
        <v>5</v>
      </c>
      <c r="I113" s="90"/>
      <c r="J113" s="112"/>
      <c r="K113" s="83">
        <v>0</v>
      </c>
      <c r="L113" s="92"/>
      <c r="M113" s="90"/>
      <c r="N113" s="81"/>
    </row>
    <row r="114" spans="2:14">
      <c r="B114" s="80"/>
      <c r="C114" s="90"/>
      <c r="D114" s="90" t="s">
        <v>287</v>
      </c>
      <c r="E114" s="90"/>
      <c r="F114" s="84">
        <v>3.5</v>
      </c>
      <c r="G114" s="84">
        <v>0</v>
      </c>
      <c r="H114" s="101">
        <f>SUM(F114:G114)</f>
        <v>3.5</v>
      </c>
      <c r="I114" s="90"/>
      <c r="J114" s="112"/>
      <c r="K114" s="83">
        <v>0</v>
      </c>
      <c r="L114" s="92"/>
      <c r="M114" s="90"/>
      <c r="N114" s="81"/>
    </row>
    <row r="115" spans="2:14">
      <c r="B115" s="80"/>
      <c r="C115" s="90"/>
      <c r="D115" s="90" t="s">
        <v>288</v>
      </c>
      <c r="E115" s="90"/>
      <c r="F115" s="84">
        <v>3</v>
      </c>
      <c r="G115" s="84">
        <v>2</v>
      </c>
      <c r="H115" s="101">
        <f>SUM(F115:G115)</f>
        <v>5</v>
      </c>
      <c r="I115" s="90"/>
      <c r="J115" s="112"/>
      <c r="K115" s="83">
        <v>0</v>
      </c>
      <c r="L115" s="92"/>
      <c r="M115" s="90"/>
      <c r="N115" s="81"/>
    </row>
    <row r="116" spans="2:14">
      <c r="B116" s="80"/>
      <c r="C116" s="90"/>
      <c r="D116" s="90" t="s">
        <v>289</v>
      </c>
      <c r="E116" s="90"/>
      <c r="F116" s="84">
        <v>3</v>
      </c>
      <c r="G116" s="84">
        <v>2</v>
      </c>
      <c r="H116" s="101">
        <f>SUM(F116:G116)</f>
        <v>5</v>
      </c>
      <c r="I116" s="90"/>
      <c r="J116" s="112"/>
      <c r="K116" s="83">
        <v>0</v>
      </c>
      <c r="L116" s="92"/>
      <c r="M116" s="90"/>
      <c r="N116" s="81"/>
    </row>
    <row r="117" spans="2:14">
      <c r="B117" s="80"/>
      <c r="C117" s="90"/>
      <c r="D117" s="137" t="s">
        <v>295</v>
      </c>
      <c r="E117" s="90"/>
      <c r="F117" s="92"/>
      <c r="G117" s="92"/>
      <c r="H117" s="107">
        <f>SUM(H112:H116)</f>
        <v>23.5</v>
      </c>
      <c r="I117" s="90"/>
      <c r="J117" s="92"/>
      <c r="K117" s="107">
        <f>SUM(K112:K116)</f>
        <v>0</v>
      </c>
      <c r="L117" s="107">
        <f>+F108*K117</f>
        <v>0</v>
      </c>
      <c r="M117" s="90"/>
      <c r="N117" s="81"/>
    </row>
    <row r="118" spans="2:14">
      <c r="B118" s="80"/>
      <c r="C118" s="90"/>
      <c r="D118" s="137" t="s">
        <v>337</v>
      </c>
      <c r="E118" s="90"/>
      <c r="F118" s="92"/>
      <c r="G118" s="92"/>
      <c r="H118" s="107">
        <f>ROUND(H117*F108,0)</f>
        <v>893</v>
      </c>
      <c r="I118" s="90"/>
      <c r="J118" s="90"/>
      <c r="K118" s="90"/>
      <c r="L118" s="90"/>
      <c r="M118" s="90"/>
      <c r="N118" s="81"/>
    </row>
    <row r="119" spans="2:14">
      <c r="B119" s="80"/>
      <c r="C119" s="90"/>
      <c r="D119" s="90"/>
      <c r="E119" s="90"/>
      <c r="F119" s="92"/>
      <c r="G119" s="92"/>
      <c r="H119" s="92"/>
      <c r="I119" s="90"/>
      <c r="J119" s="90"/>
      <c r="K119" s="90"/>
      <c r="L119" s="90"/>
      <c r="M119" s="90"/>
      <c r="N119" s="81"/>
    </row>
    <row r="120" spans="2:14">
      <c r="B120" s="80"/>
      <c r="F120" s="75"/>
      <c r="G120" s="75"/>
      <c r="H120" s="75"/>
      <c r="N120" s="81"/>
    </row>
    <row r="121" spans="2:14">
      <c r="B121" s="80"/>
      <c r="C121" s="90"/>
      <c r="D121" s="90"/>
      <c r="E121" s="90"/>
      <c r="F121" s="92"/>
      <c r="G121" s="92"/>
      <c r="H121" s="92"/>
      <c r="I121" s="90"/>
      <c r="J121" s="90"/>
      <c r="K121" s="90"/>
      <c r="L121" s="90"/>
      <c r="M121" s="90"/>
      <c r="N121" s="81"/>
    </row>
    <row r="122" spans="2:14">
      <c r="B122" s="80"/>
      <c r="C122" s="90"/>
      <c r="D122" s="93" t="s">
        <v>392</v>
      </c>
      <c r="E122" s="93"/>
      <c r="F122" s="83">
        <v>2</v>
      </c>
      <c r="G122" s="92"/>
      <c r="H122" s="92"/>
      <c r="I122" s="90"/>
      <c r="J122" s="90"/>
      <c r="K122" s="90"/>
      <c r="L122" s="90"/>
      <c r="M122" s="90"/>
      <c r="N122" s="81"/>
    </row>
    <row r="123" spans="2:14">
      <c r="B123" s="80"/>
      <c r="C123" s="90"/>
      <c r="D123" s="93"/>
      <c r="E123" s="93"/>
      <c r="F123" s="92"/>
      <c r="G123" s="92"/>
      <c r="H123" s="92"/>
      <c r="I123" s="90"/>
      <c r="J123" s="90"/>
      <c r="K123" s="90"/>
      <c r="L123" s="90"/>
      <c r="M123" s="90"/>
      <c r="N123" s="81"/>
    </row>
    <row r="124" spans="2:14">
      <c r="B124" s="80"/>
      <c r="C124" s="90"/>
      <c r="D124" s="90"/>
      <c r="E124" s="90"/>
      <c r="F124" s="103" t="s">
        <v>290</v>
      </c>
      <c r="G124" s="103" t="s">
        <v>291</v>
      </c>
      <c r="H124" s="103" t="s">
        <v>533</v>
      </c>
      <c r="I124" s="90"/>
      <c r="J124" s="103" t="s">
        <v>531</v>
      </c>
      <c r="K124" s="103" t="s">
        <v>79</v>
      </c>
      <c r="L124" s="90"/>
      <c r="M124" s="90"/>
      <c r="N124" s="81"/>
    </row>
    <row r="125" spans="2:14">
      <c r="B125" s="80"/>
      <c r="C125" s="90"/>
      <c r="D125" s="90"/>
      <c r="E125" s="90"/>
      <c r="F125" s="92"/>
      <c r="G125" s="92"/>
      <c r="H125" s="92"/>
      <c r="I125" s="90"/>
      <c r="J125" s="90"/>
      <c r="K125" s="90"/>
      <c r="L125" s="90"/>
      <c r="M125" s="90"/>
      <c r="N125" s="81"/>
    </row>
    <row r="126" spans="2:14">
      <c r="B126" s="80"/>
      <c r="C126" s="90"/>
      <c r="D126" s="90" t="s">
        <v>285</v>
      </c>
      <c r="E126" s="90"/>
      <c r="F126" s="84">
        <v>3</v>
      </c>
      <c r="G126" s="84">
        <v>2</v>
      </c>
      <c r="H126" s="101">
        <f>SUM(F126:G126)</f>
        <v>5</v>
      </c>
      <c r="I126" s="90"/>
      <c r="J126" s="114"/>
      <c r="K126" s="83">
        <v>0</v>
      </c>
      <c r="L126" s="92"/>
      <c r="M126" s="90"/>
      <c r="N126" s="81"/>
    </row>
    <row r="127" spans="2:14">
      <c r="B127" s="80"/>
      <c r="C127" s="90"/>
      <c r="D127" s="90" t="s">
        <v>286</v>
      </c>
      <c r="E127" s="90"/>
      <c r="F127" s="84">
        <v>3</v>
      </c>
      <c r="G127" s="84">
        <v>2</v>
      </c>
      <c r="H127" s="101">
        <f>SUM(F127:G127)</f>
        <v>5</v>
      </c>
      <c r="I127" s="90"/>
      <c r="J127" s="114"/>
      <c r="K127" s="83">
        <v>0</v>
      </c>
      <c r="L127" s="92"/>
      <c r="M127" s="90"/>
      <c r="N127" s="81"/>
    </row>
    <row r="128" spans="2:14">
      <c r="B128" s="80"/>
      <c r="C128" s="90"/>
      <c r="D128" s="90" t="s">
        <v>287</v>
      </c>
      <c r="E128" s="90"/>
      <c r="F128" s="84">
        <v>3.5</v>
      </c>
      <c r="G128" s="84">
        <v>0</v>
      </c>
      <c r="H128" s="101">
        <f>SUM(F128:G128)</f>
        <v>3.5</v>
      </c>
      <c r="I128" s="90"/>
      <c r="J128" s="114"/>
      <c r="K128" s="83">
        <v>0</v>
      </c>
      <c r="L128" s="92"/>
      <c r="M128" s="90"/>
      <c r="N128" s="81"/>
    </row>
    <row r="129" spans="2:14">
      <c r="B129" s="80"/>
      <c r="C129" s="90"/>
      <c r="D129" s="90" t="s">
        <v>288</v>
      </c>
      <c r="E129" s="90"/>
      <c r="F129" s="84">
        <v>3</v>
      </c>
      <c r="G129" s="84">
        <v>2</v>
      </c>
      <c r="H129" s="101">
        <f>SUM(F129:G129)</f>
        <v>5</v>
      </c>
      <c r="I129" s="90"/>
      <c r="J129" s="114"/>
      <c r="K129" s="83">
        <v>0</v>
      </c>
      <c r="L129" s="92"/>
      <c r="M129" s="90"/>
      <c r="N129" s="81"/>
    </row>
    <row r="130" spans="2:14">
      <c r="B130" s="80"/>
      <c r="C130" s="90"/>
      <c r="D130" s="90" t="s">
        <v>289</v>
      </c>
      <c r="E130" s="90"/>
      <c r="F130" s="84">
        <v>0</v>
      </c>
      <c r="G130" s="84">
        <v>0</v>
      </c>
      <c r="H130" s="101">
        <f>SUM(F130:G130)</f>
        <v>0</v>
      </c>
      <c r="I130" s="90"/>
      <c r="J130" s="114" t="s">
        <v>589</v>
      </c>
      <c r="K130" s="83">
        <v>0</v>
      </c>
      <c r="L130" s="92"/>
      <c r="M130" s="90"/>
      <c r="N130" s="81"/>
    </row>
    <row r="131" spans="2:14">
      <c r="B131" s="80"/>
      <c r="C131" s="90"/>
      <c r="D131" s="137" t="s">
        <v>295</v>
      </c>
      <c r="E131" s="90"/>
      <c r="F131" s="92"/>
      <c r="G131" s="92"/>
      <c r="H131" s="107">
        <f>SUM(H126:H130)</f>
        <v>18.5</v>
      </c>
      <c r="I131" s="90"/>
      <c r="J131" s="90"/>
      <c r="K131" s="107">
        <f>SUM(K126:K130)</f>
        <v>0</v>
      </c>
      <c r="L131" s="107">
        <f>+F122*K131</f>
        <v>0</v>
      </c>
      <c r="M131" s="90"/>
      <c r="N131" s="81"/>
    </row>
    <row r="132" spans="2:14">
      <c r="B132" s="80"/>
      <c r="C132" s="90"/>
      <c r="D132" s="137" t="s">
        <v>337</v>
      </c>
      <c r="E132" s="90"/>
      <c r="F132" s="92"/>
      <c r="G132" s="92"/>
      <c r="H132" s="107">
        <f>ROUND(H131*F122,0)</f>
        <v>37</v>
      </c>
      <c r="I132" s="90"/>
      <c r="J132" s="90"/>
      <c r="K132" s="90"/>
      <c r="L132" s="90"/>
      <c r="M132" s="90"/>
      <c r="N132" s="81"/>
    </row>
    <row r="133" spans="2:14">
      <c r="B133" s="80"/>
      <c r="C133" s="90"/>
      <c r="D133" s="90"/>
      <c r="E133" s="90"/>
      <c r="F133" s="92"/>
      <c r="G133" s="92"/>
      <c r="H133" s="92"/>
      <c r="I133" s="90"/>
      <c r="J133" s="90"/>
      <c r="K133" s="90"/>
      <c r="L133" s="90"/>
      <c r="M133" s="90"/>
      <c r="N133" s="81"/>
    </row>
    <row r="134" spans="2:14">
      <c r="B134" s="80"/>
      <c r="F134" s="75"/>
      <c r="G134" s="75"/>
      <c r="H134" s="75"/>
      <c r="N134" s="81"/>
    </row>
    <row r="135" spans="2:14">
      <c r="B135" s="80"/>
      <c r="C135" s="90"/>
      <c r="D135" s="90"/>
      <c r="E135" s="90"/>
      <c r="F135" s="92"/>
      <c r="G135" s="92"/>
      <c r="H135" s="92"/>
      <c r="I135" s="90"/>
      <c r="J135" s="90"/>
      <c r="K135" s="90"/>
      <c r="L135" s="90"/>
      <c r="M135" s="90"/>
      <c r="N135" s="81"/>
    </row>
    <row r="136" spans="2:14">
      <c r="B136" s="80"/>
      <c r="C136" s="90"/>
      <c r="D136" s="93" t="s">
        <v>393</v>
      </c>
      <c r="E136" s="93"/>
      <c r="F136" s="83">
        <v>0</v>
      </c>
      <c r="G136" s="92"/>
      <c r="H136" s="92"/>
      <c r="I136" s="90"/>
      <c r="J136" s="90"/>
      <c r="K136" s="90"/>
      <c r="L136" s="90"/>
      <c r="M136" s="90"/>
      <c r="N136" s="81"/>
    </row>
    <row r="137" spans="2:14">
      <c r="B137" s="80"/>
      <c r="C137" s="90"/>
      <c r="D137" s="93"/>
      <c r="E137" s="93"/>
      <c r="F137" s="92"/>
      <c r="G137" s="92"/>
      <c r="H137" s="92"/>
      <c r="I137" s="90"/>
      <c r="J137" s="90"/>
      <c r="K137" s="90"/>
      <c r="L137" s="90"/>
      <c r="M137" s="90"/>
      <c r="N137" s="81"/>
    </row>
    <row r="138" spans="2:14">
      <c r="B138" s="80"/>
      <c r="C138" s="90"/>
      <c r="D138" s="90"/>
      <c r="E138" s="90"/>
      <c r="F138" s="103" t="s">
        <v>290</v>
      </c>
      <c r="G138" s="103" t="s">
        <v>291</v>
      </c>
      <c r="H138" s="103" t="s">
        <v>533</v>
      </c>
      <c r="I138" s="92"/>
      <c r="J138" s="103" t="s">
        <v>531</v>
      </c>
      <c r="K138" s="103" t="s">
        <v>79</v>
      </c>
      <c r="L138" s="90"/>
      <c r="M138" s="90"/>
      <c r="N138" s="81"/>
    </row>
    <row r="139" spans="2:14">
      <c r="B139" s="80"/>
      <c r="C139" s="90"/>
      <c r="D139" s="90"/>
      <c r="E139" s="90"/>
      <c r="F139" s="92"/>
      <c r="G139" s="92"/>
      <c r="H139" s="92"/>
      <c r="I139" s="90"/>
      <c r="J139" s="90"/>
      <c r="K139" s="90"/>
      <c r="L139" s="90"/>
      <c r="M139" s="90"/>
      <c r="N139" s="81"/>
    </row>
    <row r="140" spans="2:14">
      <c r="B140" s="80"/>
      <c r="C140" s="90"/>
      <c r="D140" s="90" t="s">
        <v>285</v>
      </c>
      <c r="E140" s="90"/>
      <c r="F140" s="84">
        <v>0</v>
      </c>
      <c r="G140" s="84">
        <v>0</v>
      </c>
      <c r="H140" s="101">
        <f>SUM(F140:G140)</f>
        <v>0</v>
      </c>
      <c r="I140" s="90"/>
      <c r="J140" s="114"/>
      <c r="K140" s="83">
        <v>0</v>
      </c>
      <c r="L140" s="92"/>
      <c r="M140" s="90"/>
      <c r="N140" s="81"/>
    </row>
    <row r="141" spans="2:14">
      <c r="B141" s="80"/>
      <c r="C141" s="90"/>
      <c r="D141" s="90" t="s">
        <v>286</v>
      </c>
      <c r="E141" s="90"/>
      <c r="F141" s="84">
        <v>0</v>
      </c>
      <c r="G141" s="84">
        <v>0</v>
      </c>
      <c r="H141" s="101">
        <f>SUM(F141:G141)</f>
        <v>0</v>
      </c>
      <c r="I141" s="90"/>
      <c r="J141" s="114"/>
      <c r="K141" s="83">
        <v>0</v>
      </c>
      <c r="L141" s="92"/>
      <c r="M141" s="90"/>
      <c r="N141" s="81"/>
    </row>
    <row r="142" spans="2:14">
      <c r="B142" s="80"/>
      <c r="C142" s="90"/>
      <c r="D142" s="90" t="s">
        <v>287</v>
      </c>
      <c r="E142" s="90"/>
      <c r="F142" s="84">
        <v>0</v>
      </c>
      <c r="G142" s="84">
        <v>0</v>
      </c>
      <c r="H142" s="101">
        <f>SUM(F142:G142)</f>
        <v>0</v>
      </c>
      <c r="I142" s="90"/>
      <c r="J142" s="114"/>
      <c r="K142" s="83">
        <v>0</v>
      </c>
      <c r="L142" s="92"/>
      <c r="M142" s="90"/>
      <c r="N142" s="81"/>
    </row>
    <row r="143" spans="2:14">
      <c r="B143" s="80"/>
      <c r="C143" s="90"/>
      <c r="D143" s="90" t="s">
        <v>288</v>
      </c>
      <c r="E143" s="90"/>
      <c r="F143" s="84">
        <v>0</v>
      </c>
      <c r="G143" s="84">
        <v>0</v>
      </c>
      <c r="H143" s="101">
        <f>SUM(F143:G143)</f>
        <v>0</v>
      </c>
      <c r="I143" s="90"/>
      <c r="J143" s="114"/>
      <c r="K143" s="83">
        <v>0</v>
      </c>
      <c r="L143" s="92"/>
      <c r="M143" s="90"/>
      <c r="N143" s="81"/>
    </row>
    <row r="144" spans="2:14">
      <c r="B144" s="80"/>
      <c r="C144" s="90"/>
      <c r="D144" s="90" t="s">
        <v>289</v>
      </c>
      <c r="E144" s="90"/>
      <c r="F144" s="84">
        <v>0</v>
      </c>
      <c r="G144" s="84">
        <v>0</v>
      </c>
      <c r="H144" s="101">
        <f>SUM(F144:G144)</f>
        <v>0</v>
      </c>
      <c r="I144" s="90"/>
      <c r="J144" s="114"/>
      <c r="K144" s="83">
        <v>0</v>
      </c>
      <c r="L144" s="92"/>
      <c r="M144" s="90"/>
      <c r="N144" s="81"/>
    </row>
    <row r="145" spans="2:14">
      <c r="B145" s="80"/>
      <c r="C145" s="90"/>
      <c r="D145" s="137" t="s">
        <v>295</v>
      </c>
      <c r="E145" s="90"/>
      <c r="F145" s="92"/>
      <c r="G145" s="92"/>
      <c r="H145" s="107">
        <f>SUM(H140:H144)</f>
        <v>0</v>
      </c>
      <c r="I145" s="90"/>
      <c r="J145" s="90"/>
      <c r="K145" s="107">
        <f>SUM(K140:K144)</f>
        <v>0</v>
      </c>
      <c r="L145" s="107">
        <f>+F136*K145</f>
        <v>0</v>
      </c>
      <c r="M145" s="90"/>
      <c r="N145" s="81"/>
    </row>
    <row r="146" spans="2:14">
      <c r="B146" s="80"/>
      <c r="C146" s="90"/>
      <c r="D146" s="137" t="s">
        <v>337</v>
      </c>
      <c r="E146" s="90"/>
      <c r="F146" s="92"/>
      <c r="G146" s="92"/>
      <c r="H146" s="107">
        <f>ROUND(H145*F136,0)</f>
        <v>0</v>
      </c>
      <c r="I146" s="90"/>
      <c r="J146" s="90"/>
      <c r="K146" s="90"/>
      <c r="L146" s="90"/>
      <c r="M146" s="90"/>
      <c r="N146" s="81"/>
    </row>
    <row r="147" spans="2:14">
      <c r="B147" s="80"/>
      <c r="C147" s="90"/>
      <c r="D147" s="90"/>
      <c r="E147" s="90"/>
      <c r="F147" s="92"/>
      <c r="G147" s="92"/>
      <c r="H147" s="92"/>
      <c r="I147" s="90"/>
      <c r="J147" s="90"/>
      <c r="K147" s="90"/>
      <c r="L147" s="90"/>
      <c r="M147" s="90"/>
      <c r="N147" s="81"/>
    </row>
    <row r="148" spans="2:14">
      <c r="B148" s="80"/>
      <c r="F148" s="75"/>
      <c r="G148" s="75"/>
      <c r="H148" s="75"/>
      <c r="N148" s="81"/>
    </row>
    <row r="149" spans="2:14">
      <c r="B149" s="80"/>
      <c r="C149" s="90"/>
      <c r="D149" s="90"/>
      <c r="E149" s="90"/>
      <c r="F149" s="92"/>
      <c r="G149" s="92"/>
      <c r="H149" s="92"/>
      <c r="I149" s="90"/>
      <c r="J149" s="90"/>
      <c r="K149" s="90"/>
      <c r="L149" s="90"/>
      <c r="M149" s="90"/>
      <c r="N149" s="81"/>
    </row>
    <row r="150" spans="2:14">
      <c r="B150" s="80"/>
      <c r="C150" s="90"/>
      <c r="D150" s="93" t="s">
        <v>394</v>
      </c>
      <c r="E150" s="93"/>
      <c r="F150" s="83">
        <v>0</v>
      </c>
      <c r="G150" s="92"/>
      <c r="H150" s="92"/>
      <c r="I150" s="90"/>
      <c r="J150" s="90"/>
      <c r="K150" s="90"/>
      <c r="L150" s="90"/>
      <c r="M150" s="90"/>
      <c r="N150" s="81"/>
    </row>
    <row r="151" spans="2:14">
      <c r="B151" s="80"/>
      <c r="C151" s="90"/>
      <c r="D151" s="93"/>
      <c r="E151" s="93"/>
      <c r="F151" s="92"/>
      <c r="G151" s="92"/>
      <c r="H151" s="92"/>
      <c r="I151" s="90"/>
      <c r="J151" s="90"/>
      <c r="K151" s="90"/>
      <c r="L151" s="90"/>
      <c r="M151" s="90"/>
      <c r="N151" s="81"/>
    </row>
    <row r="152" spans="2:14">
      <c r="B152" s="80"/>
      <c r="C152" s="90"/>
      <c r="D152" s="90"/>
      <c r="E152" s="90"/>
      <c r="F152" s="103" t="s">
        <v>290</v>
      </c>
      <c r="G152" s="103" t="s">
        <v>291</v>
      </c>
      <c r="H152" s="103" t="s">
        <v>533</v>
      </c>
      <c r="I152" s="90"/>
      <c r="J152" s="103" t="s">
        <v>531</v>
      </c>
      <c r="K152" s="103" t="s">
        <v>79</v>
      </c>
      <c r="L152" s="90"/>
      <c r="M152" s="90"/>
      <c r="N152" s="81"/>
    </row>
    <row r="153" spans="2:14">
      <c r="B153" s="80"/>
      <c r="C153" s="90"/>
      <c r="D153" s="90"/>
      <c r="E153" s="90"/>
      <c r="F153" s="92"/>
      <c r="G153" s="92"/>
      <c r="H153" s="92"/>
      <c r="I153" s="90"/>
      <c r="J153" s="90"/>
      <c r="K153" s="90"/>
      <c r="L153" s="90"/>
      <c r="M153" s="90"/>
      <c r="N153" s="81"/>
    </row>
    <row r="154" spans="2:14">
      <c r="B154" s="80"/>
      <c r="C154" s="90"/>
      <c r="D154" s="90" t="s">
        <v>285</v>
      </c>
      <c r="E154" s="90"/>
      <c r="F154" s="84">
        <v>0</v>
      </c>
      <c r="G154" s="84">
        <v>0</v>
      </c>
      <c r="H154" s="101">
        <f>SUM(F154:G154)</f>
        <v>0</v>
      </c>
      <c r="I154" s="90"/>
      <c r="J154" s="114"/>
      <c r="K154" s="83">
        <v>0</v>
      </c>
      <c r="L154" s="92"/>
      <c r="M154" s="90"/>
      <c r="N154" s="81"/>
    </row>
    <row r="155" spans="2:14">
      <c r="B155" s="80"/>
      <c r="C155" s="90"/>
      <c r="D155" s="90" t="s">
        <v>286</v>
      </c>
      <c r="E155" s="90"/>
      <c r="F155" s="84">
        <v>0</v>
      </c>
      <c r="G155" s="84">
        <v>0</v>
      </c>
      <c r="H155" s="101">
        <f>SUM(F155:G155)</f>
        <v>0</v>
      </c>
      <c r="I155" s="90"/>
      <c r="J155" s="114"/>
      <c r="K155" s="83">
        <v>0</v>
      </c>
      <c r="L155" s="92"/>
      <c r="M155" s="90"/>
      <c r="N155" s="81"/>
    </row>
    <row r="156" spans="2:14">
      <c r="B156" s="80"/>
      <c r="C156" s="90"/>
      <c r="D156" s="90" t="s">
        <v>287</v>
      </c>
      <c r="E156" s="90"/>
      <c r="F156" s="84">
        <v>0</v>
      </c>
      <c r="G156" s="84">
        <v>0</v>
      </c>
      <c r="H156" s="101">
        <f>SUM(F156:G156)</f>
        <v>0</v>
      </c>
      <c r="I156" s="90"/>
      <c r="J156" s="114"/>
      <c r="K156" s="83">
        <v>0</v>
      </c>
      <c r="L156" s="92"/>
      <c r="M156" s="90"/>
      <c r="N156" s="81"/>
    </row>
    <row r="157" spans="2:14">
      <c r="B157" s="80"/>
      <c r="C157" s="90"/>
      <c r="D157" s="90" t="s">
        <v>288</v>
      </c>
      <c r="E157" s="90"/>
      <c r="F157" s="84">
        <v>0</v>
      </c>
      <c r="G157" s="84">
        <v>0</v>
      </c>
      <c r="H157" s="101">
        <f>SUM(F157:G157)</f>
        <v>0</v>
      </c>
      <c r="I157" s="90"/>
      <c r="J157" s="114"/>
      <c r="K157" s="83">
        <v>0</v>
      </c>
      <c r="L157" s="92"/>
      <c r="M157" s="90"/>
      <c r="N157" s="81"/>
    </row>
    <row r="158" spans="2:14">
      <c r="B158" s="80"/>
      <c r="C158" s="90"/>
      <c r="D158" s="90" t="s">
        <v>289</v>
      </c>
      <c r="E158" s="90"/>
      <c r="F158" s="84">
        <v>0</v>
      </c>
      <c r="G158" s="84">
        <v>0</v>
      </c>
      <c r="H158" s="101">
        <f>SUM(F158:G158)</f>
        <v>0</v>
      </c>
      <c r="I158" s="90"/>
      <c r="J158" s="114"/>
      <c r="K158" s="83">
        <v>0</v>
      </c>
      <c r="L158" s="92"/>
      <c r="M158" s="90"/>
      <c r="N158" s="81"/>
    </row>
    <row r="159" spans="2:14">
      <c r="B159" s="80"/>
      <c r="C159" s="90"/>
      <c r="D159" s="137" t="s">
        <v>295</v>
      </c>
      <c r="E159" s="90"/>
      <c r="F159" s="92"/>
      <c r="G159" s="92"/>
      <c r="H159" s="107">
        <f>SUM(H154:H158)</f>
        <v>0</v>
      </c>
      <c r="I159" s="90"/>
      <c r="J159" s="90"/>
      <c r="K159" s="107">
        <f>SUM(K154:K158)</f>
        <v>0</v>
      </c>
      <c r="L159" s="107">
        <f>+F150*K159</f>
        <v>0</v>
      </c>
      <c r="M159" s="90"/>
      <c r="N159" s="81"/>
    </row>
    <row r="160" spans="2:14">
      <c r="B160" s="80"/>
      <c r="C160" s="90"/>
      <c r="D160" s="137" t="s">
        <v>337</v>
      </c>
      <c r="E160" s="90"/>
      <c r="F160" s="92"/>
      <c r="G160" s="92"/>
      <c r="H160" s="107">
        <f>ROUND(H159*F150,0)</f>
        <v>0</v>
      </c>
      <c r="I160" s="90"/>
      <c r="J160" s="90"/>
      <c r="K160" s="90"/>
      <c r="L160" s="90"/>
      <c r="M160" s="90"/>
      <c r="N160" s="81"/>
    </row>
    <row r="161" spans="2:14">
      <c r="B161" s="80"/>
      <c r="C161" s="90"/>
      <c r="D161" s="90"/>
      <c r="E161" s="90"/>
      <c r="F161" s="90"/>
      <c r="G161" s="90"/>
      <c r="H161" s="90"/>
      <c r="I161" s="90"/>
      <c r="J161" s="90"/>
      <c r="K161" s="90"/>
      <c r="L161" s="90"/>
      <c r="M161" s="90"/>
      <c r="N161" s="81"/>
    </row>
    <row r="162" spans="2:14">
      <c r="B162" s="80"/>
      <c r="N162" s="81"/>
    </row>
    <row r="163" spans="2:14">
      <c r="B163" s="80"/>
      <c r="C163" s="90"/>
      <c r="D163" s="90"/>
      <c r="E163" s="90"/>
      <c r="F163" s="90"/>
      <c r="G163" s="90"/>
      <c r="H163" s="90"/>
      <c r="I163" s="90"/>
      <c r="J163" s="90"/>
      <c r="K163" s="90"/>
      <c r="L163" s="90"/>
      <c r="M163" s="90"/>
      <c r="N163" s="81"/>
    </row>
    <row r="164" spans="2:14">
      <c r="B164" s="80"/>
      <c r="C164" s="90"/>
      <c r="D164" s="90" t="s">
        <v>338</v>
      </c>
      <c r="E164" s="90"/>
      <c r="F164" s="90"/>
      <c r="G164" s="90"/>
      <c r="H164" s="139">
        <f>+H118+H132+H146+H160</f>
        <v>930</v>
      </c>
      <c r="I164" s="90"/>
      <c r="J164" s="90"/>
      <c r="K164" s="90"/>
      <c r="L164" s="90"/>
      <c r="M164" s="90"/>
      <c r="N164" s="81"/>
    </row>
    <row r="165" spans="2:14">
      <c r="B165" s="80"/>
      <c r="C165" s="90"/>
      <c r="D165" s="90" t="s">
        <v>339</v>
      </c>
      <c r="E165" s="90"/>
      <c r="F165" s="90"/>
      <c r="G165" s="90"/>
      <c r="H165" s="139">
        <f>ROUND((+L117+L131+L145+L159)/0.5,0)*0.5</f>
        <v>0</v>
      </c>
      <c r="I165" s="97"/>
      <c r="J165" s="122" t="s">
        <v>80</v>
      </c>
      <c r="K165" s="122"/>
      <c r="L165" s="152">
        <f>ROUND((+L117+L131+L145+L159)/0.5,0)*0.5</f>
        <v>0</v>
      </c>
      <c r="M165" s="90"/>
      <c r="N165" s="81"/>
    </row>
    <row r="166" spans="2:14">
      <c r="B166" s="80"/>
      <c r="C166" s="90"/>
      <c r="D166" s="90" t="s">
        <v>311</v>
      </c>
      <c r="E166" s="90"/>
      <c r="F166" s="90"/>
      <c r="G166" s="90"/>
      <c r="H166" s="145">
        <f>SUM(H164:H165)</f>
        <v>930</v>
      </c>
      <c r="I166" s="90"/>
      <c r="J166" s="90"/>
      <c r="K166" s="90"/>
      <c r="L166" s="90"/>
      <c r="M166" s="90"/>
      <c r="N166" s="81"/>
    </row>
    <row r="167" spans="2:14">
      <c r="B167" s="80"/>
      <c r="C167" s="90"/>
      <c r="D167" s="90"/>
      <c r="E167" s="90"/>
      <c r="F167" s="90"/>
      <c r="G167" s="90"/>
      <c r="H167" s="90"/>
      <c r="I167" s="90"/>
      <c r="J167" s="121"/>
      <c r="K167" s="90"/>
      <c r="L167" s="90"/>
      <c r="M167" s="90"/>
      <c r="N167" s="81"/>
    </row>
    <row r="168" spans="2:14">
      <c r="B168" s="80"/>
      <c r="J168" s="111"/>
      <c r="N168" s="81"/>
    </row>
    <row r="169" spans="2:14">
      <c r="B169" s="80"/>
      <c r="J169" s="111"/>
      <c r="N169" s="81"/>
    </row>
    <row r="170" spans="2:14">
      <c r="B170" s="80"/>
      <c r="C170" s="90"/>
      <c r="D170" s="90"/>
      <c r="E170" s="90"/>
      <c r="F170" s="90"/>
      <c r="G170" s="90"/>
      <c r="H170" s="90"/>
      <c r="I170" s="90"/>
      <c r="J170" s="121"/>
      <c r="K170" s="90"/>
      <c r="L170" s="90"/>
      <c r="M170" s="90"/>
      <c r="N170" s="81"/>
    </row>
    <row r="171" spans="2:14">
      <c r="B171" s="80"/>
      <c r="C171" s="90"/>
      <c r="D171" s="93" t="s">
        <v>299</v>
      </c>
      <c r="E171" s="90"/>
      <c r="F171" s="90"/>
      <c r="G171" s="90"/>
      <c r="H171" s="90"/>
      <c r="I171" s="90"/>
      <c r="J171" s="90"/>
      <c r="K171" s="90"/>
      <c r="L171" s="90"/>
      <c r="M171" s="90"/>
      <c r="N171" s="81"/>
    </row>
    <row r="172" spans="2:14">
      <c r="B172" s="80"/>
      <c r="C172" s="90"/>
      <c r="D172" s="93"/>
      <c r="E172" s="90"/>
      <c r="F172" s="90"/>
      <c r="G172" s="90"/>
      <c r="H172" s="90"/>
      <c r="I172" s="90"/>
      <c r="J172" s="90"/>
      <c r="K172" s="90"/>
      <c r="L172" s="90"/>
      <c r="M172" s="90"/>
      <c r="N172" s="81"/>
    </row>
    <row r="173" spans="2:14">
      <c r="B173" s="146"/>
      <c r="C173" s="132"/>
      <c r="D173" s="132" t="s">
        <v>292</v>
      </c>
      <c r="E173" s="132"/>
      <c r="F173" s="132" t="s">
        <v>304</v>
      </c>
      <c r="G173" s="132"/>
      <c r="H173" s="132" t="s">
        <v>300</v>
      </c>
      <c r="I173" s="132"/>
      <c r="J173" s="132"/>
      <c r="K173" s="132"/>
      <c r="L173" s="132"/>
      <c r="M173" s="132"/>
      <c r="N173" s="147"/>
    </row>
    <row r="174" spans="2:14">
      <c r="B174" s="80"/>
      <c r="C174" s="90"/>
      <c r="D174" s="90"/>
      <c r="E174" s="90"/>
      <c r="F174" s="90"/>
      <c r="G174" s="90"/>
      <c r="H174" s="90"/>
      <c r="I174" s="90"/>
      <c r="J174" s="90"/>
      <c r="K174" s="90"/>
      <c r="L174" s="90"/>
      <c r="M174" s="90"/>
      <c r="N174" s="81"/>
    </row>
    <row r="175" spans="2:14">
      <c r="B175" s="80"/>
      <c r="C175" s="137"/>
      <c r="D175" s="94" t="s">
        <v>303</v>
      </c>
      <c r="E175" s="90"/>
      <c r="F175" s="144">
        <v>0.35</v>
      </c>
      <c r="G175" s="90"/>
      <c r="H175" s="264">
        <f>ROUND(+H164*F175,0)</f>
        <v>326</v>
      </c>
      <c r="I175" s="90"/>
      <c r="J175" s="90"/>
      <c r="K175" s="90"/>
      <c r="L175" s="90"/>
      <c r="M175" s="90"/>
      <c r="N175" s="81"/>
    </row>
    <row r="176" spans="2:14">
      <c r="B176" s="80"/>
      <c r="C176" s="137"/>
      <c r="D176" s="112" t="s">
        <v>306</v>
      </c>
      <c r="E176" s="90"/>
      <c r="F176" s="94"/>
      <c r="G176" s="90"/>
      <c r="H176" s="83">
        <v>40</v>
      </c>
      <c r="I176" s="90"/>
      <c r="J176" s="90"/>
      <c r="K176" s="90"/>
      <c r="L176" s="90"/>
      <c r="M176" s="90"/>
      <c r="N176" s="81"/>
    </row>
    <row r="177" spans="2:37">
      <c r="B177" s="80"/>
      <c r="C177" s="137"/>
      <c r="D177" s="112" t="s">
        <v>593</v>
      </c>
      <c r="E177" s="90"/>
      <c r="F177" s="94"/>
      <c r="G177" s="90"/>
      <c r="H177" s="83">
        <v>70</v>
      </c>
      <c r="I177" s="90"/>
      <c r="J177" s="90"/>
      <c r="K177" s="90"/>
      <c r="L177" s="90"/>
      <c r="M177" s="90"/>
      <c r="N177" s="81"/>
      <c r="O177" s="108"/>
      <c r="P177" s="108"/>
      <c r="Q177" s="108"/>
    </row>
    <row r="178" spans="2:37">
      <c r="B178" s="80"/>
      <c r="C178" s="137"/>
      <c r="D178" s="112" t="s">
        <v>592</v>
      </c>
      <c r="E178" s="90"/>
      <c r="F178" s="94"/>
      <c r="G178" s="90"/>
      <c r="H178" s="83">
        <v>120</v>
      </c>
      <c r="I178" s="90"/>
      <c r="J178" s="90"/>
      <c r="K178" s="90"/>
      <c r="L178" s="90"/>
      <c r="M178" s="90"/>
      <c r="N178" s="81"/>
    </row>
    <row r="179" spans="2:37">
      <c r="B179" s="80"/>
      <c r="C179" s="137"/>
      <c r="D179" s="114"/>
      <c r="E179" s="94"/>
      <c r="F179" s="94"/>
      <c r="G179" s="90"/>
      <c r="H179" s="83">
        <v>0</v>
      </c>
      <c r="I179" s="90"/>
      <c r="J179" s="90"/>
      <c r="K179" s="90"/>
      <c r="L179" s="90"/>
      <c r="M179" s="90"/>
      <c r="N179" s="81"/>
    </row>
    <row r="180" spans="2:37">
      <c r="B180" s="80"/>
      <c r="C180" s="137"/>
      <c r="D180" s="114"/>
      <c r="E180" s="94"/>
      <c r="F180" s="94"/>
      <c r="G180" s="90"/>
      <c r="H180" s="83">
        <v>0</v>
      </c>
      <c r="I180" s="90"/>
      <c r="J180" s="90"/>
      <c r="K180" s="90"/>
      <c r="L180" s="90"/>
      <c r="M180" s="90"/>
      <c r="N180" s="81"/>
    </row>
    <row r="181" spans="2:37">
      <c r="B181" s="80"/>
      <c r="C181" s="137"/>
      <c r="D181" s="114"/>
      <c r="E181" s="94"/>
      <c r="F181" s="94"/>
      <c r="G181" s="90"/>
      <c r="H181" s="83">
        <v>0</v>
      </c>
      <c r="I181" s="90"/>
      <c r="J181" s="90"/>
      <c r="K181" s="90"/>
      <c r="L181" s="90"/>
      <c r="M181" s="90"/>
      <c r="N181" s="81"/>
    </row>
    <row r="182" spans="2:37" s="108" customFormat="1">
      <c r="B182" s="80"/>
      <c r="C182" s="137"/>
      <c r="D182" s="114"/>
      <c r="E182" s="94"/>
      <c r="F182" s="94"/>
      <c r="G182" s="90"/>
      <c r="H182" s="83">
        <v>0</v>
      </c>
      <c r="I182" s="90" t="s">
        <v>324</v>
      </c>
      <c r="J182" s="90"/>
      <c r="K182" s="90"/>
      <c r="L182" s="90"/>
      <c r="M182" s="90"/>
      <c r="N182" s="81"/>
      <c r="O182" s="71"/>
      <c r="P182" s="71"/>
      <c r="Q182" s="71"/>
      <c r="AD182" s="71"/>
      <c r="AE182" s="71"/>
      <c r="AF182" s="71"/>
      <c r="AG182" s="71"/>
      <c r="AH182" s="71"/>
      <c r="AI182" s="71"/>
      <c r="AJ182" s="71"/>
      <c r="AK182" s="71"/>
    </row>
    <row r="183" spans="2:37">
      <c r="B183" s="80"/>
      <c r="C183" s="137"/>
      <c r="D183" s="114"/>
      <c r="E183" s="94"/>
      <c r="F183" s="94"/>
      <c r="G183" s="90"/>
      <c r="H183" s="83">
        <v>0</v>
      </c>
      <c r="I183" s="90"/>
      <c r="J183" s="90"/>
      <c r="K183" s="90"/>
      <c r="L183" s="90"/>
      <c r="M183" s="90"/>
      <c r="N183" s="81"/>
    </row>
    <row r="184" spans="2:37">
      <c r="B184" s="80"/>
      <c r="C184" s="137"/>
      <c r="D184" s="114"/>
      <c r="E184" s="94"/>
      <c r="F184" s="94"/>
      <c r="G184" s="90"/>
      <c r="H184" s="83">
        <v>0</v>
      </c>
      <c r="I184" s="90"/>
      <c r="J184" s="90"/>
      <c r="K184" s="90"/>
      <c r="L184" s="90"/>
      <c r="M184" s="90"/>
      <c r="N184" s="81"/>
    </row>
    <row r="185" spans="2:37">
      <c r="B185" s="80"/>
      <c r="C185" s="137"/>
      <c r="D185" s="114"/>
      <c r="E185" s="94"/>
      <c r="F185" s="94"/>
      <c r="G185" s="90"/>
      <c r="H185" s="83">
        <v>0</v>
      </c>
      <c r="I185" s="90"/>
      <c r="J185" s="90"/>
      <c r="K185" s="90"/>
      <c r="L185" s="90"/>
      <c r="M185" s="90"/>
      <c r="N185" s="81"/>
    </row>
    <row r="186" spans="2:37">
      <c r="B186" s="80"/>
      <c r="C186" s="90"/>
      <c r="D186" s="93" t="s">
        <v>301</v>
      </c>
      <c r="E186" s="90"/>
      <c r="F186" s="90"/>
      <c r="G186" s="90"/>
      <c r="H186" s="145">
        <f>SUM(H175:H185)</f>
        <v>556</v>
      </c>
      <c r="I186" s="90"/>
      <c r="J186" s="90"/>
      <c r="K186" s="90"/>
      <c r="L186" s="90"/>
      <c r="M186" s="90"/>
      <c r="N186" s="81"/>
    </row>
    <row r="187" spans="2:37">
      <c r="B187" s="80"/>
      <c r="C187" s="90"/>
      <c r="D187" s="90" t="s">
        <v>557</v>
      </c>
      <c r="E187" s="90"/>
      <c r="F187" s="90"/>
      <c r="G187" s="150"/>
      <c r="H187" s="139">
        <f>+F96-H165</f>
        <v>0</v>
      </c>
      <c r="I187" s="122"/>
      <c r="J187" s="90"/>
      <c r="K187" s="90"/>
      <c r="L187" s="90"/>
      <c r="M187" s="90"/>
      <c r="N187" s="81"/>
    </row>
    <row r="188" spans="2:37">
      <c r="B188" s="80"/>
      <c r="C188" s="90"/>
      <c r="D188" s="90"/>
      <c r="E188" s="90"/>
      <c r="F188" s="90"/>
      <c r="G188" s="90"/>
      <c r="H188" s="92"/>
      <c r="I188" s="90"/>
      <c r="J188" s="90"/>
      <c r="K188" s="90"/>
      <c r="L188" s="90"/>
      <c r="M188" s="90"/>
      <c r="N188" s="81"/>
    </row>
    <row r="189" spans="2:37">
      <c r="B189" s="80"/>
      <c r="C189" s="90"/>
      <c r="D189" s="90" t="s">
        <v>293</v>
      </c>
      <c r="E189" s="90"/>
      <c r="F189" s="90"/>
      <c r="G189" s="90"/>
      <c r="H189" s="107">
        <f>+H100</f>
        <v>166</v>
      </c>
      <c r="I189" s="90"/>
      <c r="J189" s="90"/>
      <c r="K189" s="90"/>
      <c r="L189" s="90"/>
      <c r="M189" s="90"/>
      <c r="N189" s="81"/>
    </row>
    <row r="190" spans="2:37">
      <c r="B190" s="80"/>
      <c r="C190" s="90"/>
      <c r="D190" s="90"/>
      <c r="E190" s="90"/>
      <c r="F190" s="90"/>
      <c r="G190" s="90"/>
      <c r="H190" s="92"/>
      <c r="I190" s="90"/>
      <c r="J190" s="90"/>
      <c r="K190" s="90"/>
      <c r="L190" s="90"/>
      <c r="M190" s="90"/>
      <c r="N190" s="81"/>
    </row>
    <row r="191" spans="2:37">
      <c r="B191" s="80"/>
      <c r="C191" s="90"/>
      <c r="D191" s="93" t="s">
        <v>294</v>
      </c>
      <c r="E191" s="90"/>
      <c r="F191" s="90"/>
      <c r="G191" s="90"/>
      <c r="H191" s="145">
        <f>+H166+H186+H187+H189</f>
        <v>1652</v>
      </c>
      <c r="I191" s="90"/>
      <c r="J191" s="90"/>
      <c r="K191" s="90"/>
      <c r="L191" s="90"/>
      <c r="M191" s="90"/>
      <c r="N191" s="81"/>
    </row>
    <row r="192" spans="2:37">
      <c r="B192" s="80"/>
      <c r="C192" s="90"/>
      <c r="D192" s="122" t="s">
        <v>348</v>
      </c>
      <c r="E192" s="90"/>
      <c r="F192" s="122"/>
      <c r="G192" s="122"/>
      <c r="H192" s="149">
        <f>+V80*H84</f>
        <v>1659</v>
      </c>
      <c r="I192" s="90"/>
      <c r="J192" s="90"/>
      <c r="K192" s="90"/>
      <c r="L192" s="90"/>
      <c r="M192" s="90"/>
      <c r="N192" s="81"/>
    </row>
    <row r="193" spans="2:17">
      <c r="B193" s="80"/>
      <c r="C193" s="90"/>
      <c r="D193" s="90"/>
      <c r="E193" s="122"/>
      <c r="F193" s="122"/>
      <c r="G193" s="122" t="s">
        <v>351</v>
      </c>
      <c r="H193" s="149">
        <f>+H191-H192</f>
        <v>-7</v>
      </c>
      <c r="I193" s="90"/>
      <c r="J193" s="90"/>
      <c r="K193" s="90"/>
      <c r="L193" s="90"/>
      <c r="M193" s="90"/>
      <c r="N193" s="81"/>
    </row>
    <row r="194" spans="2:17">
      <c r="B194" s="80"/>
      <c r="C194" s="90"/>
      <c r="D194" s="90"/>
      <c r="E194" s="90"/>
      <c r="F194" s="90"/>
      <c r="G194" s="90"/>
      <c r="H194" s="90"/>
      <c r="I194" s="90"/>
      <c r="J194" s="90"/>
      <c r="K194" s="90"/>
      <c r="L194" s="90"/>
      <c r="M194" s="90"/>
      <c r="N194" s="81"/>
    </row>
    <row r="195" spans="2:17">
      <c r="B195" s="80"/>
      <c r="N195" s="81"/>
    </row>
    <row r="196" spans="2:17" ht="13.5" thickBot="1">
      <c r="B196" s="86"/>
      <c r="C196" s="87"/>
      <c r="D196" s="87"/>
      <c r="E196" s="87"/>
      <c r="F196" s="87"/>
      <c r="G196" s="87"/>
      <c r="H196" s="87"/>
      <c r="I196" s="87"/>
      <c r="J196" s="87"/>
      <c r="K196" s="87"/>
      <c r="L196" s="87"/>
      <c r="M196" s="87"/>
      <c r="N196" s="89"/>
    </row>
    <row r="198" spans="2:17">
      <c r="B198" s="243"/>
      <c r="C198" s="243"/>
      <c r="D198" s="243"/>
      <c r="E198" s="243"/>
      <c r="F198" s="243"/>
      <c r="G198" s="243"/>
      <c r="H198" s="243"/>
      <c r="I198" s="243"/>
      <c r="J198" s="243"/>
      <c r="K198" s="243"/>
      <c r="L198" s="243"/>
      <c r="M198" s="243"/>
      <c r="N198" s="243"/>
    </row>
    <row r="199" spans="2:17">
      <c r="B199" s="261"/>
      <c r="C199" s="261"/>
      <c r="D199" s="261"/>
      <c r="E199" s="261"/>
      <c r="F199" s="261"/>
      <c r="G199" s="261"/>
      <c r="H199" s="261"/>
      <c r="I199" s="261"/>
      <c r="J199" s="261"/>
      <c r="K199" s="261"/>
      <c r="L199" s="261"/>
      <c r="M199" s="261"/>
      <c r="N199" s="261"/>
    </row>
    <row r="200" spans="2:17">
      <c r="B200" s="261"/>
      <c r="C200" s="261"/>
      <c r="D200" s="261"/>
      <c r="E200" s="261"/>
      <c r="F200" s="261"/>
      <c r="G200" s="261"/>
      <c r="H200" s="261"/>
      <c r="I200" s="261"/>
      <c r="J200" s="261"/>
      <c r="K200" s="261"/>
      <c r="L200" s="261"/>
      <c r="M200" s="261"/>
      <c r="N200" s="261"/>
    </row>
    <row r="201" spans="2:17">
      <c r="B201" s="261"/>
      <c r="C201" s="261"/>
      <c r="D201" s="261"/>
      <c r="E201" s="261"/>
      <c r="F201" s="261"/>
      <c r="G201" s="261"/>
      <c r="H201" s="261"/>
      <c r="I201" s="261"/>
      <c r="J201" s="261"/>
      <c r="K201" s="261"/>
      <c r="L201" s="261"/>
      <c r="M201" s="261"/>
      <c r="N201" s="261"/>
    </row>
    <row r="202" spans="2:17">
      <c r="B202" s="261"/>
      <c r="C202" s="261"/>
      <c r="D202" s="261"/>
      <c r="E202" s="261"/>
      <c r="F202" s="261"/>
      <c r="G202" s="261"/>
      <c r="H202" s="261"/>
      <c r="I202" s="261"/>
      <c r="J202" s="261"/>
      <c r="K202" s="261"/>
      <c r="L202" s="261"/>
      <c r="M202" s="261"/>
      <c r="N202" s="261"/>
      <c r="O202" s="243"/>
      <c r="P202" s="243"/>
      <c r="Q202" s="243"/>
    </row>
    <row r="203" spans="2:17">
      <c r="B203" s="261"/>
      <c r="C203" s="261"/>
      <c r="D203" s="261"/>
      <c r="E203" s="261"/>
      <c r="F203" s="261"/>
      <c r="G203" s="261"/>
      <c r="H203" s="261"/>
      <c r="I203" s="261"/>
      <c r="J203" s="261"/>
      <c r="K203" s="261"/>
      <c r="L203" s="261"/>
      <c r="M203" s="261"/>
      <c r="N203" s="261"/>
      <c r="O203" s="261"/>
      <c r="P203" s="261"/>
      <c r="Q203" s="261"/>
    </row>
    <row r="204" spans="2:17">
      <c r="B204" s="261"/>
      <c r="C204" s="261"/>
      <c r="D204" s="261"/>
      <c r="E204" s="261"/>
      <c r="F204" s="261"/>
      <c r="G204" s="261"/>
      <c r="H204" s="261"/>
      <c r="I204" s="261"/>
      <c r="J204" s="261"/>
      <c r="K204" s="261"/>
      <c r="L204" s="261"/>
      <c r="M204" s="261"/>
      <c r="N204" s="261"/>
      <c r="O204" s="261"/>
      <c r="P204" s="261"/>
      <c r="Q204" s="261"/>
    </row>
    <row r="205" spans="2:17">
      <c r="B205" s="261"/>
      <c r="C205" s="261"/>
      <c r="D205" s="261"/>
      <c r="E205" s="261"/>
      <c r="F205" s="261"/>
      <c r="G205" s="261"/>
      <c r="H205" s="261"/>
      <c r="I205" s="261"/>
      <c r="J205" s="261"/>
      <c r="K205" s="261"/>
      <c r="L205" s="261"/>
      <c r="M205" s="261"/>
      <c r="N205" s="261"/>
      <c r="O205" s="261"/>
      <c r="P205" s="261"/>
      <c r="Q205" s="261"/>
    </row>
    <row r="206" spans="2:17">
      <c r="B206" s="261"/>
      <c r="C206" s="261"/>
      <c r="D206" s="261"/>
      <c r="E206" s="261"/>
      <c r="F206" s="261"/>
      <c r="G206" s="261"/>
      <c r="H206" s="261"/>
      <c r="I206" s="261"/>
      <c r="J206" s="261"/>
      <c r="K206" s="261"/>
      <c r="L206" s="261"/>
      <c r="M206" s="261"/>
      <c r="N206" s="261"/>
      <c r="O206" s="261"/>
      <c r="P206" s="261"/>
      <c r="Q206" s="261"/>
    </row>
    <row r="207" spans="2:17" s="243" customFormat="1">
      <c r="B207" s="261"/>
      <c r="C207" s="261"/>
      <c r="D207" s="261"/>
      <c r="E207" s="261"/>
      <c r="F207" s="261"/>
      <c r="G207" s="261"/>
      <c r="H207" s="261"/>
      <c r="I207" s="261"/>
      <c r="J207" s="261"/>
      <c r="K207" s="261"/>
      <c r="L207" s="261"/>
      <c r="M207" s="261"/>
      <c r="N207" s="261"/>
      <c r="O207" s="261"/>
      <c r="P207" s="261"/>
      <c r="Q207" s="261"/>
    </row>
    <row r="208" spans="2:17" s="261" customFormat="1"/>
    <row r="209" s="261" customFormat="1"/>
    <row r="210" s="261" customFormat="1"/>
    <row r="211" s="261" customFormat="1"/>
    <row r="212" s="261" customFormat="1"/>
    <row r="213" s="261" customFormat="1"/>
    <row r="214" s="261" customFormat="1"/>
    <row r="215" s="261" customFormat="1"/>
    <row r="216" s="261" customFormat="1"/>
    <row r="217" s="261" customFormat="1"/>
    <row r="218" s="261" customFormat="1"/>
    <row r="219" s="261" customFormat="1"/>
    <row r="220" s="261" customFormat="1"/>
    <row r="221" s="261" customFormat="1"/>
    <row r="222" s="261" customFormat="1"/>
    <row r="223" s="261" customFormat="1"/>
    <row r="224" s="261" customFormat="1"/>
    <row r="225" s="261" customFormat="1"/>
    <row r="226" s="261" customFormat="1"/>
    <row r="227" s="261" customFormat="1"/>
    <row r="228" s="261" customFormat="1"/>
    <row r="229" s="261" customFormat="1"/>
    <row r="230" s="261" customFormat="1"/>
    <row r="231" s="261" customFormat="1"/>
    <row r="232" s="261" customFormat="1"/>
    <row r="233" s="261" customFormat="1"/>
    <row r="234" s="261" customFormat="1"/>
    <row r="235" s="261" customFormat="1"/>
    <row r="236" s="261" customFormat="1"/>
    <row r="237" s="261" customFormat="1"/>
    <row r="238" s="261" customFormat="1"/>
    <row r="239" s="261" customFormat="1"/>
    <row r="240" s="261" customFormat="1"/>
    <row r="241" s="261" customFormat="1"/>
    <row r="242" s="261" customFormat="1"/>
    <row r="243" s="261" customFormat="1"/>
    <row r="244" s="261" customFormat="1"/>
    <row r="245" s="261" customFormat="1"/>
    <row r="246" s="261" customFormat="1"/>
    <row r="247" s="261" customFormat="1"/>
    <row r="248" s="261" customFormat="1"/>
    <row r="249" s="261" customFormat="1"/>
    <row r="250" s="261" customFormat="1"/>
    <row r="251" s="261" customFormat="1"/>
    <row r="252" s="261" customFormat="1"/>
    <row r="253" s="261" customFormat="1"/>
    <row r="254" s="261" customFormat="1"/>
    <row r="255" s="261" customFormat="1"/>
    <row r="256" s="261" customFormat="1"/>
    <row r="257" s="261" customFormat="1"/>
    <row r="258" s="261" customFormat="1"/>
    <row r="259" s="261" customFormat="1"/>
    <row r="260" s="261" customFormat="1"/>
    <row r="261" s="261" customFormat="1"/>
    <row r="262" s="261" customFormat="1"/>
    <row r="263" s="261" customFormat="1"/>
    <row r="264" s="261" customFormat="1"/>
    <row r="265" s="261" customFormat="1"/>
    <row r="266" s="261" customFormat="1"/>
    <row r="267" s="261" customFormat="1"/>
    <row r="268" s="261" customFormat="1"/>
    <row r="269" s="261" customFormat="1"/>
    <row r="270" s="261" customFormat="1"/>
    <row r="271" s="261" customFormat="1"/>
    <row r="272" s="261" customFormat="1"/>
    <row r="273" spans="2:14" s="261" customFormat="1"/>
    <row r="274" spans="2:14" s="261" customFormat="1"/>
    <row r="275" spans="2:14" s="261" customFormat="1"/>
    <row r="276" spans="2:14" s="261" customFormat="1"/>
    <row r="277" spans="2:14" s="261" customFormat="1"/>
    <row r="278" spans="2:14" s="261" customFormat="1"/>
    <row r="279" spans="2:14" s="261" customFormat="1"/>
    <row r="280" spans="2:14" s="261" customFormat="1"/>
    <row r="281" spans="2:14" s="261" customFormat="1"/>
    <row r="282" spans="2:14" s="261" customFormat="1"/>
    <row r="283" spans="2:14" s="261" customFormat="1"/>
    <row r="284" spans="2:14" s="261" customFormat="1"/>
    <row r="285" spans="2:14" s="261" customFormat="1"/>
    <row r="286" spans="2:14" s="261" customFormat="1"/>
    <row r="287" spans="2:14" s="261" customFormat="1"/>
    <row r="288" spans="2:14" s="261" customFormat="1">
      <c r="B288" s="243"/>
      <c r="C288" s="243"/>
      <c r="D288" s="243"/>
      <c r="E288" s="243"/>
      <c r="F288" s="243"/>
      <c r="G288" s="243"/>
      <c r="H288" s="243"/>
      <c r="I288" s="243"/>
      <c r="J288" s="243"/>
      <c r="K288" s="243"/>
      <c r="L288" s="243"/>
      <c r="M288" s="243"/>
      <c r="N288" s="243"/>
    </row>
    <row r="289" spans="2:17" s="261" customFormat="1">
      <c r="B289" s="71"/>
      <c r="C289" s="71"/>
      <c r="D289" s="71"/>
      <c r="E289" s="71"/>
      <c r="F289" s="71"/>
      <c r="G289" s="71"/>
      <c r="H289" s="71"/>
      <c r="I289" s="71"/>
      <c r="J289" s="71"/>
      <c r="K289" s="71"/>
      <c r="L289" s="71"/>
      <c r="M289" s="71"/>
      <c r="N289" s="71"/>
    </row>
    <row r="290" spans="2:17" s="261" customFormat="1">
      <c r="B290" s="71"/>
      <c r="C290" s="71"/>
      <c r="D290" s="71"/>
      <c r="E290" s="71"/>
      <c r="F290" s="71"/>
      <c r="G290" s="71"/>
      <c r="H290" s="71"/>
      <c r="I290" s="71"/>
      <c r="J290" s="71"/>
      <c r="K290" s="71"/>
      <c r="L290" s="71"/>
      <c r="M290" s="71"/>
      <c r="N290" s="71"/>
    </row>
    <row r="291" spans="2:17" s="261" customFormat="1">
      <c r="B291" s="71"/>
      <c r="C291" s="71"/>
      <c r="D291" s="71"/>
      <c r="E291" s="71"/>
      <c r="F291" s="71"/>
      <c r="G291" s="71"/>
      <c r="H291" s="71"/>
      <c r="I291" s="71"/>
      <c r="J291" s="71"/>
      <c r="K291" s="71"/>
      <c r="L291" s="71"/>
      <c r="M291" s="71"/>
      <c r="N291" s="71"/>
    </row>
    <row r="292" spans="2:17" s="261" customFormat="1">
      <c r="B292" s="71"/>
      <c r="C292" s="71"/>
      <c r="D292" s="71"/>
      <c r="E292" s="71"/>
      <c r="F292" s="71"/>
      <c r="G292" s="71"/>
      <c r="H292" s="71"/>
      <c r="I292" s="71"/>
      <c r="J292" s="71"/>
      <c r="K292" s="71"/>
      <c r="L292" s="71"/>
      <c r="M292" s="71"/>
      <c r="N292" s="71"/>
      <c r="O292" s="243"/>
      <c r="P292" s="243"/>
      <c r="Q292" s="243"/>
    </row>
    <row r="293" spans="2:17" s="261" customFormat="1">
      <c r="B293" s="71"/>
      <c r="C293" s="71"/>
      <c r="D293" s="71"/>
      <c r="E293" s="71"/>
      <c r="F293" s="71"/>
      <c r="G293" s="71"/>
      <c r="H293" s="71"/>
      <c r="I293" s="71"/>
      <c r="J293" s="71"/>
      <c r="K293" s="71"/>
      <c r="L293" s="71"/>
      <c r="M293" s="71"/>
      <c r="N293" s="71"/>
      <c r="O293" s="71"/>
      <c r="P293" s="71"/>
      <c r="Q293" s="71"/>
    </row>
    <row r="294" spans="2:17" s="261" customFormat="1">
      <c r="B294" s="71"/>
      <c r="C294" s="71"/>
      <c r="D294" s="71"/>
      <c r="E294" s="71"/>
      <c r="F294" s="71"/>
      <c r="G294" s="71"/>
      <c r="H294" s="71"/>
      <c r="I294" s="71"/>
      <c r="J294" s="71"/>
      <c r="K294" s="71"/>
      <c r="L294" s="71"/>
      <c r="M294" s="71"/>
      <c r="N294" s="71"/>
      <c r="O294" s="71"/>
      <c r="P294" s="71"/>
      <c r="Q294" s="71"/>
    </row>
    <row r="295" spans="2:17" s="261" customFormat="1">
      <c r="B295" s="71"/>
      <c r="C295" s="71"/>
      <c r="D295" s="71"/>
      <c r="E295" s="71"/>
      <c r="F295" s="71"/>
      <c r="G295" s="71"/>
      <c r="H295" s="71"/>
      <c r="I295" s="71"/>
      <c r="J295" s="71"/>
      <c r="K295" s="71"/>
      <c r="L295" s="71"/>
      <c r="M295" s="71"/>
      <c r="N295" s="71"/>
      <c r="O295" s="71"/>
      <c r="P295" s="71"/>
      <c r="Q295" s="71"/>
    </row>
    <row r="296" spans="2:17" s="261" customFormat="1">
      <c r="B296" s="71"/>
      <c r="C296" s="71"/>
      <c r="D296" s="71"/>
      <c r="E296" s="71"/>
      <c r="F296" s="71"/>
      <c r="G296" s="71"/>
      <c r="H296" s="71"/>
      <c r="I296" s="71"/>
      <c r="J296" s="71"/>
      <c r="K296" s="71"/>
      <c r="L296" s="71"/>
      <c r="M296" s="71"/>
      <c r="N296" s="71"/>
      <c r="O296" s="71"/>
      <c r="P296" s="71"/>
      <c r="Q296" s="71"/>
    </row>
    <row r="297" spans="2:17" s="243" customFormat="1">
      <c r="B297" s="71"/>
      <c r="C297" s="71"/>
      <c r="D297" s="71"/>
      <c r="E297" s="71"/>
      <c r="F297" s="71"/>
      <c r="G297" s="71"/>
      <c r="H297" s="71"/>
      <c r="I297" s="71"/>
      <c r="J297" s="71"/>
      <c r="K297" s="71"/>
      <c r="L297" s="71"/>
      <c r="M297" s="71"/>
      <c r="N297" s="71"/>
      <c r="O297" s="71"/>
      <c r="P297" s="71"/>
      <c r="Q297" s="71"/>
    </row>
  </sheetData>
  <sheetProtection password="DE55" sheet="1" objects="1" scenarios="1"/>
  <phoneticPr fontId="0" type="noConversion"/>
  <dataValidations count="3">
    <dataValidation type="decimal" allowBlank="1" showInputMessage="1" showErrorMessage="1" error="De door u ingevoerde waarde aan PABO uren is hoger dan 50% van de betrekkingsomvang (Bijlage XI, artikel 1, lid 7) " sqref="F96">
      <formula1>0</formula1>
      <formula2>Y79</formula2>
    </dataValidation>
    <dataValidation type="list" allowBlank="1" showInputMessage="1" showErrorMessage="1" sqref="F11">
      <formula1>"leerkracht,OOP-er met les-/behandeltaken"</formula1>
    </dataValidation>
    <dataValidation type="list" allowBlank="1" showInputMessage="1" showErrorMessage="1" sqref="F19">
      <formula1>$S$20:$S$30</formula1>
    </dataValidation>
  </dataValidations>
  <printOptions gridLines="1"/>
  <pageMargins left="0.75" right="0.75" top="1" bottom="1" header="0.5" footer="0.5"/>
  <pageSetup paperSize="9" scale="51" orientation="portrait" verticalDpi="0" r:id="rId1"/>
  <headerFooter alignWithMargins="0">
    <oddHeader>&amp;L&amp;"Arial,Vet"&amp;F&amp;C&amp;"Arial,Vet"&amp;A&amp;R&amp;"Arial,Vet"&amp;D</oddHeader>
    <oddFooter>&amp;L&amp;"Arial,Vet"VOS/ABB&amp;C&amp;"Arial,Vet"&amp;P&amp;R&amp;"Arial,Vet"Toolbox</oddFooter>
  </headerFooter>
  <rowBreaks count="1" manualBreakCount="1">
    <brk id="105" min="1" max="13" man="1"/>
  </rowBreaks>
  <drawing r:id="rId2"/>
  <legacyDrawing r:id="rId3"/>
</worksheet>
</file>

<file path=xl/worksheets/sheet4.xml><?xml version="1.0" encoding="utf-8"?>
<worksheet xmlns="http://schemas.openxmlformats.org/spreadsheetml/2006/main" xmlns:r="http://schemas.openxmlformats.org/officeDocument/2006/relationships">
  <dimension ref="B2:L57"/>
  <sheetViews>
    <sheetView workbookViewId="0"/>
  </sheetViews>
  <sheetFormatPr defaultRowHeight="12.75"/>
  <cols>
    <col min="1" max="1" width="4.140625" style="7" customWidth="1"/>
    <col min="2" max="2" width="17.28515625" style="7" customWidth="1"/>
    <col min="3" max="3" width="10" style="7" customWidth="1"/>
    <col min="4" max="4" width="10.140625" style="7" customWidth="1"/>
    <col min="5" max="5" width="7.5703125" style="7" customWidth="1"/>
    <col min="6" max="6" width="11" style="7" customWidth="1"/>
    <col min="7" max="7" width="13.7109375" style="7" customWidth="1"/>
    <col min="8" max="8" width="13.7109375" style="7" bestFit="1" customWidth="1"/>
    <col min="9" max="9" width="12.42578125" style="7" customWidth="1"/>
    <col min="10" max="10" width="8.140625" style="7" customWidth="1"/>
    <col min="11" max="11" width="7.42578125" style="7" customWidth="1"/>
    <col min="12" max="16384" width="9.140625" style="7"/>
  </cols>
  <sheetData>
    <row r="2" spans="2:12">
      <c r="B2" s="6" t="s">
        <v>281</v>
      </c>
    </row>
    <row r="3" spans="2:12" ht="13.5" thickBot="1">
      <c r="B3" s="6" t="s">
        <v>325</v>
      </c>
      <c r="I3" s="6" t="s">
        <v>320</v>
      </c>
    </row>
    <row r="4" spans="2:12" ht="13.5" thickTop="1">
      <c r="B4" s="7" t="s">
        <v>296</v>
      </c>
      <c r="D4" s="295" t="s">
        <v>308</v>
      </c>
      <c r="E4" s="296"/>
      <c r="F4" s="296"/>
      <c r="G4" s="297"/>
      <c r="I4" s="8" t="s">
        <v>349</v>
      </c>
      <c r="J4" s="9"/>
      <c r="K4" s="10">
        <f>+E53</f>
        <v>1656</v>
      </c>
    </row>
    <row r="5" spans="2:12">
      <c r="B5" s="7" t="s">
        <v>297</v>
      </c>
      <c r="D5" s="295" t="s">
        <v>326</v>
      </c>
      <c r="E5" s="298"/>
      <c r="F5" s="298"/>
      <c r="G5" s="299"/>
      <c r="I5" s="11" t="s">
        <v>350</v>
      </c>
      <c r="J5" s="12"/>
      <c r="K5" s="13">
        <f>+E54</f>
        <v>0</v>
      </c>
    </row>
    <row r="6" spans="2:12" ht="13.5" thickBot="1">
      <c r="B6" s="7" t="s">
        <v>322</v>
      </c>
      <c r="C6" s="14"/>
      <c r="D6" s="5">
        <v>20394</v>
      </c>
      <c r="F6" s="15" t="s">
        <v>315</v>
      </c>
      <c r="G6" s="4">
        <f>+G9</f>
        <v>57</v>
      </c>
      <c r="I6" s="16" t="s">
        <v>321</v>
      </c>
      <c r="J6" s="17"/>
      <c r="K6" s="18">
        <f>SUM(K4:K5)</f>
        <v>1656</v>
      </c>
    </row>
    <row r="7" spans="2:12" ht="13.5" thickTop="1">
      <c r="B7" s="7" t="s">
        <v>298</v>
      </c>
      <c r="D7" s="295" t="s">
        <v>309</v>
      </c>
      <c r="E7" s="298"/>
      <c r="F7" s="298"/>
      <c r="G7" s="299"/>
    </row>
    <row r="8" spans="2:12">
      <c r="B8" s="7" t="s">
        <v>282</v>
      </c>
      <c r="C8" s="51" t="str">
        <f>+tab!C79</f>
        <v>2013-2014</v>
      </c>
      <c r="D8" s="14"/>
      <c r="E8" s="14"/>
      <c r="F8" s="19"/>
      <c r="G8" s="19"/>
      <c r="I8" s="6"/>
      <c r="J8" s="6"/>
      <c r="K8" s="20"/>
    </row>
    <row r="9" spans="2:12">
      <c r="B9" s="6" t="s">
        <v>323</v>
      </c>
      <c r="C9" s="6"/>
      <c r="D9" s="20">
        <v>41487</v>
      </c>
      <c r="E9" s="21"/>
      <c r="F9" s="21">
        <f>YEAR(D9-D6)</f>
        <v>1957</v>
      </c>
      <c r="G9" s="21">
        <f>+F9-1900</f>
        <v>57</v>
      </c>
      <c r="J9" s="6"/>
      <c r="K9" s="6"/>
    </row>
    <row r="10" spans="2:12">
      <c r="L10" s="22"/>
    </row>
    <row r="11" spans="2:12">
      <c r="B11" s="7" t="s">
        <v>283</v>
      </c>
      <c r="D11" s="3">
        <v>1</v>
      </c>
    </row>
    <row r="12" spans="2:12">
      <c r="B12" s="7" t="s">
        <v>305</v>
      </c>
      <c r="E12" s="7">
        <v>1659</v>
      </c>
      <c r="F12" s="7" t="s">
        <v>302</v>
      </c>
    </row>
    <row r="14" spans="2:12">
      <c r="B14" s="23" t="s">
        <v>327</v>
      </c>
      <c r="C14" s="24"/>
      <c r="D14" s="24">
        <v>36.86</v>
      </c>
      <c r="E14" s="24" t="s">
        <v>328</v>
      </c>
      <c r="F14" s="24"/>
      <c r="G14" s="24" t="s">
        <v>329</v>
      </c>
      <c r="H14" s="25">
        <f>ROUND(+E$12/D14,1)</f>
        <v>45</v>
      </c>
      <c r="I14" s="24" t="s">
        <v>330</v>
      </c>
      <c r="J14" s="24">
        <v>266</v>
      </c>
      <c r="K14" s="26" t="s">
        <v>314</v>
      </c>
    </row>
    <row r="15" spans="2:12">
      <c r="B15" s="27"/>
      <c r="C15" s="28"/>
      <c r="D15" s="28">
        <v>36</v>
      </c>
      <c r="E15" s="28" t="s">
        <v>328</v>
      </c>
      <c r="F15" s="28"/>
      <c r="G15" s="28" t="s">
        <v>329</v>
      </c>
      <c r="H15" s="29">
        <f>ROUND(+E$12/D15,1)</f>
        <v>46.1</v>
      </c>
      <c r="I15" s="28"/>
      <c r="J15" s="28">
        <v>218</v>
      </c>
      <c r="K15" s="30" t="s">
        <v>314</v>
      </c>
    </row>
    <row r="16" spans="2:12">
      <c r="B16" s="27"/>
      <c r="C16" s="28"/>
      <c r="D16" s="28">
        <v>38</v>
      </c>
      <c r="E16" s="28" t="s">
        <v>328</v>
      </c>
      <c r="F16" s="28"/>
      <c r="G16" s="28" t="s">
        <v>329</v>
      </c>
      <c r="H16" s="29">
        <f>ROUND(+E$12/D16,1)</f>
        <v>43.7</v>
      </c>
      <c r="I16" s="28"/>
      <c r="J16" s="28">
        <v>322</v>
      </c>
      <c r="K16" s="30" t="s">
        <v>314</v>
      </c>
    </row>
    <row r="17" spans="2:11">
      <c r="B17" s="31"/>
      <c r="C17" s="32"/>
      <c r="D17" s="32">
        <v>40</v>
      </c>
      <c r="E17" s="32" t="s">
        <v>328</v>
      </c>
      <c r="F17" s="32"/>
      <c r="G17" s="32" t="s">
        <v>329</v>
      </c>
      <c r="H17" s="33">
        <f>ROUND(+E$12/D17,1)</f>
        <v>41.5</v>
      </c>
      <c r="I17" s="32"/>
      <c r="J17" s="32">
        <v>426</v>
      </c>
      <c r="K17" s="34" t="s">
        <v>314</v>
      </c>
    </row>
    <row r="18" spans="2:11">
      <c r="B18" s="28"/>
      <c r="C18" s="28"/>
      <c r="D18" s="28"/>
      <c r="E18" s="28"/>
      <c r="F18" s="28"/>
      <c r="G18" s="28"/>
      <c r="H18" s="29"/>
      <c r="I18" s="28"/>
      <c r="J18" s="28"/>
      <c r="K18" s="28"/>
    </row>
    <row r="19" spans="2:11">
      <c r="B19" s="23" t="s">
        <v>341</v>
      </c>
      <c r="C19" s="24"/>
      <c r="D19" s="24"/>
      <c r="E19" s="24"/>
      <c r="F19" s="24"/>
      <c r="G19" s="24"/>
      <c r="H19" s="26"/>
    </row>
    <row r="20" spans="2:11">
      <c r="B20" s="27" t="s">
        <v>334</v>
      </c>
      <c r="C20" s="35">
        <v>0</v>
      </c>
      <c r="D20" s="28">
        <v>0</v>
      </c>
      <c r="E20" s="28" t="s">
        <v>314</v>
      </c>
      <c r="F20" s="28" t="s">
        <v>352</v>
      </c>
      <c r="G20" s="28"/>
      <c r="H20" s="30">
        <f>ROUND(+E$12*D$11-D$11*D20,0)</f>
        <v>1659</v>
      </c>
    </row>
    <row r="21" spans="2:11">
      <c r="B21" s="27" t="s">
        <v>331</v>
      </c>
      <c r="C21" s="35">
        <v>50</v>
      </c>
      <c r="D21" s="28">
        <v>32</v>
      </c>
      <c r="E21" s="28" t="s">
        <v>314</v>
      </c>
      <c r="F21" s="28" t="s">
        <v>352</v>
      </c>
      <c r="G21" s="28"/>
      <c r="H21" s="30">
        <f>ROUND(+E$12*D$11-D$11*D21,0)</f>
        <v>1627</v>
      </c>
    </row>
    <row r="22" spans="2:11">
      <c r="B22" s="27" t="s">
        <v>332</v>
      </c>
      <c r="C22" s="35">
        <v>55</v>
      </c>
      <c r="D22" s="28">
        <v>40</v>
      </c>
      <c r="E22" s="28" t="s">
        <v>314</v>
      </c>
      <c r="F22" s="28" t="s">
        <v>352</v>
      </c>
      <c r="G22" s="28"/>
      <c r="H22" s="30">
        <f>ROUND(+E$12*D$11-D$11*D22,0)</f>
        <v>1619</v>
      </c>
    </row>
    <row r="23" spans="2:11">
      <c r="B23" s="31" t="s">
        <v>333</v>
      </c>
      <c r="C23" s="36">
        <v>60</v>
      </c>
      <c r="D23" s="32">
        <v>48</v>
      </c>
      <c r="E23" s="32" t="s">
        <v>314</v>
      </c>
      <c r="F23" s="32" t="s">
        <v>352</v>
      </c>
      <c r="G23" s="32"/>
      <c r="H23" s="34">
        <f>ROUND(+E$12*D$11-D$11*D23,0)</f>
        <v>1611</v>
      </c>
    </row>
    <row r="25" spans="2:11">
      <c r="B25" s="37" t="s">
        <v>342</v>
      </c>
      <c r="C25" s="38"/>
      <c r="D25" s="39"/>
      <c r="E25" s="40"/>
    </row>
    <row r="26" spans="2:11">
      <c r="B26" s="41" t="s">
        <v>312</v>
      </c>
      <c r="C26" s="42">
        <v>170</v>
      </c>
      <c r="D26" s="43" t="s">
        <v>314</v>
      </c>
      <c r="E26" s="40"/>
      <c r="F26" s="21">
        <v>750</v>
      </c>
    </row>
    <row r="27" spans="2:11">
      <c r="B27" s="44" t="s">
        <v>313</v>
      </c>
      <c r="C27" s="45">
        <v>340</v>
      </c>
      <c r="D27" s="46" t="s">
        <v>314</v>
      </c>
      <c r="E27" s="40"/>
      <c r="F27" s="21">
        <f>+E12-F26-F28</f>
        <v>743</v>
      </c>
    </row>
    <row r="28" spans="2:11">
      <c r="E28" s="40"/>
      <c r="F28" s="21">
        <v>166</v>
      </c>
    </row>
    <row r="29" spans="2:11">
      <c r="B29" s="7" t="s">
        <v>310</v>
      </c>
      <c r="C29" s="2">
        <v>0</v>
      </c>
      <c r="D29" s="47" t="s">
        <v>302</v>
      </c>
    </row>
    <row r="30" spans="2:11">
      <c r="B30" s="7" t="s">
        <v>316</v>
      </c>
      <c r="C30" s="7">
        <f>ROUND(IF(G6&lt;52,0,IF(G6&lt;56,IF(D11*C26&gt;170,170,D11*C26),IF(D11*C27&gt;340,340,D11*C27))),0)</f>
        <v>340</v>
      </c>
    </row>
    <row r="32" spans="2:11">
      <c r="B32" s="7" t="s">
        <v>336</v>
      </c>
      <c r="C32" s="2">
        <v>36</v>
      </c>
    </row>
    <row r="33" spans="2:10">
      <c r="B33" s="7" t="s">
        <v>340</v>
      </c>
      <c r="E33" s="2">
        <v>12</v>
      </c>
      <c r="G33" s="7" t="s">
        <v>346</v>
      </c>
      <c r="J33" s="2">
        <v>11</v>
      </c>
    </row>
    <row r="34" spans="2:10">
      <c r="D34" s="7" t="s">
        <v>335</v>
      </c>
      <c r="I34" s="7" t="s">
        <v>335</v>
      </c>
    </row>
    <row r="35" spans="2:10">
      <c r="C35" s="7" t="s">
        <v>285</v>
      </c>
      <c r="D35" s="2">
        <v>9</v>
      </c>
      <c r="H35" s="7" t="s">
        <v>285</v>
      </c>
      <c r="I35" s="2">
        <f>+D45</f>
        <v>9</v>
      </c>
    </row>
    <row r="36" spans="2:10">
      <c r="C36" s="7" t="s">
        <v>286</v>
      </c>
      <c r="D36" s="2">
        <v>9</v>
      </c>
      <c r="H36" s="7" t="s">
        <v>286</v>
      </c>
      <c r="I36" s="2">
        <f>+D46</f>
        <v>9</v>
      </c>
    </row>
    <row r="37" spans="2:10">
      <c r="C37" s="7" t="s">
        <v>287</v>
      </c>
      <c r="D37" s="2">
        <v>9</v>
      </c>
      <c r="H37" s="7" t="s">
        <v>287</v>
      </c>
      <c r="I37" s="2">
        <f>+D47</f>
        <v>9</v>
      </c>
    </row>
    <row r="38" spans="2:10">
      <c r="C38" s="7" t="s">
        <v>288</v>
      </c>
      <c r="D38" s="2">
        <v>9</v>
      </c>
      <c r="H38" s="7" t="s">
        <v>288</v>
      </c>
      <c r="I38" s="2">
        <f>+D48</f>
        <v>9</v>
      </c>
    </row>
    <row r="39" spans="2:10">
      <c r="C39" s="7" t="s">
        <v>289</v>
      </c>
      <c r="D39" s="2">
        <v>0</v>
      </c>
      <c r="H39" s="7" t="s">
        <v>289</v>
      </c>
      <c r="I39" s="2">
        <f>+D49</f>
        <v>0</v>
      </c>
    </row>
    <row r="40" spans="2:10">
      <c r="C40" s="14" t="s">
        <v>295</v>
      </c>
      <c r="D40" s="7">
        <f>SUM(D35:D39)</f>
        <v>36</v>
      </c>
      <c r="E40" s="7" t="s">
        <v>302</v>
      </c>
      <c r="H40" s="14" t="s">
        <v>295</v>
      </c>
      <c r="I40" s="7">
        <f>SUM(I35:I39)</f>
        <v>36</v>
      </c>
      <c r="J40" s="7" t="s">
        <v>302</v>
      </c>
    </row>
    <row r="41" spans="2:10">
      <c r="C41" s="14" t="s">
        <v>337</v>
      </c>
      <c r="D41" s="7">
        <f>+D40*E33</f>
        <v>432</v>
      </c>
      <c r="E41" s="7" t="s">
        <v>302</v>
      </c>
      <c r="H41" s="14" t="s">
        <v>337</v>
      </c>
      <c r="I41" s="7">
        <f>+I40*J33</f>
        <v>396</v>
      </c>
      <c r="J41" s="7" t="s">
        <v>302</v>
      </c>
    </row>
    <row r="43" spans="2:10">
      <c r="B43" s="7" t="s">
        <v>345</v>
      </c>
      <c r="E43" s="2">
        <v>11</v>
      </c>
      <c r="G43" s="7" t="s">
        <v>347</v>
      </c>
      <c r="J43" s="2">
        <v>12</v>
      </c>
    </row>
    <row r="44" spans="2:10">
      <c r="D44" s="7" t="s">
        <v>335</v>
      </c>
      <c r="I44" s="7" t="s">
        <v>335</v>
      </c>
    </row>
    <row r="45" spans="2:10">
      <c r="C45" s="7" t="s">
        <v>285</v>
      </c>
      <c r="D45" s="2">
        <f>+D35</f>
        <v>9</v>
      </c>
      <c r="H45" s="7" t="s">
        <v>285</v>
      </c>
      <c r="I45" s="2">
        <f>+I35</f>
        <v>9</v>
      </c>
    </row>
    <row r="46" spans="2:10">
      <c r="C46" s="7" t="s">
        <v>286</v>
      </c>
      <c r="D46" s="2">
        <f>+D36</f>
        <v>9</v>
      </c>
      <c r="H46" s="7" t="s">
        <v>286</v>
      </c>
      <c r="I46" s="2">
        <f>+I36</f>
        <v>9</v>
      </c>
    </row>
    <row r="47" spans="2:10">
      <c r="C47" s="7" t="s">
        <v>287</v>
      </c>
      <c r="D47" s="2">
        <f>+D37</f>
        <v>9</v>
      </c>
      <c r="H47" s="7" t="s">
        <v>287</v>
      </c>
      <c r="I47" s="2">
        <f>+I37</f>
        <v>9</v>
      </c>
    </row>
    <row r="48" spans="2:10">
      <c r="C48" s="7" t="s">
        <v>288</v>
      </c>
      <c r="D48" s="2">
        <f>+D38</f>
        <v>9</v>
      </c>
      <c r="H48" s="7" t="s">
        <v>288</v>
      </c>
      <c r="I48" s="2">
        <f>+I38</f>
        <v>9</v>
      </c>
    </row>
    <row r="49" spans="2:10">
      <c r="C49" s="7" t="s">
        <v>289</v>
      </c>
      <c r="D49" s="2">
        <f>+D39</f>
        <v>0</v>
      </c>
      <c r="H49" s="7" t="s">
        <v>289</v>
      </c>
      <c r="I49" s="2">
        <f>+I39</f>
        <v>0</v>
      </c>
    </row>
    <row r="50" spans="2:10">
      <c r="C50" s="14" t="s">
        <v>295</v>
      </c>
      <c r="D50" s="7">
        <f>SUM(D45:D49)</f>
        <v>36</v>
      </c>
      <c r="E50" s="7" t="s">
        <v>302</v>
      </c>
      <c r="H50" s="14" t="s">
        <v>295</v>
      </c>
      <c r="I50" s="7">
        <f>SUM(I45:I49)</f>
        <v>36</v>
      </c>
      <c r="J50" s="7" t="s">
        <v>302</v>
      </c>
    </row>
    <row r="51" spans="2:10">
      <c r="C51" s="14" t="s">
        <v>337</v>
      </c>
      <c r="D51" s="7">
        <f>+D50*E43</f>
        <v>396</v>
      </c>
      <c r="E51" s="7" t="s">
        <v>302</v>
      </c>
      <c r="H51" s="14" t="s">
        <v>337</v>
      </c>
      <c r="I51" s="7">
        <f>+I50*J43</f>
        <v>432</v>
      </c>
      <c r="J51" s="7" t="s">
        <v>302</v>
      </c>
    </row>
    <row r="53" spans="2:10">
      <c r="B53" s="7" t="s">
        <v>338</v>
      </c>
      <c r="E53" s="48">
        <f>+D41+D51+I41+I51</f>
        <v>1656</v>
      </c>
    </row>
    <row r="54" spans="2:10">
      <c r="B54" s="7" t="s">
        <v>343</v>
      </c>
      <c r="E54" s="48">
        <f>+C29</f>
        <v>0</v>
      </c>
    </row>
    <row r="55" spans="2:10">
      <c r="B55" s="6" t="s">
        <v>344</v>
      </c>
      <c r="C55" s="6"/>
      <c r="D55" s="6"/>
      <c r="E55" s="22">
        <f>SUM(E53:E54)</f>
        <v>1656</v>
      </c>
    </row>
    <row r="56" spans="2:10">
      <c r="B56" s="49" t="s">
        <v>348</v>
      </c>
      <c r="C56" s="49"/>
      <c r="D56" s="49"/>
      <c r="E56" s="49">
        <f>+D11*E12-D11*(VLOOKUP(G6,leeftijdsuren,2,TRUE))</f>
        <v>1619</v>
      </c>
    </row>
    <row r="57" spans="2:10">
      <c r="B57" s="49"/>
      <c r="C57" s="49"/>
      <c r="D57" s="49" t="s">
        <v>351</v>
      </c>
      <c r="E57" s="50">
        <f>+E55-E56</f>
        <v>37</v>
      </c>
      <c r="H57" s="48"/>
    </row>
  </sheetData>
  <mergeCells count="3">
    <mergeCell ref="D4:G4"/>
    <mergeCell ref="D5:G5"/>
    <mergeCell ref="D7:G7"/>
  </mergeCells>
  <phoneticPr fontId="0" type="noConversion"/>
  <dataValidations count="1">
    <dataValidation type="list" allowBlank="1" showInputMessage="1" showErrorMessage="1" sqref="C32">
      <formula1>$D$14:$D$17</formula1>
    </dataValidation>
  </dataValidations>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dimension ref="B1:AK297"/>
  <sheetViews>
    <sheetView zoomScale="85" zoomScaleNormal="75" zoomScaleSheetLayoutView="85" workbookViewId="0">
      <selection activeCell="B2" sqref="B2"/>
    </sheetView>
  </sheetViews>
  <sheetFormatPr defaultRowHeight="12.75"/>
  <cols>
    <col min="1" max="1" width="5.7109375" style="71" customWidth="1"/>
    <col min="2" max="2" width="2.7109375" style="71" customWidth="1"/>
    <col min="3" max="3" width="2.5703125" style="71" customWidth="1"/>
    <col min="4" max="4" width="45.7109375" style="71" customWidth="1"/>
    <col min="5" max="5" width="2.7109375" style="71" customWidth="1"/>
    <col min="6" max="8" width="14.85546875" style="71" customWidth="1"/>
    <col min="9" max="9" width="3" style="71" customWidth="1"/>
    <col min="10" max="10" width="15.85546875" style="71" customWidth="1"/>
    <col min="11" max="11" width="14.85546875" style="71" customWidth="1"/>
    <col min="12" max="12" width="10" style="71" customWidth="1"/>
    <col min="13" max="14" width="2.5703125" style="71" customWidth="1"/>
    <col min="15" max="17" width="2.85546875" style="71" customWidth="1"/>
    <col min="18" max="18" width="12.7109375" style="71" customWidth="1"/>
    <col min="19" max="19" width="12.140625" style="71" hidden="1" customWidth="1"/>
    <col min="20" max="20" width="9.5703125" style="71" hidden="1" customWidth="1"/>
    <col min="21" max="21" width="14.140625" style="71" hidden="1" customWidth="1"/>
    <col min="22" max="22" width="13.5703125" style="71" hidden="1" customWidth="1"/>
    <col min="23" max="23" width="9.42578125" style="71" hidden="1" customWidth="1"/>
    <col min="24" max="25" width="9.28515625" style="71" hidden="1" customWidth="1"/>
    <col min="26" max="26" width="9.140625" style="71" hidden="1" customWidth="1"/>
    <col min="27" max="16384" width="9.140625" style="71"/>
  </cols>
  <sheetData>
    <row r="1" spans="2:17" ht="13.5" thickBot="1"/>
    <row r="2" spans="2:17">
      <c r="B2" s="76"/>
      <c r="C2" s="77"/>
      <c r="D2" s="77"/>
      <c r="E2" s="77"/>
      <c r="F2" s="77"/>
      <c r="G2" s="77"/>
      <c r="H2" s="77"/>
      <c r="I2" s="77"/>
      <c r="J2" s="77"/>
      <c r="K2" s="77"/>
      <c r="L2" s="77"/>
      <c r="M2" s="77"/>
      <c r="N2" s="79"/>
    </row>
    <row r="3" spans="2:17">
      <c r="B3" s="80"/>
      <c r="N3" s="81"/>
    </row>
    <row r="4" spans="2:17" s="68" customFormat="1" ht="18">
      <c r="B4" s="73"/>
      <c r="C4" s="69" t="s">
        <v>605</v>
      </c>
      <c r="N4" s="74"/>
    </row>
    <row r="5" spans="2:17" ht="18">
      <c r="B5" s="73"/>
      <c r="C5" s="69"/>
      <c r="D5" s="68"/>
      <c r="E5" s="68"/>
      <c r="F5" s="68"/>
      <c r="G5" s="68"/>
      <c r="H5" s="68"/>
      <c r="I5" s="68"/>
      <c r="J5" s="68"/>
      <c r="K5" s="68"/>
      <c r="L5" s="68"/>
      <c r="M5" s="68"/>
      <c r="N5" s="74"/>
      <c r="O5" s="68"/>
      <c r="P5" s="68"/>
      <c r="Q5" s="68"/>
    </row>
    <row r="6" spans="2:17">
      <c r="B6" s="80"/>
      <c r="D6" s="67"/>
      <c r="N6" s="81"/>
    </row>
    <row r="7" spans="2:17">
      <c r="B7" s="80"/>
      <c r="C7" s="90"/>
      <c r="D7" s="90"/>
      <c r="E7" s="90"/>
      <c r="F7" s="90"/>
      <c r="G7" s="90"/>
      <c r="H7" s="90"/>
      <c r="I7" s="90"/>
      <c r="J7" s="90"/>
      <c r="K7" s="90"/>
      <c r="L7" s="90"/>
      <c r="M7" s="90"/>
      <c r="N7" s="81"/>
    </row>
    <row r="8" spans="2:17">
      <c r="B8" s="80"/>
      <c r="C8" s="90"/>
      <c r="D8" s="90" t="s">
        <v>282</v>
      </c>
      <c r="E8" s="90"/>
      <c r="F8" s="100" t="str">
        <f>+'wtf op en inzet (1)'!F8</f>
        <v>2013-2014</v>
      </c>
      <c r="G8" s="90"/>
      <c r="H8" s="90"/>
      <c r="I8" s="90"/>
      <c r="J8" s="90"/>
      <c r="K8" s="90"/>
      <c r="L8" s="90"/>
      <c r="M8" s="90"/>
      <c r="N8" s="81"/>
    </row>
    <row r="9" spans="2:17">
      <c r="B9" s="80"/>
      <c r="C9" s="90"/>
      <c r="D9" s="90"/>
      <c r="E9" s="90"/>
      <c r="F9" s="104"/>
      <c r="G9" s="90"/>
      <c r="H9" s="90"/>
      <c r="I9" s="90"/>
      <c r="J9" s="90"/>
      <c r="K9" s="90"/>
      <c r="L9" s="90"/>
      <c r="M9" s="90"/>
      <c r="N9" s="81"/>
    </row>
    <row r="10" spans="2:17">
      <c r="B10" s="80"/>
      <c r="C10" s="90"/>
      <c r="D10" s="90" t="s">
        <v>296</v>
      </c>
      <c r="E10" s="90"/>
      <c r="F10" s="123" t="s">
        <v>308</v>
      </c>
      <c r="G10" s="112"/>
      <c r="H10" s="112"/>
      <c r="I10" s="94"/>
      <c r="J10" s="90"/>
      <c r="K10" s="90"/>
      <c r="L10" s="90"/>
      <c r="M10" s="90"/>
      <c r="N10" s="81"/>
    </row>
    <row r="11" spans="2:17">
      <c r="B11" s="80"/>
      <c r="C11" s="90"/>
      <c r="D11" s="90" t="s">
        <v>297</v>
      </c>
      <c r="E11" s="90"/>
      <c r="F11" s="123" t="s">
        <v>471</v>
      </c>
      <c r="G11" s="112"/>
      <c r="H11" s="112"/>
      <c r="I11" s="94"/>
      <c r="J11" s="90"/>
      <c r="K11" s="90"/>
      <c r="L11" s="90"/>
      <c r="M11" s="90"/>
      <c r="N11" s="81"/>
    </row>
    <row r="12" spans="2:17">
      <c r="B12" s="80"/>
      <c r="C12" s="90"/>
      <c r="D12" s="90" t="s">
        <v>298</v>
      </c>
      <c r="E12" s="90"/>
      <c r="F12" s="123" t="s">
        <v>576</v>
      </c>
      <c r="G12" s="112"/>
      <c r="H12" s="112"/>
      <c r="I12" s="94"/>
      <c r="J12" s="90"/>
      <c r="K12" s="90"/>
      <c r="L12" s="90"/>
      <c r="M12" s="90"/>
      <c r="N12" s="81"/>
    </row>
    <row r="13" spans="2:17">
      <c r="B13" s="80"/>
      <c r="C13" s="90"/>
      <c r="D13" s="90" t="s">
        <v>535</v>
      </c>
      <c r="E13" s="97"/>
      <c r="F13" s="124">
        <v>22018</v>
      </c>
      <c r="G13" s="114"/>
      <c r="H13" s="112"/>
      <c r="I13" s="90"/>
      <c r="J13" s="90"/>
      <c r="K13" s="90"/>
      <c r="L13" s="90"/>
      <c r="M13" s="90"/>
      <c r="N13" s="81"/>
    </row>
    <row r="14" spans="2:17">
      <c r="B14" s="80"/>
      <c r="C14" s="90"/>
      <c r="D14" s="90" t="s">
        <v>530</v>
      </c>
      <c r="E14" s="90"/>
      <c r="F14" s="126">
        <f>+T72</f>
        <v>53</v>
      </c>
      <c r="G14" s="127"/>
      <c r="H14" s="125"/>
      <c r="I14" s="94"/>
      <c r="J14" s="90"/>
      <c r="K14" s="90"/>
      <c r="L14" s="90"/>
      <c r="M14" s="90"/>
      <c r="N14" s="81"/>
    </row>
    <row r="15" spans="2:17">
      <c r="B15" s="80"/>
      <c r="C15" s="90"/>
      <c r="D15" s="122" t="s">
        <v>323</v>
      </c>
      <c r="E15" s="122"/>
      <c r="F15" s="169">
        <f>+'wtf op en inzet (1)'!F15</f>
        <v>41487</v>
      </c>
      <c r="G15" s="122"/>
      <c r="H15" s="122"/>
      <c r="I15" s="90"/>
      <c r="J15" s="93"/>
      <c r="K15" s="93"/>
      <c r="L15" s="118"/>
      <c r="M15" s="90"/>
      <c r="N15" s="81"/>
    </row>
    <row r="16" spans="2:17">
      <c r="B16" s="80"/>
      <c r="C16" s="90"/>
      <c r="D16" s="90"/>
      <c r="E16" s="90"/>
      <c r="F16" s="260"/>
      <c r="G16" s="90"/>
      <c r="H16" s="90"/>
      <c r="I16" s="90"/>
      <c r="J16" s="90"/>
      <c r="K16" s="93"/>
      <c r="L16" s="90"/>
      <c r="M16" s="119"/>
      <c r="N16" s="116"/>
      <c r="O16" s="113"/>
      <c r="P16" s="113"/>
      <c r="Q16" s="113"/>
    </row>
    <row r="17" spans="2:19">
      <c r="B17" s="80"/>
      <c r="K17" s="67"/>
      <c r="M17" s="113"/>
      <c r="N17" s="116"/>
      <c r="O17" s="113"/>
      <c r="P17" s="113"/>
      <c r="Q17" s="113"/>
    </row>
    <row r="18" spans="2:19">
      <c r="B18" s="80"/>
      <c r="C18" s="90"/>
      <c r="D18" s="90"/>
      <c r="E18" s="90"/>
      <c r="F18" s="90"/>
      <c r="G18" s="90"/>
      <c r="H18" s="90"/>
      <c r="I18" s="90"/>
      <c r="J18" s="90"/>
      <c r="K18" s="93"/>
      <c r="L18" s="90"/>
      <c r="M18" s="119"/>
      <c r="N18" s="116"/>
      <c r="O18" s="113"/>
      <c r="P18" s="113"/>
      <c r="Q18" s="113"/>
    </row>
    <row r="19" spans="2:19">
      <c r="B19" s="80"/>
      <c r="C19" s="90"/>
      <c r="D19" s="93" t="s">
        <v>529</v>
      </c>
      <c r="E19" s="90"/>
      <c r="F19" s="131" t="s">
        <v>398</v>
      </c>
      <c r="G19" s="90"/>
      <c r="H19" s="90"/>
      <c r="I19" s="90"/>
      <c r="J19" s="90"/>
      <c r="K19" s="90"/>
      <c r="L19" s="90"/>
      <c r="M19" s="120"/>
      <c r="N19" s="117"/>
      <c r="O19" s="165"/>
      <c r="P19" s="165"/>
      <c r="Q19" s="165"/>
    </row>
    <row r="20" spans="2:19">
      <c r="B20" s="80"/>
      <c r="C20" s="90"/>
      <c r="D20" s="93" t="s">
        <v>370</v>
      </c>
      <c r="E20" s="90"/>
      <c r="F20" s="107">
        <f>IF($F$19="1&amp;2",rooster!G13,IF($F$19="3&amp;4",rooster!G28,IF($F$19="5&amp;8",rooster!G43,rooster!G148)))</f>
        <v>39.200000000000003</v>
      </c>
      <c r="G20" s="90"/>
      <c r="H20" s="90"/>
      <c r="I20" s="90"/>
      <c r="J20" s="90"/>
      <c r="K20" s="90"/>
      <c r="L20" s="120"/>
      <c r="M20" s="119"/>
      <c r="N20" s="116"/>
      <c r="O20" s="113"/>
      <c r="P20" s="113"/>
      <c r="Q20" s="113"/>
      <c r="R20" s="113"/>
      <c r="S20" s="75" t="s">
        <v>396</v>
      </c>
    </row>
    <row r="21" spans="2:19">
      <c r="B21" s="80"/>
      <c r="C21" s="90"/>
      <c r="D21" s="93"/>
      <c r="E21" s="90"/>
      <c r="F21" s="93"/>
      <c r="G21" s="90"/>
      <c r="H21" s="90"/>
      <c r="I21" s="90"/>
      <c r="J21" s="90"/>
      <c r="K21" s="90"/>
      <c r="L21" s="120"/>
      <c r="M21" s="119"/>
      <c r="N21" s="116"/>
      <c r="O21" s="113"/>
      <c r="P21" s="113"/>
      <c r="Q21" s="113"/>
      <c r="S21" s="75" t="s">
        <v>397</v>
      </c>
    </row>
    <row r="22" spans="2:19">
      <c r="B22" s="80"/>
      <c r="C22" s="90"/>
      <c r="D22" s="90"/>
      <c r="E22" s="90"/>
      <c r="F22" s="103" t="s">
        <v>290</v>
      </c>
      <c r="G22" s="103" t="s">
        <v>291</v>
      </c>
      <c r="H22" s="103" t="s">
        <v>489</v>
      </c>
      <c r="I22" s="90"/>
      <c r="J22" s="90"/>
      <c r="K22" s="90"/>
      <c r="L22" s="120"/>
      <c r="M22" s="119"/>
      <c r="N22" s="116"/>
      <c r="O22" s="113"/>
      <c r="P22" s="113"/>
      <c r="Q22" s="113"/>
      <c r="S22" s="75" t="s">
        <v>398</v>
      </c>
    </row>
    <row r="23" spans="2:19">
      <c r="B23" s="80"/>
      <c r="C23" s="90"/>
      <c r="D23" s="93" t="s">
        <v>402</v>
      </c>
      <c r="E23" s="90"/>
      <c r="F23" s="90"/>
      <c r="G23" s="90"/>
      <c r="H23" s="90"/>
      <c r="I23" s="90"/>
      <c r="J23" s="90"/>
      <c r="K23" s="90"/>
      <c r="L23" s="120"/>
      <c r="M23" s="119"/>
      <c r="N23" s="116"/>
      <c r="O23" s="113"/>
      <c r="P23" s="113"/>
      <c r="Q23" s="113"/>
      <c r="S23" s="75">
        <v>1</v>
      </c>
    </row>
    <row r="24" spans="2:19">
      <c r="B24" s="80"/>
      <c r="C24" s="90"/>
      <c r="D24" s="90" t="s">
        <v>285</v>
      </c>
      <c r="E24" s="90"/>
      <c r="F24" s="153">
        <f>IF($F$19="1&amp;2",rooster!G18,IF($F$19="3&amp;4",rooster!G33,IF($F$19="5&amp;8",rooster!G48,rooster!G153)))</f>
        <v>3.5</v>
      </c>
      <c r="G24" s="153">
        <f>IF($F$19="1&amp;2",rooster!H18,IF($F$19="3&amp;4",rooster!H33,IF($F$19="5&amp;8",rooster!H48,rooster!H153)))</f>
        <v>2</v>
      </c>
      <c r="H24" s="153">
        <f>SUM(F24:G24)</f>
        <v>5.5</v>
      </c>
      <c r="I24" s="90"/>
      <c r="J24" s="90"/>
      <c r="K24" s="90"/>
      <c r="L24" s="90"/>
      <c r="M24" s="119"/>
      <c r="N24" s="116"/>
      <c r="O24" s="113"/>
      <c r="P24" s="113"/>
      <c r="Q24" s="113"/>
      <c r="S24" s="75">
        <v>2</v>
      </c>
    </row>
    <row r="25" spans="2:19">
      <c r="B25" s="80"/>
      <c r="C25" s="90"/>
      <c r="D25" s="90" t="s">
        <v>286</v>
      </c>
      <c r="E25" s="90"/>
      <c r="F25" s="153">
        <f>IF($F$19="1&amp;2",rooster!G19,IF($F$19="3&amp;4",rooster!G34,IF($F$19="5&amp;8",rooster!G49,rooster!G154)))</f>
        <v>3.5</v>
      </c>
      <c r="G25" s="153">
        <f>IF($F$19="1&amp;2",rooster!H19,IF($F$19="3&amp;4",rooster!H34,IF($F$19="5&amp;8",rooster!H49,rooster!H154)))</f>
        <v>2</v>
      </c>
      <c r="H25" s="153">
        <f>SUM(F25:G25)</f>
        <v>5.5</v>
      </c>
      <c r="I25" s="90"/>
      <c r="J25" s="90"/>
      <c r="K25" s="90"/>
      <c r="L25" s="90"/>
      <c r="M25" s="119"/>
      <c r="N25" s="116"/>
      <c r="O25" s="113"/>
      <c r="P25" s="113"/>
      <c r="Q25" s="113"/>
      <c r="S25" s="75">
        <v>3</v>
      </c>
    </row>
    <row r="26" spans="2:19">
      <c r="B26" s="80"/>
      <c r="C26" s="90"/>
      <c r="D26" s="90" t="s">
        <v>287</v>
      </c>
      <c r="E26" s="90"/>
      <c r="F26" s="153">
        <f>IF($F$19="1&amp;2",rooster!G20,IF($F$19="3&amp;4",rooster!G35,IF($F$19="5&amp;8",rooster!G50,rooster!G155)))</f>
        <v>3.75</v>
      </c>
      <c r="G26" s="153">
        <f>IF($F$19="1&amp;2",rooster!H20,IF($F$19="3&amp;4",rooster!H35,IF($F$19="5&amp;8",rooster!H50,rooster!H155)))</f>
        <v>0</v>
      </c>
      <c r="H26" s="153">
        <f>SUM(F26:G26)</f>
        <v>3.75</v>
      </c>
      <c r="I26" s="90"/>
      <c r="J26" s="90"/>
      <c r="K26" s="90"/>
      <c r="L26" s="90"/>
      <c r="M26" s="119"/>
      <c r="N26" s="116"/>
      <c r="O26" s="113"/>
      <c r="P26" s="113"/>
      <c r="Q26" s="113"/>
      <c r="S26" s="75">
        <v>4</v>
      </c>
    </row>
    <row r="27" spans="2:19">
      <c r="B27" s="80"/>
      <c r="C27" s="90"/>
      <c r="D27" s="90" t="s">
        <v>288</v>
      </c>
      <c r="E27" s="90"/>
      <c r="F27" s="153">
        <f>IF($F$19="1&amp;2",rooster!G21,IF($F$19="3&amp;4",rooster!G36,IF($F$19="5&amp;8",rooster!G51,rooster!G156)))</f>
        <v>3.5</v>
      </c>
      <c r="G27" s="153">
        <f>IF($F$19="1&amp;2",rooster!H21,IF($F$19="3&amp;4",rooster!H36,IF($F$19="5&amp;8",rooster!H51,rooster!H156)))</f>
        <v>2</v>
      </c>
      <c r="H27" s="153">
        <f>SUM(F27:G27)</f>
        <v>5.5</v>
      </c>
      <c r="I27" s="90"/>
      <c r="J27" s="90"/>
      <c r="K27" s="90"/>
      <c r="L27" s="90"/>
      <c r="M27" s="119"/>
      <c r="N27" s="116"/>
      <c r="O27" s="113"/>
      <c r="P27" s="113"/>
      <c r="Q27" s="113"/>
      <c r="S27" s="75">
        <v>5</v>
      </c>
    </row>
    <row r="28" spans="2:19">
      <c r="B28" s="80"/>
      <c r="C28" s="90"/>
      <c r="D28" s="90" t="s">
        <v>289</v>
      </c>
      <c r="E28" s="90"/>
      <c r="F28" s="153">
        <f>IF($F$19="1&amp;2",rooster!G22,IF($F$19="3&amp;4",rooster!G37,IF($F$19="5&amp;8",rooster!G52,rooster!G157)))</f>
        <v>3.5</v>
      </c>
      <c r="G28" s="153">
        <f>IF($F$19="1&amp;2",rooster!H22,IF($F$19="3&amp;4",rooster!H37,IF($F$19="5&amp;8",rooster!H52,rooster!H157)))</f>
        <v>2</v>
      </c>
      <c r="H28" s="153">
        <f>SUM(F28:G28)</f>
        <v>5.5</v>
      </c>
      <c r="I28" s="90"/>
      <c r="J28" s="90"/>
      <c r="K28" s="90"/>
      <c r="L28" s="90"/>
      <c r="M28" s="119"/>
      <c r="N28" s="116"/>
      <c r="O28" s="113"/>
      <c r="P28" s="113"/>
      <c r="Q28" s="113"/>
      <c r="S28" s="75">
        <v>6</v>
      </c>
    </row>
    <row r="29" spans="2:19">
      <c r="B29" s="80"/>
      <c r="C29" s="90"/>
      <c r="D29" s="90" t="s">
        <v>295</v>
      </c>
      <c r="E29" s="90"/>
      <c r="F29" s="92"/>
      <c r="G29" s="92"/>
      <c r="H29" s="171">
        <f>SUM(H24:H28)</f>
        <v>25.75</v>
      </c>
      <c r="I29" s="90"/>
      <c r="J29" s="90"/>
      <c r="K29" s="90"/>
      <c r="L29" s="90"/>
      <c r="M29" s="119"/>
      <c r="N29" s="116"/>
      <c r="O29" s="113"/>
      <c r="P29" s="113"/>
      <c r="Q29" s="113"/>
      <c r="S29" s="75">
        <v>7</v>
      </c>
    </row>
    <row r="30" spans="2:19">
      <c r="B30" s="80"/>
      <c r="C30" s="90"/>
      <c r="D30" s="90" t="s">
        <v>367</v>
      </c>
      <c r="E30" s="90"/>
      <c r="F30" s="92"/>
      <c r="G30" s="92"/>
      <c r="H30" s="107">
        <f>ROUND(H29*F20,0)</f>
        <v>1009</v>
      </c>
      <c r="I30" s="90"/>
      <c r="J30" s="90"/>
      <c r="K30" s="90"/>
      <c r="L30" s="90"/>
      <c r="M30" s="119"/>
      <c r="N30" s="116"/>
      <c r="O30" s="113"/>
      <c r="P30" s="113"/>
      <c r="Q30" s="113"/>
      <c r="S30" s="75">
        <v>8</v>
      </c>
    </row>
    <row r="31" spans="2:19">
      <c r="B31" s="80"/>
      <c r="C31" s="90"/>
      <c r="D31" s="90"/>
      <c r="E31" s="90"/>
      <c r="F31" s="92"/>
      <c r="G31" s="92"/>
      <c r="H31" s="92"/>
      <c r="I31" s="90"/>
      <c r="J31" s="90"/>
      <c r="K31" s="90"/>
      <c r="L31" s="90"/>
      <c r="M31" s="119"/>
      <c r="N31" s="116"/>
      <c r="O31" s="113"/>
      <c r="P31" s="113"/>
      <c r="Q31" s="113"/>
    </row>
    <row r="32" spans="2:19">
      <c r="B32" s="80"/>
      <c r="C32" s="90"/>
      <c r="D32" s="90"/>
      <c r="E32" s="90"/>
      <c r="F32" s="92"/>
      <c r="G32" s="92"/>
      <c r="H32" s="92"/>
      <c r="I32" s="90"/>
      <c r="J32" s="90"/>
      <c r="K32" s="93"/>
      <c r="L32" s="90"/>
      <c r="M32" s="119"/>
      <c r="N32" s="116"/>
      <c r="O32" s="113"/>
      <c r="P32" s="113"/>
      <c r="Q32" s="113"/>
    </row>
    <row r="33" spans="2:17">
      <c r="B33" s="80"/>
      <c r="C33" s="90"/>
      <c r="D33" s="93" t="s">
        <v>368</v>
      </c>
      <c r="E33" s="90"/>
      <c r="F33" s="95" t="s">
        <v>290</v>
      </c>
      <c r="G33" s="95" t="s">
        <v>291</v>
      </c>
      <c r="H33" s="95" t="s">
        <v>489</v>
      </c>
      <c r="I33" s="90"/>
      <c r="J33" s="90"/>
      <c r="K33" s="93"/>
      <c r="L33" s="90"/>
      <c r="M33" s="119"/>
      <c r="N33" s="116"/>
      <c r="O33" s="113"/>
      <c r="P33" s="113"/>
      <c r="Q33" s="113"/>
    </row>
    <row r="34" spans="2:17">
      <c r="B34" s="80"/>
      <c r="C34" s="90"/>
      <c r="D34" s="90"/>
      <c r="E34" s="90"/>
      <c r="F34" s="92"/>
      <c r="G34" s="92"/>
      <c r="H34" s="92"/>
      <c r="I34" s="90"/>
      <c r="J34" s="90"/>
      <c r="K34" s="93"/>
      <c r="L34" s="90"/>
      <c r="M34" s="119"/>
      <c r="N34" s="116"/>
      <c r="O34" s="113"/>
      <c r="P34" s="113"/>
      <c r="Q34" s="113"/>
    </row>
    <row r="35" spans="2:17">
      <c r="B35" s="80"/>
      <c r="C35" s="90"/>
      <c r="D35" s="90" t="s">
        <v>285</v>
      </c>
      <c r="E35" s="90"/>
      <c r="F35" s="84">
        <v>3.5</v>
      </c>
      <c r="G35" s="84">
        <v>2</v>
      </c>
      <c r="H35" s="101">
        <f>SUM(F35:G35)</f>
        <v>5.5</v>
      </c>
      <c r="I35" s="90"/>
      <c r="J35" s="90"/>
      <c r="K35" s="93"/>
      <c r="L35" s="90"/>
      <c r="M35" s="119"/>
      <c r="N35" s="116"/>
      <c r="O35" s="113"/>
      <c r="P35" s="113"/>
      <c r="Q35" s="113"/>
    </row>
    <row r="36" spans="2:17">
      <c r="B36" s="80"/>
      <c r="C36" s="90"/>
      <c r="D36" s="90" t="s">
        <v>286</v>
      </c>
      <c r="E36" s="90"/>
      <c r="F36" s="84">
        <v>3.5</v>
      </c>
      <c r="G36" s="84">
        <v>2</v>
      </c>
      <c r="H36" s="101">
        <f>SUM(F36:G36)</f>
        <v>5.5</v>
      </c>
      <c r="I36" s="90"/>
      <c r="J36" s="90"/>
      <c r="K36" s="93"/>
      <c r="L36" s="90"/>
      <c r="M36" s="119"/>
      <c r="N36" s="116"/>
      <c r="O36" s="113"/>
      <c r="P36" s="113"/>
      <c r="Q36" s="113"/>
    </row>
    <row r="37" spans="2:17">
      <c r="B37" s="80"/>
      <c r="C37" s="90"/>
      <c r="D37" s="90" t="s">
        <v>287</v>
      </c>
      <c r="E37" s="90"/>
      <c r="F37" s="84">
        <v>3.75</v>
      </c>
      <c r="G37" s="84">
        <v>0</v>
      </c>
      <c r="H37" s="101">
        <f>SUM(F37:G37)</f>
        <v>3.75</v>
      </c>
      <c r="I37" s="90"/>
      <c r="J37" s="90"/>
      <c r="K37" s="93"/>
      <c r="L37" s="93"/>
      <c r="M37" s="119"/>
      <c r="N37" s="116"/>
      <c r="O37" s="113"/>
      <c r="P37" s="113"/>
      <c r="Q37" s="113"/>
    </row>
    <row r="38" spans="2:17">
      <c r="B38" s="80"/>
      <c r="C38" s="90"/>
      <c r="D38" s="90" t="s">
        <v>288</v>
      </c>
      <c r="E38" s="90"/>
      <c r="F38" s="84">
        <v>3.5</v>
      </c>
      <c r="G38" s="84">
        <v>2</v>
      </c>
      <c r="H38" s="101">
        <f>SUM(F38:G38)</f>
        <v>5.5</v>
      </c>
      <c r="I38" s="90"/>
      <c r="J38" s="90"/>
      <c r="K38" s="93"/>
      <c r="L38" s="93"/>
      <c r="M38" s="119"/>
      <c r="N38" s="116"/>
      <c r="O38" s="113"/>
      <c r="P38" s="113"/>
      <c r="Q38" s="113"/>
    </row>
    <row r="39" spans="2:17">
      <c r="B39" s="80"/>
      <c r="C39" s="90"/>
      <c r="D39" s="90" t="s">
        <v>289</v>
      </c>
      <c r="E39" s="90"/>
      <c r="F39" s="84">
        <v>3.5</v>
      </c>
      <c r="G39" s="84">
        <v>2</v>
      </c>
      <c r="H39" s="101">
        <f>SUM(F39:G39)</f>
        <v>5.5</v>
      </c>
      <c r="I39" s="90"/>
      <c r="J39" s="90"/>
      <c r="K39" s="93"/>
      <c r="L39" s="93"/>
      <c r="M39" s="119"/>
      <c r="N39" s="116"/>
      <c r="O39" s="113"/>
      <c r="P39" s="113"/>
      <c r="Q39" s="113"/>
    </row>
    <row r="40" spans="2:17">
      <c r="B40" s="80"/>
      <c r="C40" s="90"/>
      <c r="D40" s="90" t="s">
        <v>295</v>
      </c>
      <c r="E40" s="90"/>
      <c r="F40" s="172"/>
      <c r="G40" s="172"/>
      <c r="H40" s="171">
        <f>SUM(H35:H39)</f>
        <v>25.75</v>
      </c>
      <c r="I40" s="90"/>
      <c r="J40" s="90"/>
      <c r="K40" s="93"/>
      <c r="L40" s="93"/>
      <c r="M40" s="119"/>
      <c r="N40" s="116"/>
      <c r="O40" s="113"/>
      <c r="P40" s="113"/>
      <c r="Q40" s="113"/>
    </row>
    <row r="41" spans="2:17">
      <c r="B41" s="80"/>
      <c r="C41" s="90"/>
      <c r="D41" s="90" t="s">
        <v>367</v>
      </c>
      <c r="E41" s="90"/>
      <c r="F41" s="92"/>
      <c r="G41" s="92"/>
      <c r="H41" s="107">
        <f>ROUND(+H40*F20,0)</f>
        <v>1009</v>
      </c>
      <c r="I41" s="90"/>
      <c r="J41" s="90"/>
      <c r="K41" s="93"/>
      <c r="L41" s="93"/>
      <c r="M41" s="119"/>
      <c r="N41" s="116"/>
      <c r="O41" s="113"/>
      <c r="P41" s="113"/>
      <c r="Q41" s="113"/>
    </row>
    <row r="42" spans="2:17">
      <c r="B42" s="80"/>
      <c r="C42" s="90"/>
      <c r="D42" s="90" t="s">
        <v>74</v>
      </c>
      <c r="E42" s="90"/>
      <c r="F42" s="92"/>
      <c r="G42" s="92"/>
      <c r="H42" s="131">
        <v>79</v>
      </c>
      <c r="I42" s="90"/>
      <c r="J42" s="90"/>
      <c r="K42" s="93"/>
      <c r="L42" s="93"/>
      <c r="M42" s="119"/>
      <c r="N42" s="116"/>
      <c r="O42" s="113"/>
      <c r="P42" s="113"/>
      <c r="Q42" s="113"/>
    </row>
    <row r="43" spans="2:17">
      <c r="B43" s="80"/>
      <c r="C43" s="90"/>
      <c r="D43" s="90" t="s">
        <v>373</v>
      </c>
      <c r="E43" s="90"/>
      <c r="F43" s="92"/>
      <c r="G43" s="92"/>
      <c r="H43" s="107">
        <f>+H41-H42</f>
        <v>930</v>
      </c>
      <c r="I43" s="90"/>
      <c r="J43" s="90"/>
      <c r="K43" s="93"/>
      <c r="L43" s="93"/>
      <c r="M43" s="119"/>
      <c r="N43" s="116"/>
      <c r="O43" s="113"/>
      <c r="P43" s="113"/>
      <c r="Q43" s="113"/>
    </row>
    <row r="44" spans="2:17">
      <c r="B44" s="80"/>
      <c r="C44" s="90"/>
      <c r="D44" s="90"/>
      <c r="E44" s="90"/>
      <c r="F44" s="92"/>
      <c r="G44" s="92"/>
      <c r="H44" s="92"/>
      <c r="I44" s="90"/>
      <c r="J44" s="90"/>
      <c r="K44" s="93"/>
      <c r="L44" s="93"/>
      <c r="M44" s="119"/>
      <c r="N44" s="116"/>
      <c r="O44" s="113"/>
      <c r="P44" s="113"/>
      <c r="Q44" s="113"/>
    </row>
    <row r="45" spans="2:17">
      <c r="B45" s="80"/>
      <c r="C45" s="90"/>
      <c r="D45" s="90"/>
      <c r="E45" s="90"/>
      <c r="F45" s="92"/>
      <c r="G45" s="92"/>
      <c r="H45" s="92"/>
      <c r="I45" s="90"/>
      <c r="J45" s="90"/>
      <c r="K45" s="93"/>
      <c r="L45" s="93"/>
      <c r="M45" s="119"/>
      <c r="N45" s="116"/>
      <c r="O45" s="113"/>
      <c r="P45" s="113"/>
      <c r="Q45" s="113"/>
    </row>
    <row r="46" spans="2:17">
      <c r="B46" s="80"/>
      <c r="C46" s="90"/>
      <c r="D46" s="93" t="s">
        <v>369</v>
      </c>
      <c r="E46" s="90"/>
      <c r="F46" s="92"/>
      <c r="G46" s="92"/>
      <c r="H46" s="153">
        <f>ROUND(+H43/930,4)</f>
        <v>1</v>
      </c>
      <c r="I46" s="90"/>
      <c r="J46" s="90"/>
      <c r="K46" s="93"/>
      <c r="L46" s="93"/>
      <c r="M46" s="119"/>
      <c r="N46" s="116"/>
      <c r="O46" s="113"/>
      <c r="P46" s="113"/>
      <c r="Q46" s="113"/>
    </row>
    <row r="47" spans="2:17">
      <c r="B47" s="80"/>
      <c r="C47" s="90"/>
      <c r="D47" s="93"/>
      <c r="E47" s="90"/>
      <c r="F47" s="92"/>
      <c r="G47" s="92"/>
      <c r="H47" s="92"/>
      <c r="I47" s="90"/>
      <c r="J47" s="90"/>
      <c r="K47" s="93"/>
      <c r="L47" s="93"/>
      <c r="M47" s="119"/>
      <c r="N47" s="116"/>
      <c r="O47" s="113"/>
      <c r="P47" s="113"/>
      <c r="Q47" s="113"/>
    </row>
    <row r="48" spans="2:17">
      <c r="B48" s="80"/>
      <c r="C48" s="90"/>
      <c r="D48" s="93" t="s">
        <v>381</v>
      </c>
      <c r="E48" s="90"/>
      <c r="F48" s="92"/>
      <c r="G48" s="92"/>
      <c r="H48" s="173">
        <v>1</v>
      </c>
      <c r="I48" s="90"/>
      <c r="J48" s="90"/>
      <c r="K48" s="93"/>
      <c r="L48" s="93"/>
      <c r="M48" s="119"/>
      <c r="N48" s="116"/>
      <c r="O48" s="113"/>
      <c r="P48" s="113"/>
      <c r="Q48" s="113"/>
    </row>
    <row r="49" spans="2:17">
      <c r="B49" s="80"/>
      <c r="C49" s="90"/>
      <c r="D49" s="122"/>
      <c r="E49" s="90"/>
      <c r="F49" s="90"/>
      <c r="G49" s="90"/>
      <c r="H49" s="90"/>
      <c r="I49" s="157"/>
      <c r="J49" s="90"/>
      <c r="K49" s="93"/>
      <c r="L49" s="93"/>
      <c r="M49" s="119"/>
      <c r="N49" s="116"/>
      <c r="O49" s="113"/>
      <c r="P49" s="113"/>
      <c r="Q49" s="113"/>
    </row>
    <row r="50" spans="2:17">
      <c r="B50" s="80"/>
      <c r="D50" s="109"/>
      <c r="I50" s="158"/>
      <c r="K50" s="67"/>
      <c r="L50" s="67"/>
      <c r="M50" s="113"/>
      <c r="N50" s="116"/>
      <c r="O50" s="113"/>
      <c r="P50" s="113"/>
      <c r="Q50" s="113"/>
    </row>
    <row r="51" spans="2:17">
      <c r="B51" s="80"/>
      <c r="C51" s="90"/>
      <c r="D51" s="122"/>
      <c r="E51" s="90"/>
      <c r="F51" s="90"/>
      <c r="G51" s="90"/>
      <c r="H51" s="90"/>
      <c r="I51" s="157"/>
      <c r="J51" s="90"/>
      <c r="K51" s="93"/>
      <c r="L51" s="93"/>
      <c r="M51" s="119"/>
      <c r="N51" s="116"/>
      <c r="O51" s="113"/>
      <c r="P51" s="113"/>
      <c r="Q51" s="113"/>
    </row>
    <row r="52" spans="2:17">
      <c r="B52" s="80"/>
      <c r="C52" s="90"/>
      <c r="D52" s="132" t="s">
        <v>75</v>
      </c>
      <c r="E52" s="90"/>
      <c r="F52" s="90"/>
      <c r="G52" s="90"/>
      <c r="H52" s="90"/>
      <c r="I52" s="157"/>
      <c r="J52" s="90"/>
      <c r="K52" s="93"/>
      <c r="L52" s="93"/>
      <c r="M52" s="119"/>
      <c r="N52" s="116"/>
      <c r="O52" s="113"/>
      <c r="P52" s="113"/>
      <c r="Q52" s="113"/>
    </row>
    <row r="53" spans="2:17">
      <c r="B53" s="80"/>
      <c r="C53" s="90"/>
      <c r="D53" s="122" t="s">
        <v>532</v>
      </c>
      <c r="E53" s="90"/>
      <c r="F53" s="90"/>
      <c r="G53" s="90"/>
      <c r="H53" s="90"/>
      <c r="I53" s="157"/>
      <c r="J53" s="90"/>
      <c r="K53" s="93"/>
      <c r="L53" s="93"/>
      <c r="M53" s="119"/>
      <c r="N53" s="116"/>
      <c r="O53" s="113"/>
      <c r="P53" s="113"/>
      <c r="Q53" s="113"/>
    </row>
    <row r="54" spans="2:17">
      <c r="B54" s="80"/>
      <c r="C54" s="90"/>
      <c r="D54" s="122" t="s">
        <v>89</v>
      </c>
      <c r="E54" s="90"/>
      <c r="F54" s="90"/>
      <c r="G54" s="90"/>
      <c r="H54" s="90"/>
      <c r="I54" s="90"/>
      <c r="J54" s="90"/>
      <c r="K54" s="93"/>
      <c r="L54" s="93"/>
      <c r="M54" s="119"/>
      <c r="N54" s="116"/>
      <c r="O54" s="113"/>
      <c r="P54" s="113"/>
      <c r="Q54" s="113"/>
    </row>
    <row r="55" spans="2:17">
      <c r="B55" s="80"/>
      <c r="C55" s="90"/>
      <c r="D55" s="90"/>
      <c r="E55" s="90"/>
      <c r="F55" s="90"/>
      <c r="G55" s="90"/>
      <c r="H55" s="90"/>
      <c r="I55" s="90"/>
      <c r="J55" s="90"/>
      <c r="K55" s="93"/>
      <c r="L55" s="93"/>
      <c r="M55" s="119"/>
      <c r="N55" s="116"/>
      <c r="O55" s="113"/>
      <c r="P55" s="113"/>
      <c r="Q55" s="113"/>
    </row>
    <row r="56" spans="2:17">
      <c r="B56" s="80"/>
      <c r="K56" s="67"/>
      <c r="L56" s="67"/>
      <c r="M56" s="113"/>
      <c r="N56" s="116"/>
      <c r="O56" s="113"/>
      <c r="P56" s="113"/>
      <c r="Q56" s="113"/>
    </row>
    <row r="57" spans="2:17">
      <c r="B57" s="80"/>
      <c r="K57" s="67"/>
      <c r="L57" s="67"/>
      <c r="M57" s="113"/>
      <c r="N57" s="116"/>
      <c r="O57" s="113"/>
      <c r="P57" s="113"/>
      <c r="Q57" s="113"/>
    </row>
    <row r="58" spans="2:17" ht="18">
      <c r="B58" s="80"/>
      <c r="C58" s="69" t="s">
        <v>534</v>
      </c>
      <c r="E58" s="67"/>
      <c r="G58" s="55"/>
      <c r="N58" s="81"/>
    </row>
    <row r="59" spans="2:17">
      <c r="B59" s="80"/>
      <c r="E59" s="67"/>
      <c r="N59" s="81"/>
    </row>
    <row r="60" spans="2:17">
      <c r="B60" s="80"/>
      <c r="C60" s="90"/>
      <c r="D60" s="90"/>
      <c r="E60" s="90"/>
      <c r="F60" s="90"/>
      <c r="G60" s="90"/>
      <c r="H60" s="90"/>
      <c r="I60" s="90"/>
      <c r="J60" s="90"/>
      <c r="K60" s="90"/>
      <c r="L60" s="90"/>
      <c r="M60" s="90"/>
      <c r="N60" s="81"/>
    </row>
    <row r="61" spans="2:17">
      <c r="B61" s="80"/>
      <c r="C61" s="90"/>
      <c r="D61" s="90" t="s">
        <v>282</v>
      </c>
      <c r="E61" s="90"/>
      <c r="F61" s="100" t="str">
        <f>+F8</f>
        <v>2013-2014</v>
      </c>
      <c r="G61" s="137"/>
      <c r="H61" s="137"/>
      <c r="I61" s="90"/>
      <c r="J61" s="90"/>
      <c r="K61" s="90"/>
      <c r="L61" s="90"/>
      <c r="M61" s="90"/>
      <c r="N61" s="81"/>
    </row>
    <row r="62" spans="2:17">
      <c r="B62" s="80"/>
      <c r="C62" s="90"/>
      <c r="D62" s="90"/>
      <c r="E62" s="90"/>
      <c r="F62" s="100"/>
      <c r="G62" s="137"/>
      <c r="H62" s="137"/>
      <c r="I62" s="90"/>
      <c r="J62" s="90"/>
      <c r="K62" s="90"/>
      <c r="L62" s="90"/>
      <c r="M62" s="90"/>
      <c r="N62" s="81"/>
    </row>
    <row r="63" spans="2:17">
      <c r="B63" s="80"/>
      <c r="C63" s="90"/>
      <c r="D63" s="90" t="s">
        <v>296</v>
      </c>
      <c r="E63" s="90"/>
      <c r="F63" s="138" t="str">
        <f>+F10</f>
        <v>P. Werknemer</v>
      </c>
      <c r="G63" s="125"/>
      <c r="H63" s="125"/>
      <c r="I63" s="94"/>
      <c r="J63" s="90"/>
      <c r="K63" s="90"/>
      <c r="L63" s="93"/>
      <c r="M63" s="119"/>
      <c r="N63" s="116"/>
      <c r="O63" s="113"/>
      <c r="P63" s="113"/>
      <c r="Q63" s="113"/>
    </row>
    <row r="64" spans="2:17">
      <c r="B64" s="80"/>
      <c r="C64" s="90"/>
      <c r="D64" s="90" t="s">
        <v>297</v>
      </c>
      <c r="E64" s="90"/>
      <c r="F64" s="138" t="str">
        <f>+F11</f>
        <v>leerkracht</v>
      </c>
      <c r="G64" s="125"/>
      <c r="H64" s="125"/>
      <c r="I64" s="94"/>
      <c r="J64" s="90"/>
      <c r="K64" s="90"/>
      <c r="L64" s="93"/>
      <c r="M64" s="119"/>
      <c r="N64" s="116"/>
      <c r="O64" s="113"/>
      <c r="P64" s="113"/>
      <c r="Q64" s="113"/>
    </row>
    <row r="65" spans="2:25">
      <c r="B65" s="80"/>
      <c r="C65" s="90"/>
      <c r="D65" s="90" t="s">
        <v>298</v>
      </c>
      <c r="E65" s="90"/>
      <c r="F65" s="138" t="str">
        <f>+F12</f>
        <v>School</v>
      </c>
      <c r="G65" s="125"/>
      <c r="H65" s="125"/>
      <c r="I65" s="94"/>
      <c r="J65" s="90"/>
      <c r="K65" s="90"/>
      <c r="L65" s="93"/>
      <c r="M65" s="119"/>
      <c r="N65" s="116"/>
      <c r="O65" s="113"/>
      <c r="P65" s="113"/>
      <c r="Q65" s="113"/>
    </row>
    <row r="66" spans="2:25">
      <c r="B66" s="80"/>
      <c r="C66" s="90"/>
      <c r="D66" s="90" t="s">
        <v>322</v>
      </c>
      <c r="E66" s="97"/>
      <c r="F66" s="154">
        <f>+F13</f>
        <v>22018</v>
      </c>
      <c r="G66" s="125"/>
      <c r="H66" s="125"/>
      <c r="I66" s="90"/>
      <c r="J66" s="90"/>
      <c r="K66" s="90"/>
      <c r="L66" s="93"/>
      <c r="M66" s="119"/>
      <c r="N66" s="116"/>
      <c r="O66" s="113"/>
      <c r="P66" s="113"/>
      <c r="Q66" s="113"/>
    </row>
    <row r="67" spans="2:25">
      <c r="B67" s="80"/>
      <c r="C67" s="90"/>
      <c r="D67" s="90" t="s">
        <v>530</v>
      </c>
      <c r="E67" s="90"/>
      <c r="F67" s="126">
        <f>+T72</f>
        <v>53</v>
      </c>
      <c r="G67" s="125"/>
      <c r="H67" s="125"/>
      <c r="I67" s="94"/>
      <c r="J67" s="90"/>
      <c r="K67" s="90"/>
      <c r="L67" s="93"/>
      <c r="M67" s="93"/>
      <c r="N67" s="140"/>
      <c r="O67" s="67"/>
      <c r="P67" s="67"/>
      <c r="Q67" s="67"/>
    </row>
    <row r="68" spans="2:25">
      <c r="B68" s="80"/>
      <c r="C68" s="90"/>
      <c r="D68" s="90" t="s">
        <v>323</v>
      </c>
      <c r="E68" s="93"/>
      <c r="F68" s="129">
        <f>+F15</f>
        <v>41487</v>
      </c>
      <c r="G68" s="128"/>
      <c r="H68" s="128"/>
      <c r="I68" s="90"/>
      <c r="J68" s="90"/>
      <c r="K68" s="90"/>
      <c r="L68" s="93"/>
      <c r="M68" s="119"/>
      <c r="N68" s="116"/>
      <c r="O68" s="113"/>
      <c r="P68" s="113"/>
      <c r="Q68" s="113"/>
    </row>
    <row r="69" spans="2:25">
      <c r="B69" s="80"/>
      <c r="C69" s="90"/>
      <c r="D69" s="90"/>
      <c r="E69" s="90"/>
      <c r="F69" s="90"/>
      <c r="G69" s="90"/>
      <c r="H69" s="90"/>
      <c r="I69" s="90"/>
      <c r="J69" s="133"/>
      <c r="K69" s="90"/>
      <c r="L69" s="90"/>
      <c r="M69" s="119"/>
      <c r="N69" s="116"/>
      <c r="O69" s="113"/>
      <c r="P69" s="113"/>
      <c r="Q69" s="113"/>
    </row>
    <row r="70" spans="2:25">
      <c r="B70" s="80"/>
      <c r="L70" s="67"/>
      <c r="M70" s="67"/>
      <c r="N70" s="140"/>
      <c r="O70" s="67"/>
      <c r="P70" s="67"/>
      <c r="Q70" s="67"/>
    </row>
    <row r="71" spans="2:25">
      <c r="B71" s="80"/>
      <c r="C71" s="90"/>
      <c r="D71" s="90"/>
      <c r="E71" s="90"/>
      <c r="F71" s="90"/>
      <c r="G71" s="90"/>
      <c r="H71" s="90"/>
      <c r="I71" s="90"/>
      <c r="J71" s="90"/>
      <c r="K71" s="90"/>
      <c r="L71" s="93"/>
      <c r="M71" s="93"/>
      <c r="N71" s="140"/>
      <c r="O71" s="67"/>
      <c r="P71" s="67"/>
      <c r="Q71" s="67"/>
      <c r="T71" s="7"/>
    </row>
    <row r="72" spans="2:25">
      <c r="B72" s="80"/>
      <c r="C72" s="90"/>
      <c r="D72" s="93" t="s">
        <v>81</v>
      </c>
      <c r="E72" s="90"/>
      <c r="F72" s="90"/>
      <c r="G72" s="90"/>
      <c r="H72" s="90"/>
      <c r="I72" s="90"/>
      <c r="J72" s="90"/>
      <c r="K72" s="90"/>
      <c r="L72" s="93"/>
      <c r="M72" s="93"/>
      <c r="N72" s="140"/>
      <c r="O72" s="67"/>
      <c r="P72" s="67"/>
      <c r="Q72" s="67"/>
      <c r="S72" s="71">
        <f>YEAR(F15-F13)</f>
        <v>1953</v>
      </c>
      <c r="T72" s="71">
        <f>S72-1900</f>
        <v>53</v>
      </c>
    </row>
    <row r="73" spans="2:25">
      <c r="B73" s="80"/>
      <c r="C73" s="90"/>
      <c r="D73" s="93"/>
      <c r="E73" s="90"/>
      <c r="F73" s="90"/>
      <c r="G73" s="90"/>
      <c r="H73" s="90"/>
      <c r="I73" s="90"/>
      <c r="J73" s="92" t="s">
        <v>555</v>
      </c>
      <c r="K73" s="90" t="s">
        <v>556</v>
      </c>
      <c r="L73" s="93"/>
      <c r="M73" s="93"/>
      <c r="N73" s="140"/>
      <c r="O73" s="67"/>
      <c r="P73" s="67"/>
      <c r="Q73" s="67"/>
    </row>
    <row r="74" spans="2:25">
      <c r="B74" s="80"/>
      <c r="C74" s="90"/>
      <c r="D74" s="90" t="s">
        <v>317</v>
      </c>
      <c r="E74" s="90"/>
      <c r="F74" s="90"/>
      <c r="G74" s="90"/>
      <c r="H74" s="139">
        <f>+H164</f>
        <v>832</v>
      </c>
      <c r="I74" s="90"/>
      <c r="J74" s="242">
        <f>+V81*H84</f>
        <v>930</v>
      </c>
      <c r="K74" s="242">
        <f>+V81*H84-H96</f>
        <v>826</v>
      </c>
      <c r="L74" s="93"/>
      <c r="M74" s="93"/>
      <c r="N74" s="140"/>
      <c r="O74" s="67"/>
      <c r="P74" s="67"/>
      <c r="Q74" s="67"/>
    </row>
    <row r="75" spans="2:25">
      <c r="B75" s="80"/>
      <c r="C75" s="90"/>
      <c r="D75" s="90" t="s">
        <v>458</v>
      </c>
      <c r="E75" s="90"/>
      <c r="F75" s="90"/>
      <c r="G75" s="90"/>
      <c r="H75" s="139">
        <f>ROUND(+H165*340/208,0)</f>
        <v>163</v>
      </c>
      <c r="I75" s="90"/>
      <c r="J75" s="242"/>
      <c r="K75" s="242">
        <f>+H75</f>
        <v>163</v>
      </c>
      <c r="L75" s="93"/>
      <c r="M75" s="93"/>
      <c r="N75" s="140"/>
      <c r="O75" s="67"/>
      <c r="P75" s="67"/>
      <c r="Q75" s="67"/>
      <c r="R75" s="113"/>
    </row>
    <row r="76" spans="2:25">
      <c r="B76" s="80"/>
      <c r="C76" s="90"/>
      <c r="D76" s="90" t="s">
        <v>318</v>
      </c>
      <c r="E76" s="90"/>
      <c r="F76" s="90"/>
      <c r="G76" s="90"/>
      <c r="H76" s="139">
        <f>+H186</f>
        <v>511</v>
      </c>
      <c r="I76" s="90"/>
      <c r="J76" s="242">
        <f>+V85*H84</f>
        <v>563</v>
      </c>
      <c r="K76" s="242">
        <f>+V85*H84-(F96-H96)+(J77-K77)</f>
        <v>514</v>
      </c>
      <c r="L76" s="93"/>
      <c r="M76" s="93"/>
      <c r="N76" s="140"/>
      <c r="O76" s="67"/>
      <c r="P76" s="67"/>
      <c r="Q76" s="67"/>
      <c r="R76" s="113"/>
    </row>
    <row r="77" spans="2:25">
      <c r="B77" s="80"/>
      <c r="C77" s="90"/>
      <c r="D77" s="90" t="s">
        <v>319</v>
      </c>
      <c r="E77" s="90"/>
      <c r="F77" s="90"/>
      <c r="G77" s="90"/>
      <c r="H77" s="101">
        <f>+H100</f>
        <v>149</v>
      </c>
      <c r="I77" s="90"/>
      <c r="J77" s="242">
        <f>+V82*H84</f>
        <v>166</v>
      </c>
      <c r="K77" s="242">
        <f>+W82*H84</f>
        <v>149</v>
      </c>
      <c r="L77" s="93"/>
      <c r="M77" s="93"/>
      <c r="N77" s="140"/>
      <c r="O77" s="67"/>
      <c r="P77" s="67"/>
      <c r="Q77" s="67"/>
      <c r="R77" s="113"/>
    </row>
    <row r="78" spans="2:25">
      <c r="B78" s="80"/>
      <c r="C78" s="90"/>
      <c r="D78" s="90" t="s">
        <v>321</v>
      </c>
      <c r="E78" s="90"/>
      <c r="F78" s="90"/>
      <c r="G78" s="90"/>
      <c r="H78" s="139">
        <f>SUM(H74:H77)</f>
        <v>1655</v>
      </c>
      <c r="I78" s="90"/>
      <c r="J78" s="242">
        <f>+V80*H84</f>
        <v>1659</v>
      </c>
      <c r="K78" s="242">
        <f>SUM(K74:K77)</f>
        <v>1652</v>
      </c>
      <c r="L78" s="93"/>
      <c r="M78" s="93"/>
      <c r="N78" s="140"/>
      <c r="O78" s="67"/>
      <c r="P78" s="67"/>
      <c r="Q78" s="67"/>
      <c r="R78" s="113"/>
      <c r="W78" s="71" t="s">
        <v>552</v>
      </c>
      <c r="Y78" s="71" t="s">
        <v>581</v>
      </c>
    </row>
    <row r="79" spans="2:25">
      <c r="B79" s="80"/>
      <c r="C79" s="90"/>
      <c r="D79" s="159" t="s">
        <v>374</v>
      </c>
      <c r="E79" s="90"/>
      <c r="F79" s="90"/>
      <c r="G79" s="90"/>
      <c r="H79" s="139">
        <f>-H193</f>
        <v>-3</v>
      </c>
      <c r="I79" s="90"/>
      <c r="J79" s="90"/>
      <c r="K79" s="90"/>
      <c r="L79" s="93"/>
      <c r="M79" s="93"/>
      <c r="N79" s="140"/>
      <c r="O79" s="67"/>
      <c r="P79" s="67"/>
      <c r="Q79" s="67"/>
      <c r="R79" s="113"/>
      <c r="T79" s="67" t="s">
        <v>357</v>
      </c>
      <c r="U79" s="67"/>
      <c r="W79" s="167">
        <f>+F96</f>
        <v>170</v>
      </c>
      <c r="Y79" s="71">
        <f>+H85*0.5</f>
        <v>829.5</v>
      </c>
    </row>
    <row r="80" spans="2:25">
      <c r="B80" s="80"/>
      <c r="C80" s="90"/>
      <c r="D80" s="90"/>
      <c r="E80" s="90"/>
      <c r="F80" s="90"/>
      <c r="G80" s="90"/>
      <c r="H80" s="133"/>
      <c r="I80" s="90"/>
      <c r="J80" s="90"/>
      <c r="K80" s="90"/>
      <c r="L80" s="93"/>
      <c r="M80" s="93"/>
      <c r="N80" s="140"/>
      <c r="O80" s="67"/>
      <c r="P80" s="67"/>
      <c r="Q80" s="67"/>
      <c r="R80" s="113"/>
      <c r="T80" s="71" t="s">
        <v>553</v>
      </c>
      <c r="V80" s="71">
        <v>1659</v>
      </c>
      <c r="W80" s="167">
        <f>+V80-W79</f>
        <v>1489</v>
      </c>
    </row>
    <row r="81" spans="2:23">
      <c r="B81" s="80"/>
      <c r="H81" s="115"/>
      <c r="L81" s="67"/>
      <c r="M81" s="67"/>
      <c r="N81" s="140"/>
      <c r="O81" s="67"/>
      <c r="P81" s="67"/>
      <c r="Q81" s="67"/>
      <c r="R81" s="113"/>
      <c r="T81" s="71" t="s">
        <v>356</v>
      </c>
      <c r="V81" s="71">
        <v>930</v>
      </c>
      <c r="W81" s="82">
        <f>+V81-H96</f>
        <v>826</v>
      </c>
    </row>
    <row r="82" spans="2:23">
      <c r="B82" s="80"/>
      <c r="H82" s="115"/>
      <c r="L82" s="67"/>
      <c r="M82" s="67"/>
      <c r="N82" s="140"/>
      <c r="O82" s="67"/>
      <c r="P82" s="67"/>
      <c r="Q82" s="67"/>
      <c r="R82" s="113"/>
      <c r="T82" s="160" t="s">
        <v>284</v>
      </c>
      <c r="U82" s="85"/>
      <c r="V82" s="71">
        <v>166</v>
      </c>
      <c r="W82" s="71">
        <f>ROUND(10%*W80,0)</f>
        <v>149</v>
      </c>
    </row>
    <row r="83" spans="2:23">
      <c r="B83" s="80"/>
      <c r="C83" s="90"/>
      <c r="D83" s="90"/>
      <c r="E83" s="90"/>
      <c r="F83" s="90"/>
      <c r="G83" s="90"/>
      <c r="H83" s="133"/>
      <c r="I83" s="90"/>
      <c r="J83" s="90"/>
      <c r="K83" s="90"/>
      <c r="L83" s="93"/>
      <c r="M83" s="93"/>
      <c r="N83" s="140"/>
      <c r="O83" s="67"/>
      <c r="P83" s="67"/>
      <c r="Q83" s="67"/>
      <c r="R83" s="113"/>
      <c r="T83" s="85" t="s">
        <v>360</v>
      </c>
      <c r="U83" s="85"/>
      <c r="V83" s="71">
        <f>+V82-V84</f>
        <v>83</v>
      </c>
      <c r="W83" s="71">
        <f>+W82-W84</f>
        <v>74</v>
      </c>
    </row>
    <row r="84" spans="2:23">
      <c r="B84" s="80"/>
      <c r="C84" s="90"/>
      <c r="D84" s="93" t="s">
        <v>283</v>
      </c>
      <c r="E84" s="90"/>
      <c r="F84" s="90"/>
      <c r="G84" s="90"/>
      <c r="H84" s="153">
        <f>+H48</f>
        <v>1</v>
      </c>
      <c r="I84" s="90"/>
      <c r="J84" s="90"/>
      <c r="K84" s="90"/>
      <c r="L84" s="90"/>
      <c r="M84" s="90"/>
      <c r="N84" s="81"/>
      <c r="R84" s="113"/>
      <c r="T84" s="85" t="s">
        <v>361</v>
      </c>
      <c r="U84" s="161">
        <v>0.5</v>
      </c>
      <c r="V84" s="71">
        <f>ROUND(+V82*$U84,0)</f>
        <v>83</v>
      </c>
      <c r="W84" s="71">
        <f>ROUND(+W82*$U84,0)</f>
        <v>75</v>
      </c>
    </row>
    <row r="85" spans="2:23">
      <c r="B85" s="80"/>
      <c r="C85" s="90"/>
      <c r="D85" s="90" t="s">
        <v>382</v>
      </c>
      <c r="E85" s="90"/>
      <c r="F85" s="92"/>
      <c r="G85" s="90"/>
      <c r="H85" s="107">
        <f>ROUND(+V80*H84,0)</f>
        <v>1659</v>
      </c>
      <c r="I85" s="210" t="s">
        <v>302</v>
      </c>
      <c r="J85" s="90"/>
      <c r="K85" s="90"/>
      <c r="L85" s="90"/>
      <c r="M85" s="90"/>
      <c r="N85" s="81"/>
      <c r="R85" s="113"/>
      <c r="T85" s="160" t="s">
        <v>362</v>
      </c>
      <c r="V85" s="71">
        <f>+V80-V81-V82</f>
        <v>563</v>
      </c>
      <c r="W85" s="82">
        <f>+W80-W81-W82</f>
        <v>514</v>
      </c>
    </row>
    <row r="86" spans="2:23">
      <c r="B86" s="80"/>
      <c r="C86" s="90"/>
      <c r="D86" s="90" t="s">
        <v>554</v>
      </c>
      <c r="E86" s="90"/>
      <c r="F86" s="92"/>
      <c r="G86" s="90"/>
      <c r="H86" s="139">
        <f>+H85-F96</f>
        <v>1489</v>
      </c>
      <c r="I86" s="210"/>
      <c r="J86" s="90"/>
      <c r="K86" s="90"/>
      <c r="L86" s="90"/>
      <c r="M86" s="90"/>
      <c r="N86" s="81"/>
      <c r="R86" s="113"/>
    </row>
    <row r="87" spans="2:23">
      <c r="B87" s="80"/>
      <c r="C87" s="90"/>
      <c r="D87" s="90"/>
      <c r="E87" s="90"/>
      <c r="F87" s="92"/>
      <c r="G87" s="90"/>
      <c r="H87" s="241"/>
      <c r="I87" s="210"/>
      <c r="J87" s="90"/>
      <c r="K87" s="90"/>
      <c r="L87" s="90"/>
      <c r="M87" s="90"/>
      <c r="N87" s="81"/>
      <c r="R87" s="113"/>
    </row>
    <row r="88" spans="2:23">
      <c r="B88" s="80"/>
      <c r="C88" s="90"/>
      <c r="D88" s="137" t="s">
        <v>378</v>
      </c>
      <c r="E88" s="97"/>
      <c r="F88" s="217">
        <f>DATE(YEAR($F66)+52,MONTH($F66),DAY($F66))</f>
        <v>41011</v>
      </c>
      <c r="G88" s="90"/>
      <c r="H88" s="92"/>
      <c r="I88" s="210"/>
      <c r="J88" s="90"/>
      <c r="K88" s="90"/>
      <c r="L88" s="90"/>
      <c r="M88" s="90"/>
      <c r="N88" s="81"/>
      <c r="R88" s="113"/>
    </row>
    <row r="89" spans="2:23">
      <c r="B89" s="80"/>
      <c r="C89" s="90"/>
      <c r="D89" s="137" t="s">
        <v>72</v>
      </c>
      <c r="E89" s="97"/>
      <c r="F89" s="137" t="str">
        <f>IF((AND($F68&lt;=F88,F88&lt;=T94)),"ja",IF(F88&gt;T94,"later","eerder"))</f>
        <v>eerder</v>
      </c>
      <c r="G89" s="90"/>
      <c r="H89" s="101">
        <f>IF(F89="ja",+V99,IF(F89="eerder",12,0))</f>
        <v>12</v>
      </c>
      <c r="I89" s="210" t="s">
        <v>376</v>
      </c>
      <c r="J89" s="90"/>
      <c r="K89" s="90"/>
      <c r="L89" s="90"/>
      <c r="M89" s="135"/>
      <c r="N89" s="141"/>
      <c r="O89" s="164"/>
      <c r="P89" s="164"/>
      <c r="Q89" s="164"/>
    </row>
    <row r="90" spans="2:23">
      <c r="B90" s="80"/>
      <c r="C90" s="90"/>
      <c r="D90" s="137" t="s">
        <v>450</v>
      </c>
      <c r="E90" s="97"/>
      <c r="F90" s="217">
        <f>DATE(YEAR($F66)+56,MONTH($F66),DAY($F66))</f>
        <v>42472</v>
      </c>
      <c r="G90" s="90"/>
      <c r="H90" s="92"/>
      <c r="I90" s="210"/>
      <c r="J90" s="90"/>
      <c r="K90" s="90"/>
      <c r="L90" s="90"/>
      <c r="M90" s="90"/>
      <c r="N90" s="81"/>
    </row>
    <row r="91" spans="2:23">
      <c r="B91" s="80"/>
      <c r="C91" s="90"/>
      <c r="D91" s="137" t="s">
        <v>73</v>
      </c>
      <c r="E91" s="97"/>
      <c r="F91" s="137" t="str">
        <f>IF((AND($F68&lt;=F90,F90&lt;=T94)),"ja",IF(F90&gt;T94,"later","eerder"))</f>
        <v>later</v>
      </c>
      <c r="G91" s="90"/>
      <c r="H91" s="101">
        <f>IF(F91="ja",+W99,IF(F91="eerder",12,0))</f>
        <v>0</v>
      </c>
      <c r="I91" s="210" t="s">
        <v>376</v>
      </c>
      <c r="J91" s="90"/>
      <c r="K91" s="90"/>
      <c r="L91" s="90"/>
      <c r="M91" s="97"/>
      <c r="N91" s="142"/>
      <c r="O91" s="85"/>
      <c r="P91" s="85"/>
      <c r="Q91" s="85"/>
    </row>
    <row r="92" spans="2:23">
      <c r="B92" s="80"/>
      <c r="C92" s="90"/>
      <c r="D92" s="90"/>
      <c r="E92" s="90"/>
      <c r="F92" s="90"/>
      <c r="G92" s="90"/>
      <c r="H92" s="90"/>
      <c r="I92" s="90"/>
      <c r="J92" s="90"/>
      <c r="K92" s="90"/>
      <c r="L92" s="90"/>
      <c r="M92" s="90"/>
      <c r="N92" s="81"/>
    </row>
    <row r="93" spans="2:23">
      <c r="B93" s="80"/>
      <c r="C93" s="90"/>
      <c r="D93" s="90"/>
      <c r="E93" s="90"/>
      <c r="F93" s="90"/>
      <c r="G93" s="90"/>
      <c r="H93" s="90"/>
      <c r="I93" s="90"/>
      <c r="J93" s="90"/>
      <c r="K93" s="90"/>
      <c r="L93" s="90"/>
      <c r="M93" s="90"/>
      <c r="N93" s="81"/>
      <c r="T93" s="115">
        <f>DATE(YEAR($F68),MONTH($F68),DAY($F68))</f>
        <v>41487</v>
      </c>
      <c r="U93" s="71">
        <f>YEAR(T93)</f>
        <v>2013</v>
      </c>
    </row>
    <row r="94" spans="2:23">
      <c r="B94" s="80"/>
      <c r="C94" s="90"/>
      <c r="D94" s="90"/>
      <c r="E94" s="90"/>
      <c r="F94" s="132" t="s">
        <v>302</v>
      </c>
      <c r="G94" s="90"/>
      <c r="H94" s="132" t="s">
        <v>372</v>
      </c>
      <c r="I94" s="90"/>
      <c r="J94" s="90"/>
      <c r="K94" s="216" t="s">
        <v>19</v>
      </c>
      <c r="L94" s="90"/>
      <c r="M94" s="90"/>
      <c r="N94" s="81"/>
      <c r="T94" s="115">
        <f>DATE(YEAR($F68)+1,MONTH($F68),DAY($F68))</f>
        <v>41852</v>
      </c>
      <c r="U94" s="71">
        <f>YEAR(T94)</f>
        <v>2014</v>
      </c>
      <c r="V94" s="235"/>
    </row>
    <row r="95" spans="2:23">
      <c r="B95" s="80"/>
      <c r="C95" s="90"/>
      <c r="D95" s="90"/>
      <c r="E95" s="90"/>
      <c r="F95" s="90"/>
      <c r="G95" s="90"/>
      <c r="H95" s="90"/>
      <c r="I95" s="90"/>
      <c r="J95" s="90"/>
      <c r="K95" s="90"/>
      <c r="L95" s="90"/>
      <c r="M95" s="90"/>
      <c r="N95" s="81"/>
    </row>
    <row r="96" spans="2:23">
      <c r="B96" s="80"/>
      <c r="C96" s="90"/>
      <c r="D96" s="100" t="s">
        <v>549</v>
      </c>
      <c r="E96" s="104"/>
      <c r="F96" s="156">
        <v>170</v>
      </c>
      <c r="G96" s="90"/>
      <c r="H96" s="139">
        <f>+F96*208/340</f>
        <v>104</v>
      </c>
      <c r="I96" s="90"/>
      <c r="J96" s="90"/>
      <c r="K96" s="289">
        <f>ROUND(+F96/H85,4)</f>
        <v>0.10249999999999999</v>
      </c>
      <c r="L96" s="90"/>
      <c r="M96" s="90"/>
      <c r="N96" s="81"/>
      <c r="V96" s="71">
        <v>52</v>
      </c>
      <c r="W96" s="71">
        <v>56</v>
      </c>
    </row>
    <row r="97" spans="2:26">
      <c r="B97" s="80"/>
      <c r="C97" s="90"/>
      <c r="D97" s="137" t="s">
        <v>452</v>
      </c>
      <c r="E97" s="97"/>
      <c r="F97" s="101">
        <f>IF((ROUND(ROUND(170*IF(H84&gt;1,1,H84)*((H89+H91)/12),1)/0.5,0)*0.5)&lt;45,0,ROUND(ROUND(170*IF(H84&gt;1,1,H84)*((H89+H91)/12),1)/0.5,0)*0.5)</f>
        <v>170</v>
      </c>
      <c r="G97" s="90"/>
      <c r="H97" s="139">
        <f>+F97*208/340</f>
        <v>104</v>
      </c>
      <c r="I97" s="90"/>
      <c r="J97" s="90"/>
      <c r="K97" s="90"/>
      <c r="L97" s="90"/>
      <c r="M97" s="90"/>
      <c r="N97" s="81"/>
      <c r="T97" s="160" t="s">
        <v>375</v>
      </c>
      <c r="V97" s="164">
        <f>DATE(YEAR($F66)+52,MONTH($F66),DAY($F66))</f>
        <v>41011</v>
      </c>
      <c r="W97" s="164">
        <f>DATE(YEAR($F66)+56,MONTH($F66),DAY($F66))</f>
        <v>42472</v>
      </c>
      <c r="Y97" s="71">
        <f>MONTH(V97)</f>
        <v>4</v>
      </c>
      <c r="Z97" s="71">
        <f>MONTH(W97)</f>
        <v>4</v>
      </c>
    </row>
    <row r="98" spans="2:26">
      <c r="B98" s="80"/>
      <c r="C98" s="90"/>
      <c r="D98" s="137" t="s">
        <v>371</v>
      </c>
      <c r="E98" s="97"/>
      <c r="F98" s="83">
        <v>0</v>
      </c>
      <c r="G98" s="90"/>
      <c r="H98" s="139">
        <f>+F98*208/340</f>
        <v>0</v>
      </c>
      <c r="I98" s="90"/>
      <c r="J98" s="90"/>
      <c r="K98" s="90"/>
      <c r="L98" s="90"/>
      <c r="M98" s="90"/>
      <c r="N98" s="81"/>
      <c r="T98" s="160" t="s">
        <v>380</v>
      </c>
      <c r="V98" s="71">
        <f>Y97+1</f>
        <v>5</v>
      </c>
      <c r="W98" s="71">
        <f>+Z97+1</f>
        <v>5</v>
      </c>
      <c r="Y98" s="71">
        <f>YEAR(V97)</f>
        <v>2012</v>
      </c>
      <c r="Z98" s="71">
        <f>YEAR(W97)</f>
        <v>2016</v>
      </c>
    </row>
    <row r="99" spans="2:26">
      <c r="B99" s="80"/>
      <c r="C99" s="90"/>
      <c r="D99" s="236" t="s">
        <v>453</v>
      </c>
      <c r="E99" s="237"/>
      <c r="F99" s="238">
        <f>IF(F67&gt;=52,+F97+F98-F96,IF(F67&gt;55,0,+F98-(F96-F97)))</f>
        <v>0</v>
      </c>
      <c r="G99" s="239"/>
      <c r="H99" s="240">
        <f>+F99*208/340</f>
        <v>0</v>
      </c>
      <c r="I99" s="122" t="str">
        <f>IF(F99&lt;0,"Er mag niet meer BAPO worden opgenomen als beschikbaar is","")</f>
        <v/>
      </c>
      <c r="J99" s="90"/>
      <c r="K99" s="90"/>
      <c r="L99" s="136"/>
      <c r="M99" s="90"/>
      <c r="N99" s="81"/>
      <c r="T99" s="160" t="s">
        <v>9</v>
      </c>
      <c r="V99" s="85">
        <f>IF(Y99=12,12,IF((8-V98)&lt;0,(12-V98+8),(8-V98)))</f>
        <v>12</v>
      </c>
      <c r="W99" s="85">
        <f>IF(Z99=12,12,IF((8-W98)&lt;0,(12-W98+8),(8-W98)))</f>
        <v>3</v>
      </c>
      <c r="Y99" s="71">
        <f>IF($F68&gt;V97,12,IF((AND($F68&lt;=V97,V97&lt;=T93)),V98,0))</f>
        <v>12</v>
      </c>
      <c r="Z99" s="71">
        <f>IF($F68&gt;W97,12,IF((AND($F68&lt;=W97,W97&lt;=T94)),W98,0))</f>
        <v>0</v>
      </c>
    </row>
    <row r="100" spans="2:26">
      <c r="B100" s="80"/>
      <c r="C100" s="90"/>
      <c r="D100" s="100" t="s">
        <v>319</v>
      </c>
      <c r="E100" s="90"/>
      <c r="F100" s="92"/>
      <c r="G100" s="90"/>
      <c r="H100" s="101">
        <f>ROUND((V80-F96)*10%*H84,0)</f>
        <v>149</v>
      </c>
      <c r="I100" s="90"/>
      <c r="J100" s="90"/>
      <c r="K100" s="90"/>
      <c r="L100" s="90"/>
      <c r="M100" s="90"/>
      <c r="N100" s="81"/>
    </row>
    <row r="101" spans="2:26">
      <c r="B101" s="80"/>
      <c r="C101" s="90"/>
      <c r="D101" s="137" t="s">
        <v>587</v>
      </c>
      <c r="E101" s="97"/>
      <c r="F101" s="92"/>
      <c r="G101" s="90"/>
      <c r="H101" s="101">
        <f>+H100-H102</f>
        <v>74</v>
      </c>
      <c r="I101" s="210"/>
      <c r="J101" s="90"/>
      <c r="K101" s="90"/>
      <c r="L101" s="90"/>
      <c r="M101" s="90"/>
      <c r="N101" s="81"/>
      <c r="T101" s="85" t="s">
        <v>550</v>
      </c>
      <c r="U101" s="71">
        <f>10%*F96</f>
        <v>17</v>
      </c>
    </row>
    <row r="102" spans="2:26">
      <c r="B102" s="80"/>
      <c r="C102" s="90"/>
      <c r="D102" s="137" t="s">
        <v>588</v>
      </c>
      <c r="E102" s="97"/>
      <c r="F102" s="144">
        <v>0.5</v>
      </c>
      <c r="G102" s="90"/>
      <c r="H102" s="101">
        <f>ROUND(+H100*F102,0)</f>
        <v>75</v>
      </c>
      <c r="I102" s="210"/>
      <c r="J102" s="90"/>
      <c r="K102" s="90"/>
      <c r="L102" s="90"/>
      <c r="M102" s="90"/>
      <c r="N102" s="81"/>
      <c r="T102" s="85" t="s">
        <v>551</v>
      </c>
      <c r="U102" s="167">
        <f>+F96-H96-U101</f>
        <v>49</v>
      </c>
    </row>
    <row r="103" spans="2:26">
      <c r="B103" s="80"/>
      <c r="C103" s="90"/>
      <c r="D103" s="90"/>
      <c r="E103" s="90"/>
      <c r="F103" s="90"/>
      <c r="G103" s="90"/>
      <c r="H103" s="90"/>
      <c r="I103" s="218"/>
      <c r="J103" s="90"/>
      <c r="K103" s="90"/>
      <c r="L103" s="90"/>
      <c r="M103" s="90"/>
      <c r="N103" s="81"/>
    </row>
    <row r="104" spans="2:26">
      <c r="B104" s="80"/>
      <c r="C104" s="90"/>
      <c r="D104" s="90"/>
      <c r="E104" s="90"/>
      <c r="F104" s="90"/>
      <c r="G104" s="90"/>
      <c r="H104" s="90"/>
      <c r="I104" s="218"/>
      <c r="J104" s="90"/>
      <c r="K104" s="90"/>
      <c r="L104" s="90"/>
      <c r="M104" s="90"/>
      <c r="N104" s="81"/>
    </row>
    <row r="105" spans="2:26">
      <c r="B105" s="80"/>
      <c r="N105" s="81"/>
    </row>
    <row r="106" spans="2:26">
      <c r="B106" s="80"/>
      <c r="N106" s="81"/>
    </row>
    <row r="107" spans="2:26">
      <c r="B107" s="80"/>
      <c r="C107" s="90"/>
      <c r="D107" s="90"/>
      <c r="E107" s="90"/>
      <c r="F107" s="90"/>
      <c r="G107" s="90"/>
      <c r="H107" s="90"/>
      <c r="I107" s="90"/>
      <c r="J107" s="90"/>
      <c r="K107" s="90"/>
      <c r="L107" s="90"/>
      <c r="M107" s="90"/>
      <c r="N107" s="81"/>
    </row>
    <row r="108" spans="2:26">
      <c r="B108" s="80"/>
      <c r="C108" s="90"/>
      <c r="D108" s="93" t="s">
        <v>391</v>
      </c>
      <c r="E108" s="93"/>
      <c r="F108" s="83">
        <v>27.2</v>
      </c>
      <c r="G108" s="90"/>
      <c r="H108" s="90"/>
      <c r="I108" s="90"/>
      <c r="J108" s="90"/>
      <c r="K108" s="90"/>
      <c r="L108" s="90"/>
      <c r="M108" s="90"/>
      <c r="N108" s="81"/>
    </row>
    <row r="109" spans="2:26">
      <c r="B109" s="80"/>
      <c r="C109" s="90"/>
      <c r="D109" s="93"/>
      <c r="E109" s="93"/>
      <c r="F109" s="90"/>
      <c r="G109" s="90"/>
      <c r="H109" s="90"/>
      <c r="I109" s="90"/>
      <c r="J109" s="90"/>
      <c r="K109" s="90"/>
      <c r="L109" s="90"/>
      <c r="M109" s="90"/>
      <c r="N109" s="81"/>
    </row>
    <row r="110" spans="2:26">
      <c r="B110" s="80"/>
      <c r="C110" s="90"/>
      <c r="D110" s="90"/>
      <c r="E110" s="90"/>
      <c r="F110" s="103" t="s">
        <v>290</v>
      </c>
      <c r="G110" s="103" t="s">
        <v>291</v>
      </c>
      <c r="H110" s="103" t="s">
        <v>533</v>
      </c>
      <c r="I110" s="90"/>
      <c r="J110" s="103" t="s">
        <v>531</v>
      </c>
      <c r="K110" s="103" t="s">
        <v>79</v>
      </c>
      <c r="L110" s="90"/>
      <c r="M110" s="90"/>
      <c r="N110" s="81"/>
    </row>
    <row r="111" spans="2:26">
      <c r="B111" s="80"/>
      <c r="C111" s="90"/>
      <c r="D111" s="90"/>
      <c r="E111" s="90"/>
      <c r="F111" s="92"/>
      <c r="G111" s="92"/>
      <c r="H111" s="92"/>
      <c r="I111" s="90"/>
      <c r="J111" s="90"/>
      <c r="K111" s="90"/>
      <c r="L111" s="90"/>
      <c r="M111" s="90"/>
      <c r="N111" s="81"/>
    </row>
    <row r="112" spans="2:26">
      <c r="B112" s="80"/>
      <c r="C112" s="90"/>
      <c r="D112" s="90" t="s">
        <v>285</v>
      </c>
      <c r="E112" s="90"/>
      <c r="F112" s="84">
        <v>3.5</v>
      </c>
      <c r="G112" s="84">
        <v>0</v>
      </c>
      <c r="H112" s="101">
        <f>SUM(F112:G112)</f>
        <v>3.5</v>
      </c>
      <c r="I112" s="90"/>
      <c r="J112" s="112" t="s">
        <v>84</v>
      </c>
      <c r="K112" s="83">
        <v>2</v>
      </c>
      <c r="L112" s="92"/>
      <c r="M112" s="90"/>
      <c r="N112" s="81"/>
    </row>
    <row r="113" spans="2:14">
      <c r="B113" s="80"/>
      <c r="C113" s="90"/>
      <c r="D113" s="90" t="s">
        <v>286</v>
      </c>
      <c r="E113" s="90"/>
      <c r="F113" s="84">
        <v>3.5</v>
      </c>
      <c r="G113" s="84">
        <v>2</v>
      </c>
      <c r="H113" s="101">
        <f>SUM(F113:G113)</f>
        <v>5.5</v>
      </c>
      <c r="I113" s="90"/>
      <c r="J113" s="112"/>
      <c r="K113" s="83">
        <v>0</v>
      </c>
      <c r="L113" s="92"/>
      <c r="M113" s="90"/>
      <c r="N113" s="81"/>
    </row>
    <row r="114" spans="2:14">
      <c r="B114" s="80"/>
      <c r="C114" s="90"/>
      <c r="D114" s="90" t="s">
        <v>287</v>
      </c>
      <c r="E114" s="90"/>
      <c r="F114" s="84">
        <v>3.75</v>
      </c>
      <c r="G114" s="84">
        <v>0</v>
      </c>
      <c r="H114" s="101">
        <f>SUM(F114:G114)</f>
        <v>3.75</v>
      </c>
      <c r="I114" s="90"/>
      <c r="J114" s="112"/>
      <c r="K114" s="83">
        <v>0</v>
      </c>
      <c r="L114" s="92"/>
      <c r="M114" s="90"/>
      <c r="N114" s="81"/>
    </row>
    <row r="115" spans="2:14">
      <c r="B115" s="80"/>
      <c r="C115" s="90"/>
      <c r="D115" s="90" t="s">
        <v>288</v>
      </c>
      <c r="E115" s="90"/>
      <c r="F115" s="84">
        <v>3.5</v>
      </c>
      <c r="G115" s="84">
        <v>2</v>
      </c>
      <c r="H115" s="101">
        <f>SUM(F115:G115)</f>
        <v>5.5</v>
      </c>
      <c r="I115" s="90"/>
      <c r="J115" s="112"/>
      <c r="K115" s="83">
        <v>0</v>
      </c>
      <c r="L115" s="92"/>
      <c r="M115" s="90"/>
      <c r="N115" s="81"/>
    </row>
    <row r="116" spans="2:14">
      <c r="B116" s="80"/>
      <c r="C116" s="90"/>
      <c r="D116" s="90" t="s">
        <v>289</v>
      </c>
      <c r="E116" s="90"/>
      <c r="F116" s="84">
        <v>3.5</v>
      </c>
      <c r="G116" s="84">
        <v>0</v>
      </c>
      <c r="H116" s="101">
        <f>SUM(F116:G116)</f>
        <v>3.5</v>
      </c>
      <c r="I116" s="90"/>
      <c r="J116" s="112" t="s">
        <v>589</v>
      </c>
      <c r="K116" s="83">
        <v>0</v>
      </c>
      <c r="L116" s="92"/>
      <c r="M116" s="90"/>
      <c r="N116" s="81"/>
    </row>
    <row r="117" spans="2:14">
      <c r="B117" s="80"/>
      <c r="C117" s="90"/>
      <c r="D117" s="137" t="s">
        <v>295</v>
      </c>
      <c r="E117" s="90"/>
      <c r="F117" s="92"/>
      <c r="G117" s="92"/>
      <c r="H117" s="107">
        <f>SUM(H112:H116)</f>
        <v>21.75</v>
      </c>
      <c r="I117" s="90"/>
      <c r="J117" s="92"/>
      <c r="K117" s="107">
        <f>SUM(K112:K116)</f>
        <v>2</v>
      </c>
      <c r="L117" s="107">
        <f>+F108*K117</f>
        <v>54.4</v>
      </c>
      <c r="M117" s="90"/>
      <c r="N117" s="81"/>
    </row>
    <row r="118" spans="2:14">
      <c r="B118" s="80"/>
      <c r="C118" s="90"/>
      <c r="D118" s="137" t="s">
        <v>337</v>
      </c>
      <c r="E118" s="90"/>
      <c r="F118" s="92"/>
      <c r="G118" s="92"/>
      <c r="H118" s="107">
        <f>ROUND(H117*F108,0)</f>
        <v>592</v>
      </c>
      <c r="I118" s="90"/>
      <c r="J118" s="90"/>
      <c r="K118" s="90"/>
      <c r="L118" s="90"/>
      <c r="M118" s="90"/>
      <c r="N118" s="81"/>
    </row>
    <row r="119" spans="2:14">
      <c r="B119" s="80"/>
      <c r="C119" s="90"/>
      <c r="D119" s="90"/>
      <c r="E119" s="90"/>
      <c r="F119" s="92"/>
      <c r="G119" s="92"/>
      <c r="H119" s="92"/>
      <c r="I119" s="90"/>
      <c r="J119" s="90"/>
      <c r="K119" s="90"/>
      <c r="L119" s="90"/>
      <c r="M119" s="90"/>
      <c r="N119" s="81"/>
    </row>
    <row r="120" spans="2:14">
      <c r="B120" s="80"/>
      <c r="F120" s="75"/>
      <c r="G120" s="75"/>
      <c r="H120" s="75"/>
      <c r="N120" s="81"/>
    </row>
    <row r="121" spans="2:14">
      <c r="B121" s="80"/>
      <c r="C121" s="90"/>
      <c r="D121" s="90"/>
      <c r="E121" s="90"/>
      <c r="F121" s="92"/>
      <c r="G121" s="92"/>
      <c r="H121" s="92"/>
      <c r="I121" s="90"/>
      <c r="J121" s="90"/>
      <c r="K121" s="90"/>
      <c r="L121" s="90"/>
      <c r="M121" s="90"/>
      <c r="N121" s="81"/>
    </row>
    <row r="122" spans="2:14">
      <c r="B122" s="80"/>
      <c r="C122" s="90"/>
      <c r="D122" s="93" t="s">
        <v>392</v>
      </c>
      <c r="E122" s="93"/>
      <c r="F122" s="83">
        <v>12</v>
      </c>
      <c r="G122" s="92"/>
      <c r="H122" s="92"/>
      <c r="I122" s="90"/>
      <c r="J122" s="90"/>
      <c r="K122" s="90"/>
      <c r="L122" s="90"/>
      <c r="M122" s="90"/>
      <c r="N122" s="81"/>
    </row>
    <row r="123" spans="2:14">
      <c r="B123" s="80"/>
      <c r="C123" s="90"/>
      <c r="D123" s="93"/>
      <c r="E123" s="93"/>
      <c r="F123" s="92"/>
      <c r="G123" s="92"/>
      <c r="H123" s="92"/>
      <c r="I123" s="90"/>
      <c r="J123" s="90"/>
      <c r="K123" s="90"/>
      <c r="L123" s="90"/>
      <c r="M123" s="90"/>
      <c r="N123" s="81"/>
    </row>
    <row r="124" spans="2:14">
      <c r="B124" s="80"/>
      <c r="C124" s="90"/>
      <c r="D124" s="90"/>
      <c r="E124" s="90"/>
      <c r="F124" s="103" t="s">
        <v>290</v>
      </c>
      <c r="G124" s="103" t="s">
        <v>291</v>
      </c>
      <c r="H124" s="103" t="s">
        <v>533</v>
      </c>
      <c r="I124" s="90"/>
      <c r="J124" s="103" t="s">
        <v>531</v>
      </c>
      <c r="K124" s="103" t="s">
        <v>79</v>
      </c>
      <c r="L124" s="90"/>
      <c r="M124" s="90"/>
      <c r="N124" s="81"/>
    </row>
    <row r="125" spans="2:14">
      <c r="B125" s="80"/>
      <c r="C125" s="90"/>
      <c r="D125" s="90"/>
      <c r="E125" s="90"/>
      <c r="F125" s="92"/>
      <c r="G125" s="92"/>
      <c r="H125" s="92"/>
      <c r="I125" s="90"/>
      <c r="J125" s="90"/>
      <c r="K125" s="90"/>
      <c r="L125" s="90"/>
      <c r="M125" s="90"/>
      <c r="N125" s="81"/>
    </row>
    <row r="126" spans="2:14">
      <c r="B126" s="80"/>
      <c r="C126" s="90"/>
      <c r="D126" s="90" t="s">
        <v>285</v>
      </c>
      <c r="E126" s="90"/>
      <c r="F126" s="84">
        <v>3.5</v>
      </c>
      <c r="G126" s="84">
        <v>2</v>
      </c>
      <c r="H126" s="101">
        <f>SUM(F126:G126)</f>
        <v>5.5</v>
      </c>
      <c r="I126" s="90"/>
      <c r="J126" s="114"/>
      <c r="K126" s="83">
        <v>0</v>
      </c>
      <c r="L126" s="92"/>
      <c r="M126" s="90"/>
      <c r="N126" s="81"/>
    </row>
    <row r="127" spans="2:14">
      <c r="B127" s="80"/>
      <c r="C127" s="90"/>
      <c r="D127" s="90" t="s">
        <v>286</v>
      </c>
      <c r="E127" s="90"/>
      <c r="F127" s="84">
        <v>3.5</v>
      </c>
      <c r="G127" s="84">
        <v>2</v>
      </c>
      <c r="H127" s="101">
        <f>SUM(F127:G127)</f>
        <v>5.5</v>
      </c>
      <c r="I127" s="90"/>
      <c r="J127" s="114"/>
      <c r="K127" s="83">
        <v>0</v>
      </c>
      <c r="L127" s="92"/>
      <c r="M127" s="90"/>
      <c r="N127" s="81"/>
    </row>
    <row r="128" spans="2:14">
      <c r="B128" s="80"/>
      <c r="C128" s="90"/>
      <c r="D128" s="90" t="s">
        <v>287</v>
      </c>
      <c r="E128" s="90"/>
      <c r="F128" s="84">
        <v>0</v>
      </c>
      <c r="G128" s="84">
        <v>0</v>
      </c>
      <c r="H128" s="101">
        <f>SUM(F128:G128)</f>
        <v>0</v>
      </c>
      <c r="I128" s="90"/>
      <c r="J128" s="114" t="s">
        <v>84</v>
      </c>
      <c r="K128" s="83">
        <v>3.75</v>
      </c>
      <c r="L128" s="92"/>
      <c r="M128" s="90"/>
      <c r="N128" s="81"/>
    </row>
    <row r="129" spans="2:14">
      <c r="B129" s="80"/>
      <c r="C129" s="90"/>
      <c r="D129" s="90" t="s">
        <v>288</v>
      </c>
      <c r="E129" s="90"/>
      <c r="F129" s="84">
        <v>3.5</v>
      </c>
      <c r="G129" s="84">
        <v>2</v>
      </c>
      <c r="H129" s="101">
        <f>SUM(F129:G129)</f>
        <v>5.5</v>
      </c>
      <c r="I129" s="90"/>
      <c r="J129" s="114"/>
      <c r="K129" s="83">
        <v>0</v>
      </c>
      <c r="L129" s="92"/>
      <c r="M129" s="90"/>
      <c r="N129" s="81"/>
    </row>
    <row r="130" spans="2:14">
      <c r="B130" s="80"/>
      <c r="C130" s="90"/>
      <c r="D130" s="90" t="s">
        <v>289</v>
      </c>
      <c r="E130" s="90"/>
      <c r="F130" s="84">
        <v>3.5</v>
      </c>
      <c r="G130" s="84">
        <v>0</v>
      </c>
      <c r="H130" s="101">
        <f>SUM(F130:G130)</f>
        <v>3.5</v>
      </c>
      <c r="I130" s="90"/>
      <c r="J130" s="114" t="s">
        <v>589</v>
      </c>
      <c r="K130" s="83">
        <v>0</v>
      </c>
      <c r="L130" s="92"/>
      <c r="M130" s="90"/>
      <c r="N130" s="81"/>
    </row>
    <row r="131" spans="2:14">
      <c r="B131" s="80"/>
      <c r="C131" s="90"/>
      <c r="D131" s="137" t="s">
        <v>295</v>
      </c>
      <c r="E131" s="90"/>
      <c r="F131" s="92"/>
      <c r="G131" s="92"/>
      <c r="H131" s="107">
        <f>SUM(H126:H130)</f>
        <v>20</v>
      </c>
      <c r="I131" s="90"/>
      <c r="J131" s="90"/>
      <c r="K131" s="107">
        <f>SUM(K126:K130)</f>
        <v>3.75</v>
      </c>
      <c r="L131" s="107">
        <f>+F122*K131</f>
        <v>45</v>
      </c>
      <c r="M131" s="90"/>
      <c r="N131" s="81"/>
    </row>
    <row r="132" spans="2:14">
      <c r="B132" s="80"/>
      <c r="C132" s="90"/>
      <c r="D132" s="137" t="s">
        <v>337</v>
      </c>
      <c r="E132" s="90"/>
      <c r="F132" s="92"/>
      <c r="G132" s="92"/>
      <c r="H132" s="107">
        <f>ROUND(H131*F122,0)</f>
        <v>240</v>
      </c>
      <c r="I132" s="90"/>
      <c r="J132" s="90"/>
      <c r="K132" s="90"/>
      <c r="L132" s="90"/>
      <c r="M132" s="90"/>
      <c r="N132" s="81"/>
    </row>
    <row r="133" spans="2:14">
      <c r="B133" s="80"/>
      <c r="C133" s="90"/>
      <c r="D133" s="90"/>
      <c r="E133" s="90"/>
      <c r="F133" s="92"/>
      <c r="G133" s="92"/>
      <c r="H133" s="92"/>
      <c r="I133" s="90"/>
      <c r="J133" s="90"/>
      <c r="K133" s="90"/>
      <c r="L133" s="90"/>
      <c r="M133" s="90"/>
      <c r="N133" s="81"/>
    </row>
    <row r="134" spans="2:14">
      <c r="B134" s="80"/>
      <c r="F134" s="75"/>
      <c r="G134" s="75"/>
      <c r="H134" s="75"/>
      <c r="N134" s="81"/>
    </row>
    <row r="135" spans="2:14">
      <c r="B135" s="80"/>
      <c r="C135" s="90"/>
      <c r="D135" s="90"/>
      <c r="E135" s="90"/>
      <c r="F135" s="92"/>
      <c r="G135" s="92"/>
      <c r="H135" s="92"/>
      <c r="I135" s="90"/>
      <c r="J135" s="90"/>
      <c r="K135" s="90"/>
      <c r="L135" s="90"/>
      <c r="M135" s="90"/>
      <c r="N135" s="81"/>
    </row>
    <row r="136" spans="2:14">
      <c r="B136" s="80"/>
      <c r="C136" s="90"/>
      <c r="D136" s="93" t="s">
        <v>393</v>
      </c>
      <c r="E136" s="93"/>
      <c r="F136" s="83">
        <v>0</v>
      </c>
      <c r="G136" s="92"/>
      <c r="H136" s="92"/>
      <c r="I136" s="90"/>
      <c r="J136" s="90"/>
      <c r="K136" s="90"/>
      <c r="L136" s="90"/>
      <c r="M136" s="90"/>
      <c r="N136" s="81"/>
    </row>
    <row r="137" spans="2:14">
      <c r="B137" s="80"/>
      <c r="C137" s="90"/>
      <c r="D137" s="93"/>
      <c r="E137" s="93"/>
      <c r="F137" s="92"/>
      <c r="G137" s="92"/>
      <c r="H137" s="92"/>
      <c r="I137" s="90"/>
      <c r="J137" s="90"/>
      <c r="K137" s="90"/>
      <c r="L137" s="90"/>
      <c r="M137" s="90"/>
      <c r="N137" s="81"/>
    </row>
    <row r="138" spans="2:14">
      <c r="B138" s="80"/>
      <c r="C138" s="90"/>
      <c r="D138" s="90"/>
      <c r="E138" s="90"/>
      <c r="F138" s="103" t="s">
        <v>290</v>
      </c>
      <c r="G138" s="103" t="s">
        <v>291</v>
      </c>
      <c r="H138" s="103" t="s">
        <v>533</v>
      </c>
      <c r="I138" s="92"/>
      <c r="J138" s="103" t="s">
        <v>531</v>
      </c>
      <c r="K138" s="103" t="s">
        <v>79</v>
      </c>
      <c r="L138" s="90"/>
      <c r="M138" s="90"/>
      <c r="N138" s="81"/>
    </row>
    <row r="139" spans="2:14">
      <c r="B139" s="80"/>
      <c r="C139" s="90"/>
      <c r="D139" s="90"/>
      <c r="E139" s="90"/>
      <c r="F139" s="92"/>
      <c r="G139" s="92"/>
      <c r="H139" s="92"/>
      <c r="I139" s="90"/>
      <c r="J139" s="90"/>
      <c r="K139" s="90"/>
      <c r="L139" s="90"/>
      <c r="M139" s="90"/>
      <c r="N139" s="81"/>
    </row>
    <row r="140" spans="2:14">
      <c r="B140" s="80"/>
      <c r="C140" s="90"/>
      <c r="D140" s="90" t="s">
        <v>285</v>
      </c>
      <c r="E140" s="90"/>
      <c r="F140" s="84">
        <v>0</v>
      </c>
      <c r="G140" s="84">
        <v>0</v>
      </c>
      <c r="H140" s="101">
        <f>SUM(F140:G140)</f>
        <v>0</v>
      </c>
      <c r="I140" s="90"/>
      <c r="J140" s="114"/>
      <c r="K140" s="83">
        <v>0</v>
      </c>
      <c r="L140" s="92"/>
      <c r="M140" s="90"/>
      <c r="N140" s="81"/>
    </row>
    <row r="141" spans="2:14">
      <c r="B141" s="80"/>
      <c r="C141" s="90"/>
      <c r="D141" s="90" t="s">
        <v>286</v>
      </c>
      <c r="E141" s="90"/>
      <c r="F141" s="84">
        <v>0</v>
      </c>
      <c r="G141" s="84">
        <v>0</v>
      </c>
      <c r="H141" s="101">
        <f>SUM(F141:G141)</f>
        <v>0</v>
      </c>
      <c r="I141" s="90"/>
      <c r="J141" s="114"/>
      <c r="K141" s="83">
        <v>0</v>
      </c>
      <c r="L141" s="92"/>
      <c r="M141" s="90"/>
      <c r="N141" s="81"/>
    </row>
    <row r="142" spans="2:14">
      <c r="B142" s="80"/>
      <c r="C142" s="90"/>
      <c r="D142" s="90" t="s">
        <v>287</v>
      </c>
      <c r="E142" s="90"/>
      <c r="F142" s="84">
        <v>0</v>
      </c>
      <c r="G142" s="84">
        <v>0</v>
      </c>
      <c r="H142" s="101">
        <f>SUM(F142:G142)</f>
        <v>0</v>
      </c>
      <c r="I142" s="90"/>
      <c r="J142" s="114"/>
      <c r="K142" s="83">
        <v>0</v>
      </c>
      <c r="L142" s="92"/>
      <c r="M142" s="90"/>
      <c r="N142" s="81"/>
    </row>
    <row r="143" spans="2:14">
      <c r="B143" s="80"/>
      <c r="C143" s="90"/>
      <c r="D143" s="90" t="s">
        <v>288</v>
      </c>
      <c r="E143" s="90"/>
      <c r="F143" s="84">
        <v>0</v>
      </c>
      <c r="G143" s="84">
        <v>0</v>
      </c>
      <c r="H143" s="101">
        <f>SUM(F143:G143)</f>
        <v>0</v>
      </c>
      <c r="I143" s="90"/>
      <c r="J143" s="114"/>
      <c r="K143" s="83">
        <v>0</v>
      </c>
      <c r="L143" s="92"/>
      <c r="M143" s="90"/>
      <c r="N143" s="81"/>
    </row>
    <row r="144" spans="2:14">
      <c r="B144" s="80"/>
      <c r="C144" s="90"/>
      <c r="D144" s="90" t="s">
        <v>289</v>
      </c>
      <c r="E144" s="90"/>
      <c r="F144" s="84">
        <v>0</v>
      </c>
      <c r="G144" s="84">
        <v>0</v>
      </c>
      <c r="H144" s="101">
        <f>SUM(F144:G144)</f>
        <v>0</v>
      </c>
      <c r="I144" s="90"/>
      <c r="J144" s="114"/>
      <c r="K144" s="83">
        <v>0</v>
      </c>
      <c r="L144" s="92"/>
      <c r="M144" s="90"/>
      <c r="N144" s="81"/>
    </row>
    <row r="145" spans="2:14">
      <c r="B145" s="80"/>
      <c r="C145" s="90"/>
      <c r="D145" s="137" t="s">
        <v>295</v>
      </c>
      <c r="E145" s="90"/>
      <c r="F145" s="92"/>
      <c r="G145" s="92"/>
      <c r="H145" s="107">
        <f>SUM(H140:H144)</f>
        <v>0</v>
      </c>
      <c r="I145" s="90"/>
      <c r="J145" s="90"/>
      <c r="K145" s="107">
        <f>SUM(K140:K144)</f>
        <v>0</v>
      </c>
      <c r="L145" s="107">
        <f>+F136*K145</f>
        <v>0</v>
      </c>
      <c r="M145" s="90"/>
      <c r="N145" s="81"/>
    </row>
    <row r="146" spans="2:14">
      <c r="B146" s="80"/>
      <c r="C146" s="90"/>
      <c r="D146" s="137" t="s">
        <v>337</v>
      </c>
      <c r="E146" s="90"/>
      <c r="F146" s="92"/>
      <c r="G146" s="92"/>
      <c r="H146" s="107">
        <f>ROUND(H145*F136,0)</f>
        <v>0</v>
      </c>
      <c r="I146" s="90"/>
      <c r="J146" s="90"/>
      <c r="K146" s="90"/>
      <c r="L146" s="90"/>
      <c r="M146" s="90"/>
      <c r="N146" s="81"/>
    </row>
    <row r="147" spans="2:14">
      <c r="B147" s="80"/>
      <c r="C147" s="90"/>
      <c r="D147" s="90"/>
      <c r="E147" s="90"/>
      <c r="F147" s="92"/>
      <c r="G147" s="92"/>
      <c r="H147" s="92"/>
      <c r="I147" s="90"/>
      <c r="J147" s="90"/>
      <c r="K147" s="90"/>
      <c r="L147" s="90"/>
      <c r="M147" s="90"/>
      <c r="N147" s="81"/>
    </row>
    <row r="148" spans="2:14">
      <c r="B148" s="80"/>
      <c r="F148" s="75"/>
      <c r="G148" s="75"/>
      <c r="H148" s="75"/>
      <c r="N148" s="81"/>
    </row>
    <row r="149" spans="2:14">
      <c r="B149" s="80"/>
      <c r="C149" s="90"/>
      <c r="D149" s="90"/>
      <c r="E149" s="90"/>
      <c r="F149" s="92"/>
      <c r="G149" s="92"/>
      <c r="H149" s="92"/>
      <c r="I149" s="90"/>
      <c r="J149" s="90"/>
      <c r="K149" s="90"/>
      <c r="L149" s="90"/>
      <c r="M149" s="90"/>
      <c r="N149" s="81"/>
    </row>
    <row r="150" spans="2:14">
      <c r="B150" s="80"/>
      <c r="C150" s="90"/>
      <c r="D150" s="93" t="s">
        <v>394</v>
      </c>
      <c r="E150" s="93"/>
      <c r="F150" s="83">
        <v>0</v>
      </c>
      <c r="G150" s="92"/>
      <c r="H150" s="92"/>
      <c r="I150" s="90"/>
      <c r="J150" s="90"/>
      <c r="K150" s="90"/>
      <c r="L150" s="90"/>
      <c r="M150" s="90"/>
      <c r="N150" s="81"/>
    </row>
    <row r="151" spans="2:14">
      <c r="B151" s="80"/>
      <c r="C151" s="90"/>
      <c r="D151" s="93"/>
      <c r="E151" s="93"/>
      <c r="F151" s="92"/>
      <c r="G151" s="92"/>
      <c r="H151" s="92"/>
      <c r="I151" s="90"/>
      <c r="J151" s="90"/>
      <c r="K151" s="90"/>
      <c r="L151" s="90"/>
      <c r="M151" s="90"/>
      <c r="N151" s="81"/>
    </row>
    <row r="152" spans="2:14">
      <c r="B152" s="80"/>
      <c r="C152" s="90"/>
      <c r="D152" s="90"/>
      <c r="E152" s="90"/>
      <c r="F152" s="103" t="s">
        <v>290</v>
      </c>
      <c r="G152" s="103" t="s">
        <v>291</v>
      </c>
      <c r="H152" s="103" t="s">
        <v>533</v>
      </c>
      <c r="I152" s="90"/>
      <c r="J152" s="103" t="s">
        <v>531</v>
      </c>
      <c r="K152" s="103" t="s">
        <v>79</v>
      </c>
      <c r="L152" s="90"/>
      <c r="M152" s="90"/>
      <c r="N152" s="81"/>
    </row>
    <row r="153" spans="2:14">
      <c r="B153" s="80"/>
      <c r="C153" s="90"/>
      <c r="D153" s="90"/>
      <c r="E153" s="90"/>
      <c r="F153" s="92"/>
      <c r="G153" s="92"/>
      <c r="H153" s="92"/>
      <c r="I153" s="90"/>
      <c r="J153" s="90"/>
      <c r="K153" s="90"/>
      <c r="L153" s="90"/>
      <c r="M153" s="90"/>
      <c r="N153" s="81"/>
    </row>
    <row r="154" spans="2:14">
      <c r="B154" s="80"/>
      <c r="C154" s="90"/>
      <c r="D154" s="90" t="s">
        <v>285</v>
      </c>
      <c r="E154" s="90"/>
      <c r="F154" s="84">
        <v>0</v>
      </c>
      <c r="G154" s="84">
        <v>0</v>
      </c>
      <c r="H154" s="101">
        <f>SUM(F154:G154)</f>
        <v>0</v>
      </c>
      <c r="I154" s="90"/>
      <c r="J154" s="114"/>
      <c r="K154" s="83">
        <v>0</v>
      </c>
      <c r="L154" s="92"/>
      <c r="M154" s="90"/>
      <c r="N154" s="81"/>
    </row>
    <row r="155" spans="2:14">
      <c r="B155" s="80"/>
      <c r="C155" s="90"/>
      <c r="D155" s="90" t="s">
        <v>286</v>
      </c>
      <c r="E155" s="90"/>
      <c r="F155" s="84">
        <v>0</v>
      </c>
      <c r="G155" s="84">
        <v>0</v>
      </c>
      <c r="H155" s="101">
        <f>SUM(F155:G155)</f>
        <v>0</v>
      </c>
      <c r="I155" s="90"/>
      <c r="J155" s="114"/>
      <c r="K155" s="83">
        <v>0</v>
      </c>
      <c r="L155" s="92"/>
      <c r="M155" s="90"/>
      <c r="N155" s="81"/>
    </row>
    <row r="156" spans="2:14">
      <c r="B156" s="80"/>
      <c r="C156" s="90"/>
      <c r="D156" s="90" t="s">
        <v>287</v>
      </c>
      <c r="E156" s="90"/>
      <c r="F156" s="84">
        <v>0</v>
      </c>
      <c r="G156" s="84">
        <v>0</v>
      </c>
      <c r="H156" s="101">
        <f>SUM(F156:G156)</f>
        <v>0</v>
      </c>
      <c r="I156" s="90"/>
      <c r="J156" s="114"/>
      <c r="K156" s="83">
        <v>0</v>
      </c>
      <c r="L156" s="92"/>
      <c r="M156" s="90"/>
      <c r="N156" s="81"/>
    </row>
    <row r="157" spans="2:14">
      <c r="B157" s="80"/>
      <c r="C157" s="90"/>
      <c r="D157" s="90" t="s">
        <v>288</v>
      </c>
      <c r="E157" s="90"/>
      <c r="F157" s="84">
        <v>0</v>
      </c>
      <c r="G157" s="84">
        <v>0</v>
      </c>
      <c r="H157" s="101">
        <f>SUM(F157:G157)</f>
        <v>0</v>
      </c>
      <c r="I157" s="90"/>
      <c r="J157" s="114"/>
      <c r="K157" s="83">
        <v>0</v>
      </c>
      <c r="L157" s="92"/>
      <c r="M157" s="90"/>
      <c r="N157" s="81"/>
    </row>
    <row r="158" spans="2:14">
      <c r="B158" s="80"/>
      <c r="C158" s="90"/>
      <c r="D158" s="90" t="s">
        <v>289</v>
      </c>
      <c r="E158" s="90"/>
      <c r="F158" s="84">
        <v>0</v>
      </c>
      <c r="G158" s="84">
        <v>0</v>
      </c>
      <c r="H158" s="101">
        <f>SUM(F158:G158)</f>
        <v>0</v>
      </c>
      <c r="I158" s="90"/>
      <c r="J158" s="114"/>
      <c r="K158" s="83">
        <v>0</v>
      </c>
      <c r="L158" s="92"/>
      <c r="M158" s="90"/>
      <c r="N158" s="81"/>
    </row>
    <row r="159" spans="2:14">
      <c r="B159" s="80"/>
      <c r="C159" s="90"/>
      <c r="D159" s="137" t="s">
        <v>295</v>
      </c>
      <c r="E159" s="90"/>
      <c r="F159" s="92"/>
      <c r="G159" s="92"/>
      <c r="H159" s="107">
        <f>SUM(H154:H158)</f>
        <v>0</v>
      </c>
      <c r="I159" s="90"/>
      <c r="J159" s="90"/>
      <c r="K159" s="107">
        <f>SUM(K154:K158)</f>
        <v>0</v>
      </c>
      <c r="L159" s="107">
        <f>+F150*K159</f>
        <v>0</v>
      </c>
      <c r="M159" s="90"/>
      <c r="N159" s="81"/>
    </row>
    <row r="160" spans="2:14">
      <c r="B160" s="80"/>
      <c r="C160" s="90"/>
      <c r="D160" s="137" t="s">
        <v>337</v>
      </c>
      <c r="E160" s="90"/>
      <c r="F160" s="92"/>
      <c r="G160" s="92"/>
      <c r="H160" s="107">
        <f>ROUND(H159*F150,0)</f>
        <v>0</v>
      </c>
      <c r="I160" s="90"/>
      <c r="J160" s="90"/>
      <c r="K160" s="90"/>
      <c r="L160" s="90"/>
      <c r="M160" s="90"/>
      <c r="N160" s="81"/>
    </row>
    <row r="161" spans="2:14">
      <c r="B161" s="80"/>
      <c r="C161" s="90"/>
      <c r="D161" s="90"/>
      <c r="E161" s="90"/>
      <c r="F161" s="90"/>
      <c r="G161" s="90"/>
      <c r="H161" s="90"/>
      <c r="I161" s="90"/>
      <c r="J161" s="90"/>
      <c r="K161" s="90"/>
      <c r="L161" s="90"/>
      <c r="M161" s="90"/>
      <c r="N161" s="81"/>
    </row>
    <row r="162" spans="2:14">
      <c r="B162" s="80"/>
      <c r="N162" s="81"/>
    </row>
    <row r="163" spans="2:14">
      <c r="B163" s="80"/>
      <c r="C163" s="90"/>
      <c r="D163" s="90"/>
      <c r="E163" s="90"/>
      <c r="F163" s="90"/>
      <c r="G163" s="90"/>
      <c r="H163" s="90"/>
      <c r="I163" s="90"/>
      <c r="J163" s="90"/>
      <c r="K163" s="90"/>
      <c r="L163" s="90"/>
      <c r="M163" s="90"/>
      <c r="N163" s="81"/>
    </row>
    <row r="164" spans="2:14">
      <c r="B164" s="80"/>
      <c r="C164" s="90"/>
      <c r="D164" s="90" t="s">
        <v>338</v>
      </c>
      <c r="E164" s="90"/>
      <c r="F164" s="90"/>
      <c r="G164" s="90"/>
      <c r="H164" s="139">
        <f>+H118+H132+H146+H160</f>
        <v>832</v>
      </c>
      <c r="I164" s="90"/>
      <c r="J164" s="90"/>
      <c r="K164" s="90"/>
      <c r="L164" s="90"/>
      <c r="M164" s="90"/>
      <c r="N164" s="81"/>
    </row>
    <row r="165" spans="2:14">
      <c r="B165" s="80"/>
      <c r="C165" s="90"/>
      <c r="D165" s="90" t="s">
        <v>339</v>
      </c>
      <c r="E165" s="90"/>
      <c r="F165" s="90"/>
      <c r="G165" s="90"/>
      <c r="H165" s="139">
        <f>ROUND((+L117+L131+L145+L159)/0.5,0)*0.5</f>
        <v>99.5</v>
      </c>
      <c r="I165" s="97"/>
      <c r="J165" s="122" t="s">
        <v>80</v>
      </c>
      <c r="K165" s="122"/>
      <c r="L165" s="152">
        <f>ROUND((+L117+L131+L145+L159)/0.5,0)*0.5</f>
        <v>99.5</v>
      </c>
      <c r="M165" s="90"/>
      <c r="N165" s="81"/>
    </row>
    <row r="166" spans="2:14">
      <c r="B166" s="80"/>
      <c r="C166" s="90"/>
      <c r="D166" s="90" t="s">
        <v>311</v>
      </c>
      <c r="E166" s="90"/>
      <c r="F166" s="90"/>
      <c r="G166" s="90"/>
      <c r="H166" s="145">
        <f>SUM(H164:H165)</f>
        <v>931.5</v>
      </c>
      <c r="I166" s="90"/>
      <c r="J166" s="90"/>
      <c r="K166" s="90"/>
      <c r="L166" s="90"/>
      <c r="M166" s="90"/>
      <c r="N166" s="81"/>
    </row>
    <row r="167" spans="2:14">
      <c r="B167" s="80"/>
      <c r="C167" s="90"/>
      <c r="D167" s="90"/>
      <c r="E167" s="90"/>
      <c r="F167" s="90"/>
      <c r="G167" s="90"/>
      <c r="H167" s="90"/>
      <c r="I167" s="90"/>
      <c r="J167" s="121"/>
      <c r="K167" s="90"/>
      <c r="L167" s="90"/>
      <c r="M167" s="90"/>
      <c r="N167" s="81"/>
    </row>
    <row r="168" spans="2:14">
      <c r="B168" s="80"/>
      <c r="J168" s="111"/>
      <c r="N168" s="81"/>
    </row>
    <row r="169" spans="2:14">
      <c r="B169" s="80"/>
      <c r="J169" s="111"/>
      <c r="N169" s="81"/>
    </row>
    <row r="170" spans="2:14">
      <c r="B170" s="80"/>
      <c r="C170" s="90"/>
      <c r="D170" s="90"/>
      <c r="E170" s="90"/>
      <c r="F170" s="90"/>
      <c r="G170" s="90"/>
      <c r="H170" s="90"/>
      <c r="I170" s="90"/>
      <c r="J170" s="121"/>
      <c r="K170" s="90"/>
      <c r="L170" s="90"/>
      <c r="M170" s="90"/>
      <c r="N170" s="81"/>
    </row>
    <row r="171" spans="2:14">
      <c r="B171" s="80"/>
      <c r="C171" s="90"/>
      <c r="D171" s="93" t="s">
        <v>299</v>
      </c>
      <c r="E171" s="90"/>
      <c r="F171" s="90"/>
      <c r="G171" s="90"/>
      <c r="H171" s="90"/>
      <c r="I171" s="90"/>
      <c r="J171" s="90"/>
      <c r="K171" s="90"/>
      <c r="L171" s="90"/>
      <c r="M171" s="90"/>
      <c r="N171" s="81"/>
    </row>
    <row r="172" spans="2:14">
      <c r="B172" s="80"/>
      <c r="C172" s="90"/>
      <c r="D172" s="93"/>
      <c r="E172" s="90"/>
      <c r="F172" s="90"/>
      <c r="G172" s="90"/>
      <c r="H172" s="90"/>
      <c r="I172" s="90"/>
      <c r="J172" s="90"/>
      <c r="K172" s="90"/>
      <c r="L172" s="90"/>
      <c r="M172" s="90"/>
      <c r="N172" s="81"/>
    </row>
    <row r="173" spans="2:14">
      <c r="B173" s="146"/>
      <c r="C173" s="132"/>
      <c r="D173" s="132" t="s">
        <v>292</v>
      </c>
      <c r="E173" s="132"/>
      <c r="F173" s="132" t="s">
        <v>304</v>
      </c>
      <c r="G173" s="132"/>
      <c r="H173" s="132" t="s">
        <v>300</v>
      </c>
      <c r="I173" s="132"/>
      <c r="J173" s="132"/>
      <c r="K173" s="132"/>
      <c r="L173" s="132"/>
      <c r="M173" s="132"/>
      <c r="N173" s="147"/>
    </row>
    <row r="174" spans="2:14">
      <c r="B174" s="80"/>
      <c r="C174" s="90"/>
      <c r="D174" s="90"/>
      <c r="E174" s="90"/>
      <c r="F174" s="90"/>
      <c r="G174" s="90"/>
      <c r="H174" s="90"/>
      <c r="I174" s="90"/>
      <c r="J174" s="90"/>
      <c r="K174" s="90"/>
      <c r="L174" s="90"/>
      <c r="M174" s="90"/>
      <c r="N174" s="81"/>
    </row>
    <row r="175" spans="2:14">
      <c r="B175" s="80"/>
      <c r="C175" s="137"/>
      <c r="D175" s="94" t="s">
        <v>303</v>
      </c>
      <c r="E175" s="90"/>
      <c r="F175" s="144">
        <v>0.35</v>
      </c>
      <c r="G175" s="90"/>
      <c r="H175" s="264">
        <f>ROUND(+H164*F175,0)</f>
        <v>291</v>
      </c>
      <c r="I175" s="90"/>
      <c r="J175" s="90"/>
      <c r="K175" s="90"/>
      <c r="L175" s="90"/>
      <c r="M175" s="90"/>
      <c r="N175" s="81"/>
    </row>
    <row r="176" spans="2:14">
      <c r="B176" s="80"/>
      <c r="C176" s="137"/>
      <c r="D176" s="112" t="s">
        <v>306</v>
      </c>
      <c r="E176" s="90"/>
      <c r="F176" s="94"/>
      <c r="G176" s="90"/>
      <c r="H176" s="83">
        <v>40</v>
      </c>
      <c r="I176" s="90"/>
      <c r="J176" s="90"/>
      <c r="K176" s="90"/>
      <c r="L176" s="90"/>
      <c r="M176" s="90"/>
      <c r="N176" s="81"/>
    </row>
    <row r="177" spans="2:37">
      <c r="B177" s="80"/>
      <c r="C177" s="137"/>
      <c r="D177" s="112" t="s">
        <v>593</v>
      </c>
      <c r="E177" s="90"/>
      <c r="F177" s="94"/>
      <c r="G177" s="90"/>
      <c r="H177" s="83">
        <v>50</v>
      </c>
      <c r="I177" s="90"/>
      <c r="J177" s="90"/>
      <c r="K177" s="90"/>
      <c r="L177" s="90"/>
      <c r="M177" s="90"/>
      <c r="N177" s="81"/>
      <c r="O177" s="108"/>
      <c r="P177" s="108"/>
      <c r="Q177" s="108"/>
    </row>
    <row r="178" spans="2:37">
      <c r="B178" s="80"/>
      <c r="C178" s="137"/>
      <c r="D178" s="112" t="s">
        <v>592</v>
      </c>
      <c r="E178" s="90"/>
      <c r="F178" s="94"/>
      <c r="G178" s="90"/>
      <c r="H178" s="83">
        <v>30</v>
      </c>
      <c r="I178" s="90"/>
      <c r="J178" s="90"/>
      <c r="K178" s="90"/>
      <c r="L178" s="90"/>
      <c r="M178" s="90"/>
      <c r="N178" s="81"/>
    </row>
    <row r="179" spans="2:37">
      <c r="B179" s="80"/>
      <c r="C179" s="137"/>
      <c r="D179" s="114" t="s">
        <v>30</v>
      </c>
      <c r="E179" s="94"/>
      <c r="F179" s="94"/>
      <c r="G179" s="90"/>
      <c r="H179" s="83">
        <v>100</v>
      </c>
      <c r="I179" s="90"/>
      <c r="J179" s="90"/>
      <c r="K179" s="90"/>
      <c r="L179" s="90"/>
      <c r="M179" s="90"/>
      <c r="N179" s="81"/>
    </row>
    <row r="180" spans="2:37">
      <c r="B180" s="80"/>
      <c r="C180" s="137"/>
      <c r="D180" s="114"/>
      <c r="E180" s="94"/>
      <c r="F180" s="94"/>
      <c r="G180" s="90"/>
      <c r="H180" s="83">
        <v>0</v>
      </c>
      <c r="I180" s="90"/>
      <c r="J180" s="90"/>
      <c r="K180" s="90"/>
      <c r="L180" s="90"/>
      <c r="M180" s="90"/>
      <c r="N180" s="81"/>
    </row>
    <row r="181" spans="2:37">
      <c r="B181" s="80"/>
      <c r="C181" s="137"/>
      <c r="D181" s="114"/>
      <c r="E181" s="94"/>
      <c r="F181" s="94"/>
      <c r="G181" s="90"/>
      <c r="H181" s="83">
        <v>0</v>
      </c>
      <c r="I181" s="90"/>
      <c r="J181" s="90"/>
      <c r="K181" s="90"/>
      <c r="L181" s="90"/>
      <c r="M181" s="90"/>
      <c r="N181" s="81"/>
    </row>
    <row r="182" spans="2:37" s="108" customFormat="1">
      <c r="B182" s="80"/>
      <c r="C182" s="137"/>
      <c r="D182" s="114"/>
      <c r="E182" s="94"/>
      <c r="F182" s="94"/>
      <c r="G182" s="90"/>
      <c r="H182" s="83">
        <v>0</v>
      </c>
      <c r="I182" s="90" t="s">
        <v>324</v>
      </c>
      <c r="J182" s="90"/>
      <c r="K182" s="90"/>
      <c r="L182" s="90"/>
      <c r="M182" s="90"/>
      <c r="N182" s="81"/>
      <c r="O182" s="71"/>
      <c r="P182" s="71"/>
      <c r="Q182" s="71"/>
      <c r="AD182" s="71"/>
      <c r="AE182" s="71"/>
      <c r="AF182" s="71"/>
      <c r="AG182" s="71"/>
      <c r="AH182" s="71"/>
      <c r="AI182" s="71"/>
      <c r="AJ182" s="71"/>
      <c r="AK182" s="71"/>
    </row>
    <row r="183" spans="2:37">
      <c r="B183" s="80"/>
      <c r="C183" s="137"/>
      <c r="D183" s="114"/>
      <c r="E183" s="94"/>
      <c r="F183" s="94"/>
      <c r="G183" s="90"/>
      <c r="H183" s="83">
        <v>0</v>
      </c>
      <c r="I183" s="90"/>
      <c r="J183" s="90"/>
      <c r="K183" s="90"/>
      <c r="L183" s="90"/>
      <c r="M183" s="90"/>
      <c r="N183" s="81"/>
    </row>
    <row r="184" spans="2:37">
      <c r="B184" s="80"/>
      <c r="C184" s="137"/>
      <c r="D184" s="114"/>
      <c r="E184" s="94"/>
      <c r="F184" s="94"/>
      <c r="G184" s="90"/>
      <c r="H184" s="83">
        <v>0</v>
      </c>
      <c r="I184" s="90"/>
      <c r="J184" s="90"/>
      <c r="K184" s="90"/>
      <c r="L184" s="90"/>
      <c r="M184" s="90"/>
      <c r="N184" s="81"/>
    </row>
    <row r="185" spans="2:37">
      <c r="B185" s="80"/>
      <c r="C185" s="137"/>
      <c r="D185" s="114"/>
      <c r="E185" s="94"/>
      <c r="F185" s="94"/>
      <c r="G185" s="90"/>
      <c r="H185" s="83">
        <v>0</v>
      </c>
      <c r="I185" s="90"/>
      <c r="J185" s="90"/>
      <c r="K185" s="90"/>
      <c r="L185" s="90"/>
      <c r="M185" s="90"/>
      <c r="N185" s="81"/>
    </row>
    <row r="186" spans="2:37">
      <c r="B186" s="80"/>
      <c r="C186" s="90"/>
      <c r="D186" s="93" t="s">
        <v>301</v>
      </c>
      <c r="E186" s="90"/>
      <c r="F186" s="90"/>
      <c r="G186" s="90"/>
      <c r="H186" s="145">
        <f>SUM(H175:H185)</f>
        <v>511</v>
      </c>
      <c r="I186" s="90"/>
      <c r="J186" s="90"/>
      <c r="K186" s="90"/>
      <c r="L186" s="90"/>
      <c r="M186" s="90"/>
      <c r="N186" s="81"/>
    </row>
    <row r="187" spans="2:37">
      <c r="B187" s="80"/>
      <c r="C187" s="90"/>
      <c r="D187" s="90" t="s">
        <v>557</v>
      </c>
      <c r="E187" s="90"/>
      <c r="F187" s="90"/>
      <c r="G187" s="150"/>
      <c r="H187" s="139">
        <f>+F96-H165</f>
        <v>70.5</v>
      </c>
      <c r="I187" s="122"/>
      <c r="J187" s="90"/>
      <c r="K187" s="90"/>
      <c r="L187" s="90"/>
      <c r="M187" s="90"/>
      <c r="N187" s="81"/>
    </row>
    <row r="188" spans="2:37">
      <c r="B188" s="80"/>
      <c r="C188" s="90"/>
      <c r="D188" s="90"/>
      <c r="E188" s="90"/>
      <c r="F188" s="90"/>
      <c r="G188" s="90"/>
      <c r="H188" s="92"/>
      <c r="I188" s="90"/>
      <c r="J188" s="90"/>
      <c r="K188" s="90"/>
      <c r="L188" s="90"/>
      <c r="M188" s="90"/>
      <c r="N188" s="81"/>
    </row>
    <row r="189" spans="2:37">
      <c r="B189" s="80"/>
      <c r="C189" s="90"/>
      <c r="D189" s="90" t="s">
        <v>293</v>
      </c>
      <c r="E189" s="90"/>
      <c r="F189" s="90"/>
      <c r="G189" s="90"/>
      <c r="H189" s="107">
        <f>+H100</f>
        <v>149</v>
      </c>
      <c r="I189" s="90"/>
      <c r="J189" s="90"/>
      <c r="K189" s="90"/>
      <c r="L189" s="90"/>
      <c r="M189" s="90"/>
      <c r="N189" s="81"/>
    </row>
    <row r="190" spans="2:37">
      <c r="B190" s="80"/>
      <c r="C190" s="90"/>
      <c r="D190" s="90"/>
      <c r="E190" s="90"/>
      <c r="F190" s="90"/>
      <c r="G190" s="90"/>
      <c r="H190" s="92"/>
      <c r="I190" s="90"/>
      <c r="J190" s="90"/>
      <c r="K190" s="90"/>
      <c r="L190" s="90"/>
      <c r="M190" s="90"/>
      <c r="N190" s="81"/>
    </row>
    <row r="191" spans="2:37">
      <c r="B191" s="80"/>
      <c r="C191" s="90"/>
      <c r="D191" s="93" t="s">
        <v>294</v>
      </c>
      <c r="E191" s="90"/>
      <c r="F191" s="90"/>
      <c r="G191" s="90"/>
      <c r="H191" s="145">
        <f>+H166+H186+H187+H189</f>
        <v>1662</v>
      </c>
      <c r="I191" s="90"/>
      <c r="J191" s="90"/>
      <c r="K191" s="90"/>
      <c r="L191" s="90"/>
      <c r="M191" s="90"/>
      <c r="N191" s="81"/>
    </row>
    <row r="192" spans="2:37">
      <c r="B192" s="80"/>
      <c r="C192" s="90"/>
      <c r="D192" s="122" t="s">
        <v>348</v>
      </c>
      <c r="E192" s="90"/>
      <c r="F192" s="122"/>
      <c r="G192" s="122"/>
      <c r="H192" s="149">
        <f>+V80*H84</f>
        <v>1659</v>
      </c>
      <c r="I192" s="90"/>
      <c r="J192" s="90"/>
      <c r="K192" s="90"/>
      <c r="L192" s="90"/>
      <c r="M192" s="90"/>
      <c r="N192" s="81"/>
    </row>
    <row r="193" spans="2:17">
      <c r="B193" s="80"/>
      <c r="C193" s="90"/>
      <c r="D193" s="90"/>
      <c r="E193" s="122"/>
      <c r="F193" s="122"/>
      <c r="G193" s="122" t="s">
        <v>351</v>
      </c>
      <c r="H193" s="149">
        <f>+H191-H192</f>
        <v>3</v>
      </c>
      <c r="I193" s="90"/>
      <c r="J193" s="90"/>
      <c r="K193" s="90"/>
      <c r="L193" s="90"/>
      <c r="M193" s="90"/>
      <c r="N193" s="81"/>
    </row>
    <row r="194" spans="2:17">
      <c r="B194" s="80"/>
      <c r="C194" s="90"/>
      <c r="D194" s="90"/>
      <c r="E194" s="90"/>
      <c r="F194" s="90"/>
      <c r="G194" s="90"/>
      <c r="H194" s="90"/>
      <c r="I194" s="90"/>
      <c r="J194" s="90"/>
      <c r="K194" s="90"/>
      <c r="L194" s="90"/>
      <c r="M194" s="90"/>
      <c r="N194" s="81"/>
    </row>
    <row r="195" spans="2:17">
      <c r="B195" s="80"/>
      <c r="N195" s="81"/>
    </row>
    <row r="196" spans="2:17" ht="13.5" thickBot="1">
      <c r="B196" s="86"/>
      <c r="C196" s="87"/>
      <c r="D196" s="87"/>
      <c r="E196" s="87"/>
      <c r="F196" s="87"/>
      <c r="G196" s="87"/>
      <c r="H196" s="87"/>
      <c r="I196" s="87"/>
      <c r="J196" s="87"/>
      <c r="K196" s="87"/>
      <c r="L196" s="87"/>
      <c r="M196" s="87"/>
      <c r="N196" s="89"/>
    </row>
    <row r="198" spans="2:17">
      <c r="B198" s="243"/>
      <c r="C198" s="243"/>
      <c r="D198" s="243"/>
      <c r="E198" s="243"/>
      <c r="F198" s="243"/>
      <c r="G198" s="243"/>
      <c r="H198" s="243"/>
      <c r="I198" s="243"/>
      <c r="J198" s="243"/>
      <c r="K198" s="243"/>
      <c r="L198" s="243"/>
      <c r="M198" s="243"/>
      <c r="N198" s="243"/>
    </row>
    <row r="199" spans="2:17">
      <c r="B199" s="261"/>
      <c r="C199" s="261"/>
      <c r="D199" s="261"/>
      <c r="E199" s="261"/>
      <c r="F199" s="261"/>
      <c r="G199" s="261"/>
      <c r="H199" s="261"/>
      <c r="I199" s="261"/>
      <c r="J199" s="261"/>
      <c r="K199" s="261"/>
      <c r="L199" s="261"/>
      <c r="M199" s="261"/>
      <c r="N199" s="261"/>
    </row>
    <row r="200" spans="2:17">
      <c r="B200" s="261"/>
      <c r="C200" s="261"/>
      <c r="D200" s="261"/>
      <c r="E200" s="261"/>
      <c r="F200" s="261"/>
      <c r="G200" s="261"/>
      <c r="H200" s="261"/>
      <c r="I200" s="261"/>
      <c r="J200" s="261"/>
      <c r="K200" s="261"/>
      <c r="L200" s="261"/>
      <c r="M200" s="261"/>
      <c r="N200" s="261"/>
    </row>
    <row r="201" spans="2:17">
      <c r="B201" s="261"/>
      <c r="C201" s="261"/>
      <c r="D201" s="261"/>
      <c r="E201" s="261"/>
      <c r="F201" s="261"/>
      <c r="G201" s="261"/>
      <c r="H201" s="261"/>
      <c r="I201" s="261"/>
      <c r="J201" s="261"/>
      <c r="K201" s="261"/>
      <c r="L201" s="261"/>
      <c r="M201" s="261"/>
      <c r="N201" s="261"/>
    </row>
    <row r="202" spans="2:17">
      <c r="B202" s="261"/>
      <c r="C202" s="261"/>
      <c r="D202" s="261"/>
      <c r="E202" s="261"/>
      <c r="F202" s="261"/>
      <c r="G202" s="261"/>
      <c r="H202" s="261"/>
      <c r="I202" s="261"/>
      <c r="J202" s="261"/>
      <c r="K202" s="261"/>
      <c r="L202" s="261"/>
      <c r="M202" s="261"/>
      <c r="N202" s="261"/>
      <c r="O202" s="243"/>
      <c r="P202" s="243"/>
      <c r="Q202" s="243"/>
    </row>
    <row r="203" spans="2:17">
      <c r="B203" s="261"/>
      <c r="C203" s="261"/>
      <c r="D203" s="261"/>
      <c r="E203" s="261"/>
      <c r="F203" s="261"/>
      <c r="G203" s="261"/>
      <c r="H203" s="261"/>
      <c r="I203" s="261"/>
      <c r="J203" s="261"/>
      <c r="K203" s="261"/>
      <c r="L203" s="261"/>
      <c r="M203" s="261"/>
      <c r="N203" s="261"/>
      <c r="O203" s="261"/>
      <c r="P203" s="261"/>
      <c r="Q203" s="261"/>
    </row>
    <row r="204" spans="2:17">
      <c r="B204" s="261"/>
      <c r="C204" s="261"/>
      <c r="D204" s="261"/>
      <c r="E204" s="261"/>
      <c r="F204" s="261"/>
      <c r="G204" s="261"/>
      <c r="H204" s="261"/>
      <c r="I204" s="261"/>
      <c r="J204" s="261"/>
      <c r="K204" s="261"/>
      <c r="L204" s="261"/>
      <c r="M204" s="261"/>
      <c r="N204" s="261"/>
      <c r="O204" s="261"/>
      <c r="P204" s="261"/>
      <c r="Q204" s="261"/>
    </row>
    <row r="205" spans="2:17">
      <c r="B205" s="261"/>
      <c r="C205" s="261"/>
      <c r="D205" s="261"/>
      <c r="E205" s="261"/>
      <c r="F205" s="261"/>
      <c r="G205" s="261"/>
      <c r="H205" s="261"/>
      <c r="I205" s="261"/>
      <c r="J205" s="261"/>
      <c r="K205" s="261"/>
      <c r="L205" s="261"/>
      <c r="M205" s="261"/>
      <c r="N205" s="261"/>
      <c r="O205" s="261"/>
      <c r="P205" s="261"/>
      <c r="Q205" s="261"/>
    </row>
    <row r="206" spans="2:17">
      <c r="B206" s="261"/>
      <c r="C206" s="261"/>
      <c r="D206" s="261"/>
      <c r="E206" s="261"/>
      <c r="F206" s="261"/>
      <c r="G206" s="261"/>
      <c r="H206" s="261"/>
      <c r="I206" s="261"/>
      <c r="J206" s="261"/>
      <c r="K206" s="261"/>
      <c r="L206" s="261"/>
      <c r="M206" s="261"/>
      <c r="N206" s="261"/>
      <c r="O206" s="261"/>
      <c r="P206" s="261"/>
      <c r="Q206" s="261"/>
    </row>
    <row r="207" spans="2:17" s="243" customFormat="1">
      <c r="B207" s="261"/>
      <c r="C207" s="261"/>
      <c r="D207" s="261"/>
      <c r="E207" s="261"/>
      <c r="F207" s="261"/>
      <c r="G207" s="261"/>
      <c r="H207" s="261"/>
      <c r="I207" s="261"/>
      <c r="J207" s="261"/>
      <c r="K207" s="261"/>
      <c r="L207" s="261"/>
      <c r="M207" s="261"/>
      <c r="N207" s="261"/>
      <c r="O207" s="261"/>
      <c r="P207" s="261"/>
      <c r="Q207" s="261"/>
    </row>
    <row r="208" spans="2:17" s="261" customFormat="1"/>
    <row r="209" s="261" customFormat="1"/>
    <row r="210" s="261" customFormat="1"/>
    <row r="211" s="261" customFormat="1"/>
    <row r="212" s="261" customFormat="1"/>
    <row r="213" s="261" customFormat="1"/>
    <row r="214" s="261" customFormat="1"/>
    <row r="215" s="261" customFormat="1"/>
    <row r="216" s="261" customFormat="1"/>
    <row r="217" s="261" customFormat="1"/>
    <row r="218" s="261" customFormat="1"/>
    <row r="219" s="261" customFormat="1"/>
    <row r="220" s="261" customFormat="1"/>
    <row r="221" s="261" customFormat="1"/>
    <row r="222" s="261" customFormat="1"/>
    <row r="223" s="261" customFormat="1"/>
    <row r="224" s="261" customFormat="1"/>
    <row r="225" s="261" customFormat="1"/>
    <row r="226" s="261" customFormat="1"/>
    <row r="227" s="261" customFormat="1"/>
    <row r="228" s="261" customFormat="1"/>
    <row r="229" s="261" customFormat="1"/>
    <row r="230" s="261" customFormat="1"/>
    <row r="231" s="261" customFormat="1"/>
    <row r="232" s="261" customFormat="1"/>
    <row r="233" s="261" customFormat="1"/>
    <row r="234" s="261" customFormat="1"/>
    <row r="235" s="261" customFormat="1"/>
    <row r="236" s="261" customFormat="1"/>
    <row r="237" s="261" customFormat="1"/>
    <row r="238" s="261" customFormat="1"/>
    <row r="239" s="261" customFormat="1"/>
    <row r="240" s="261" customFormat="1"/>
    <row r="241" s="261" customFormat="1"/>
    <row r="242" s="261" customFormat="1"/>
    <row r="243" s="261" customFormat="1"/>
    <row r="244" s="261" customFormat="1"/>
    <row r="245" s="261" customFormat="1"/>
    <row r="246" s="261" customFormat="1"/>
    <row r="247" s="261" customFormat="1"/>
    <row r="248" s="261" customFormat="1"/>
    <row r="249" s="261" customFormat="1"/>
    <row r="250" s="261" customFormat="1"/>
    <row r="251" s="261" customFormat="1"/>
    <row r="252" s="261" customFormat="1"/>
    <row r="253" s="261" customFormat="1"/>
    <row r="254" s="261" customFormat="1"/>
    <row r="255" s="261" customFormat="1"/>
    <row r="256" s="261" customFormat="1"/>
    <row r="257" s="261" customFormat="1"/>
    <row r="258" s="261" customFormat="1"/>
    <row r="259" s="261" customFormat="1"/>
    <row r="260" s="261" customFormat="1"/>
    <row r="261" s="261" customFormat="1"/>
    <row r="262" s="261" customFormat="1"/>
    <row r="263" s="261" customFormat="1"/>
    <row r="264" s="261" customFormat="1"/>
    <row r="265" s="261" customFormat="1"/>
    <row r="266" s="261" customFormat="1"/>
    <row r="267" s="261" customFormat="1"/>
    <row r="268" s="261" customFormat="1"/>
    <row r="269" s="261" customFormat="1"/>
    <row r="270" s="261" customFormat="1"/>
    <row r="271" s="261" customFormat="1"/>
    <row r="272" s="261" customFormat="1"/>
    <row r="273" spans="2:14" s="261" customFormat="1"/>
    <row r="274" spans="2:14" s="261" customFormat="1"/>
    <row r="275" spans="2:14" s="261" customFormat="1"/>
    <row r="276" spans="2:14" s="261" customFormat="1"/>
    <row r="277" spans="2:14" s="261" customFormat="1"/>
    <row r="278" spans="2:14" s="261" customFormat="1"/>
    <row r="279" spans="2:14" s="261" customFormat="1"/>
    <row r="280" spans="2:14" s="261" customFormat="1"/>
    <row r="281" spans="2:14" s="261" customFormat="1"/>
    <row r="282" spans="2:14" s="261" customFormat="1"/>
    <row r="283" spans="2:14" s="261" customFormat="1"/>
    <row r="284" spans="2:14" s="261" customFormat="1"/>
    <row r="285" spans="2:14" s="261" customFormat="1"/>
    <row r="286" spans="2:14" s="261" customFormat="1"/>
    <row r="287" spans="2:14" s="261" customFormat="1"/>
    <row r="288" spans="2:14" s="261" customFormat="1">
      <c r="B288" s="243"/>
      <c r="C288" s="243"/>
      <c r="D288" s="243"/>
      <c r="E288" s="243"/>
      <c r="F288" s="243"/>
      <c r="G288" s="243"/>
      <c r="H288" s="243"/>
      <c r="I288" s="243"/>
      <c r="J288" s="243"/>
      <c r="K288" s="243"/>
      <c r="L288" s="243"/>
      <c r="M288" s="243"/>
      <c r="N288" s="243"/>
    </row>
    <row r="289" spans="2:17" s="261" customFormat="1">
      <c r="B289" s="71"/>
      <c r="C289" s="71"/>
      <c r="D289" s="71"/>
      <c r="E289" s="71"/>
      <c r="F289" s="71"/>
      <c r="G289" s="71"/>
      <c r="H289" s="71"/>
      <c r="I289" s="71"/>
      <c r="J289" s="71"/>
      <c r="K289" s="71"/>
      <c r="L289" s="71"/>
      <c r="M289" s="71"/>
      <c r="N289" s="71"/>
    </row>
    <row r="290" spans="2:17" s="261" customFormat="1">
      <c r="B290" s="71"/>
      <c r="C290" s="71"/>
      <c r="D290" s="71"/>
      <c r="E290" s="71"/>
      <c r="F290" s="71"/>
      <c r="G290" s="71"/>
      <c r="H290" s="71"/>
      <c r="I290" s="71"/>
      <c r="J290" s="71"/>
      <c r="K290" s="71"/>
      <c r="L290" s="71"/>
      <c r="M290" s="71"/>
      <c r="N290" s="71"/>
    </row>
    <row r="291" spans="2:17" s="261" customFormat="1">
      <c r="B291" s="71"/>
      <c r="C291" s="71"/>
      <c r="D291" s="71"/>
      <c r="E291" s="71"/>
      <c r="F291" s="71"/>
      <c r="G291" s="71"/>
      <c r="H291" s="71"/>
      <c r="I291" s="71"/>
      <c r="J291" s="71"/>
      <c r="K291" s="71"/>
      <c r="L291" s="71"/>
      <c r="M291" s="71"/>
      <c r="N291" s="71"/>
    </row>
    <row r="292" spans="2:17" s="261" customFormat="1">
      <c r="B292" s="71"/>
      <c r="C292" s="71"/>
      <c r="D292" s="71"/>
      <c r="E292" s="71"/>
      <c r="F292" s="71"/>
      <c r="G292" s="71"/>
      <c r="H292" s="71"/>
      <c r="I292" s="71"/>
      <c r="J292" s="71"/>
      <c r="K292" s="71"/>
      <c r="L292" s="71"/>
      <c r="M292" s="71"/>
      <c r="N292" s="71"/>
      <c r="O292" s="243"/>
      <c r="P292" s="243"/>
      <c r="Q292" s="243"/>
    </row>
    <row r="293" spans="2:17" s="261" customFormat="1">
      <c r="B293" s="71"/>
      <c r="C293" s="71"/>
      <c r="D293" s="71"/>
      <c r="E293" s="71"/>
      <c r="F293" s="71"/>
      <c r="G293" s="71"/>
      <c r="H293" s="71"/>
      <c r="I293" s="71"/>
      <c r="J293" s="71"/>
      <c r="K293" s="71"/>
      <c r="L293" s="71"/>
      <c r="M293" s="71"/>
      <c r="N293" s="71"/>
      <c r="O293" s="71"/>
      <c r="P293" s="71"/>
      <c r="Q293" s="71"/>
    </row>
    <row r="294" spans="2:17" s="261" customFormat="1">
      <c r="B294" s="71"/>
      <c r="C294" s="71"/>
      <c r="D294" s="71"/>
      <c r="E294" s="71"/>
      <c r="F294" s="71"/>
      <c r="G294" s="71"/>
      <c r="H294" s="71"/>
      <c r="I294" s="71"/>
      <c r="J294" s="71"/>
      <c r="K294" s="71"/>
      <c r="L294" s="71"/>
      <c r="M294" s="71"/>
      <c r="N294" s="71"/>
      <c r="O294" s="71"/>
      <c r="P294" s="71"/>
      <c r="Q294" s="71"/>
    </row>
    <row r="295" spans="2:17" s="261" customFormat="1">
      <c r="B295" s="71"/>
      <c r="C295" s="71"/>
      <c r="D295" s="71"/>
      <c r="E295" s="71"/>
      <c r="F295" s="71"/>
      <c r="G295" s="71"/>
      <c r="H295" s="71"/>
      <c r="I295" s="71"/>
      <c r="J295" s="71"/>
      <c r="K295" s="71"/>
      <c r="L295" s="71"/>
      <c r="M295" s="71"/>
      <c r="N295" s="71"/>
      <c r="O295" s="71"/>
      <c r="P295" s="71"/>
      <c r="Q295" s="71"/>
    </row>
    <row r="296" spans="2:17" s="261" customFormat="1">
      <c r="B296" s="71"/>
      <c r="C296" s="71"/>
      <c r="D296" s="71"/>
      <c r="E296" s="71"/>
      <c r="F296" s="71"/>
      <c r="G296" s="71"/>
      <c r="H296" s="71"/>
      <c r="I296" s="71"/>
      <c r="J296" s="71"/>
      <c r="K296" s="71"/>
      <c r="L296" s="71"/>
      <c r="M296" s="71"/>
      <c r="N296" s="71"/>
      <c r="O296" s="71"/>
      <c r="P296" s="71"/>
      <c r="Q296" s="71"/>
    </row>
    <row r="297" spans="2:17" s="243" customFormat="1">
      <c r="B297" s="71"/>
      <c r="C297" s="71"/>
      <c r="D297" s="71"/>
      <c r="E297" s="71"/>
      <c r="F297" s="71"/>
      <c r="G297" s="71"/>
      <c r="H297" s="71"/>
      <c r="I297" s="71"/>
      <c r="J297" s="71"/>
      <c r="K297" s="71"/>
      <c r="L297" s="71"/>
      <c r="M297" s="71"/>
      <c r="N297" s="71"/>
      <c r="O297" s="71"/>
      <c r="P297" s="71"/>
      <c r="Q297" s="71"/>
    </row>
  </sheetData>
  <sheetProtection password="DE55" sheet="1" objects="1" scenarios="1"/>
  <phoneticPr fontId="0" type="noConversion"/>
  <dataValidations count="3">
    <dataValidation type="list" allowBlank="1" showInputMessage="1" showErrorMessage="1" sqref="F11">
      <formula1>"leerkracht,OOP-er met les-/behandeltaken"</formula1>
    </dataValidation>
    <dataValidation type="list" allowBlank="1" showInputMessage="1" showErrorMessage="1" sqref="F19">
      <formula1>$S$20:$S$30</formula1>
    </dataValidation>
    <dataValidation type="decimal" allowBlank="1" showInputMessage="1" showErrorMessage="1" error="De door u ingevoerde waarde aan PABO uren is hoger dan 50% van de betrekkingsomvang (Bijlage XI, artikel 1, lid 7) " sqref="F96">
      <formula1>0</formula1>
      <formula2>Y79</formula2>
    </dataValidation>
  </dataValidations>
  <printOptions gridLines="1"/>
  <pageMargins left="0.75" right="0.75" top="1" bottom="1" header="0.5" footer="0.5"/>
  <pageSetup paperSize="9" scale="51" orientation="portrait" verticalDpi="0" r:id="rId1"/>
  <headerFooter alignWithMargins="0">
    <oddHeader>&amp;L&amp;"Arial,Vet"&amp;F&amp;C&amp;"Arial,Vet"&amp;A&amp;R&amp;"Arial,Vet"&amp;D</oddHeader>
    <oddFooter>&amp;L&amp;"Arial,Vet"VOS/ABB&amp;C&amp;"Arial,Vet"&amp;P&amp;R&amp;"Arial,Vet"Toolbox</oddFooter>
  </headerFooter>
  <rowBreaks count="1" manualBreakCount="1">
    <brk id="105" min="1" max="13" man="1"/>
  </rowBreaks>
  <drawing r:id="rId2"/>
  <legacyDrawing r:id="rId3"/>
</worksheet>
</file>

<file path=xl/worksheets/sheet6.xml><?xml version="1.0" encoding="utf-8"?>
<worksheet xmlns="http://schemas.openxmlformats.org/spreadsheetml/2006/main" xmlns:r="http://schemas.openxmlformats.org/officeDocument/2006/relationships">
  <dimension ref="B1:AF159"/>
  <sheetViews>
    <sheetView zoomScale="85" zoomScaleNormal="85" zoomScaleSheetLayoutView="70" workbookViewId="0">
      <selection activeCell="B2" sqref="B2"/>
    </sheetView>
  </sheetViews>
  <sheetFormatPr defaultRowHeight="12.75"/>
  <cols>
    <col min="1" max="1" width="5.7109375" style="71" customWidth="1"/>
    <col min="2" max="3" width="2.5703125" style="71" customWidth="1"/>
    <col min="4" max="4" width="45.7109375" style="71" customWidth="1"/>
    <col min="5" max="5" width="2.7109375" style="71" customWidth="1"/>
    <col min="6" max="8" width="14.85546875" style="71" customWidth="1"/>
    <col min="9" max="9" width="1.7109375" style="71" customWidth="1"/>
    <col min="10" max="11" width="14.7109375" style="71" customWidth="1"/>
    <col min="12" max="12" width="10.42578125" style="71" customWidth="1"/>
    <col min="13" max="14" width="2.7109375" style="71" customWidth="1"/>
    <col min="15" max="15" width="5.28515625" style="71" customWidth="1"/>
    <col min="16" max="16" width="12.7109375" style="71" customWidth="1"/>
    <col min="17" max="17" width="10.28515625" style="71" hidden="1" customWidth="1"/>
    <col min="18" max="19" width="9.42578125" style="71" hidden="1" customWidth="1"/>
    <col min="20" max="20" width="9.5703125" style="71" hidden="1" customWidth="1"/>
    <col min="21" max="21" width="9.28515625" style="71" hidden="1" customWidth="1"/>
    <col min="22" max="22" width="5" style="71" hidden="1" customWidth="1"/>
    <col min="23" max="23" width="9.28515625" style="71" hidden="1" customWidth="1"/>
    <col min="24" max="24" width="9.42578125" style="71" hidden="1" customWidth="1"/>
    <col min="25" max="25" width="9.28515625" style="71" hidden="1" customWidth="1"/>
    <col min="26" max="27" width="9.140625" style="71" hidden="1" customWidth="1"/>
    <col min="28" max="28" width="10.7109375" style="71" hidden="1" customWidth="1"/>
    <col min="29" max="32" width="9.140625" style="71" hidden="1" customWidth="1"/>
    <col min="33" max="16384" width="9.140625" style="71"/>
  </cols>
  <sheetData>
    <row r="1" spans="2:20" ht="13.5" thickBot="1"/>
    <row r="2" spans="2:20">
      <c r="B2" s="76"/>
      <c r="C2" s="77"/>
      <c r="D2" s="77"/>
      <c r="E2" s="77"/>
      <c r="F2" s="77"/>
      <c r="G2" s="77"/>
      <c r="H2" s="77"/>
      <c r="I2" s="77"/>
      <c r="J2" s="77"/>
      <c r="K2" s="77"/>
      <c r="L2" s="77"/>
      <c r="M2" s="77"/>
      <c r="N2" s="79"/>
    </row>
    <row r="3" spans="2:20">
      <c r="B3" s="80"/>
      <c r="N3" s="81"/>
    </row>
    <row r="4" spans="2:20" ht="18">
      <c r="B4" s="80"/>
      <c r="C4" s="69" t="s">
        <v>602</v>
      </c>
      <c r="E4" s="69"/>
      <c r="N4" s="81"/>
    </row>
    <row r="5" spans="2:20">
      <c r="B5" s="80"/>
      <c r="D5" s="67"/>
      <c r="E5" s="67"/>
      <c r="N5" s="81"/>
    </row>
    <row r="6" spans="2:20">
      <c r="B6" s="80"/>
      <c r="D6" s="67"/>
      <c r="E6" s="67"/>
      <c r="N6" s="81"/>
    </row>
    <row r="7" spans="2:20">
      <c r="B7" s="80"/>
      <c r="C7" s="90"/>
      <c r="D7" s="93"/>
      <c r="E7" s="93"/>
      <c r="F7" s="90"/>
      <c r="G7" s="90"/>
      <c r="H7" s="90"/>
      <c r="I7" s="90"/>
      <c r="J7" s="90"/>
      <c r="K7" s="90"/>
      <c r="L7" s="90"/>
      <c r="M7" s="90"/>
      <c r="N7" s="81"/>
    </row>
    <row r="8" spans="2:20">
      <c r="B8" s="80"/>
      <c r="C8" s="90"/>
      <c r="D8" s="90" t="s">
        <v>282</v>
      </c>
      <c r="E8" s="90"/>
      <c r="F8" s="100" t="str">
        <f>+'wtf op en inzet (1)'!F8</f>
        <v>2013-2014</v>
      </c>
      <c r="G8" s="90"/>
      <c r="H8" s="90"/>
      <c r="I8" s="90"/>
      <c r="J8" s="90"/>
      <c r="K8" s="90"/>
      <c r="L8" s="90"/>
      <c r="M8" s="90"/>
      <c r="N8" s="81"/>
    </row>
    <row r="9" spans="2:20">
      <c r="B9" s="80"/>
      <c r="C9" s="90"/>
      <c r="D9" s="93"/>
      <c r="E9" s="93"/>
      <c r="F9" s="137"/>
      <c r="G9" s="90"/>
      <c r="H9" s="90"/>
      <c r="I9" s="90"/>
      <c r="J9" s="90"/>
      <c r="K9" s="90"/>
      <c r="L9" s="90"/>
      <c r="M9" s="90"/>
      <c r="N9" s="81"/>
    </row>
    <row r="10" spans="2:20">
      <c r="B10" s="80"/>
      <c r="C10" s="90"/>
      <c r="D10" s="90" t="s">
        <v>296</v>
      </c>
      <c r="E10" s="90"/>
      <c r="F10" s="123" t="s">
        <v>308</v>
      </c>
      <c r="G10" s="114"/>
      <c r="H10" s="112"/>
      <c r="I10" s="94"/>
      <c r="J10" s="94"/>
      <c r="K10" s="94"/>
      <c r="L10" s="90"/>
      <c r="M10" s="90"/>
      <c r="N10" s="81"/>
    </row>
    <row r="11" spans="2:20">
      <c r="B11" s="80"/>
      <c r="C11" s="90"/>
      <c r="D11" s="90" t="s">
        <v>297</v>
      </c>
      <c r="E11" s="90"/>
      <c r="F11" s="123" t="s">
        <v>408</v>
      </c>
      <c r="G11" s="114"/>
      <c r="H11" s="112"/>
      <c r="I11" s="94"/>
      <c r="J11" s="94"/>
      <c r="K11" s="94"/>
      <c r="L11" s="90"/>
      <c r="M11" s="90"/>
      <c r="N11" s="81"/>
    </row>
    <row r="12" spans="2:20">
      <c r="B12" s="80"/>
      <c r="C12" s="90"/>
      <c r="D12" s="90" t="s">
        <v>298</v>
      </c>
      <c r="E12" s="90"/>
      <c r="F12" s="123" t="s">
        <v>576</v>
      </c>
      <c r="G12" s="114"/>
      <c r="H12" s="112"/>
      <c r="I12" s="94"/>
      <c r="J12" s="94"/>
      <c r="K12" s="94"/>
      <c r="L12" s="90"/>
      <c r="M12" s="90"/>
      <c r="N12" s="81"/>
    </row>
    <row r="13" spans="2:20">
      <c r="B13" s="80"/>
      <c r="C13" s="90"/>
      <c r="D13" s="137" t="s">
        <v>406</v>
      </c>
      <c r="E13" s="90"/>
      <c r="F13" s="123">
        <v>3</v>
      </c>
      <c r="G13" s="114"/>
      <c r="H13" s="114"/>
      <c r="I13" s="94"/>
      <c r="J13" s="94"/>
      <c r="K13" s="94"/>
      <c r="L13" s="90"/>
      <c r="M13" s="90"/>
      <c r="N13" s="81"/>
      <c r="T13" s="71" t="s">
        <v>444</v>
      </c>
    </row>
    <row r="14" spans="2:20">
      <c r="B14" s="80"/>
      <c r="C14" s="90"/>
      <c r="D14" s="94" t="s">
        <v>407</v>
      </c>
      <c r="E14" s="90"/>
      <c r="F14" s="123">
        <v>9</v>
      </c>
      <c r="G14" s="112"/>
      <c r="H14" s="112"/>
      <c r="I14" s="170" t="str">
        <f>IF(F14&gt;VLOOKUP(F13,maxregelOOP,2,FALSE),T13,"")</f>
        <v/>
      </c>
      <c r="J14" s="94"/>
      <c r="K14" s="170"/>
      <c r="L14" s="90"/>
      <c r="M14" s="90"/>
      <c r="N14" s="81"/>
      <c r="T14" s="71" t="s">
        <v>445</v>
      </c>
    </row>
    <row r="15" spans="2:20">
      <c r="B15" s="80"/>
      <c r="C15" s="90"/>
      <c r="D15" s="90" t="s">
        <v>322</v>
      </c>
      <c r="E15" s="90"/>
      <c r="F15" s="124">
        <v>24718</v>
      </c>
      <c r="G15" s="114"/>
      <c r="H15" s="112"/>
      <c r="I15" s="94"/>
      <c r="J15" s="90"/>
      <c r="K15" s="90"/>
      <c r="L15" s="90"/>
      <c r="M15" s="90"/>
      <c r="N15" s="81"/>
    </row>
    <row r="16" spans="2:20">
      <c r="B16" s="80"/>
      <c r="C16" s="90"/>
      <c r="D16" s="94" t="s">
        <v>315</v>
      </c>
      <c r="E16" s="90"/>
      <c r="F16" s="126">
        <f>W66</f>
        <v>45</v>
      </c>
      <c r="G16" s="128"/>
      <c r="H16" s="125"/>
      <c r="I16" s="94"/>
      <c r="J16" s="94"/>
      <c r="K16" s="94"/>
      <c r="L16" s="90"/>
      <c r="M16" s="90"/>
      <c r="N16" s="81"/>
      <c r="Q16" s="71">
        <f>YEAR(F17-F15)</f>
        <v>1945</v>
      </c>
      <c r="R16" s="71">
        <f>+Q16-1900</f>
        <v>45</v>
      </c>
    </row>
    <row r="17" spans="2:14">
      <c r="B17" s="80"/>
      <c r="C17" s="90"/>
      <c r="D17" s="122" t="s">
        <v>323</v>
      </c>
      <c r="E17" s="122"/>
      <c r="F17" s="169">
        <f>+'wtf op en inzet (1)'!F15</f>
        <v>41487</v>
      </c>
      <c r="G17" s="97"/>
      <c r="H17" s="97"/>
      <c r="I17" s="94"/>
      <c r="J17" s="94"/>
      <c r="K17" s="94"/>
      <c r="L17" s="90"/>
      <c r="M17" s="90"/>
      <c r="N17" s="81"/>
    </row>
    <row r="18" spans="2:14">
      <c r="B18" s="80"/>
      <c r="C18" s="90"/>
      <c r="D18" s="90"/>
      <c r="E18" s="90"/>
      <c r="F18" s="90"/>
      <c r="G18" s="97"/>
      <c r="H18" s="97"/>
      <c r="I18" s="97"/>
      <c r="J18" s="94"/>
      <c r="K18" s="94"/>
      <c r="L18" s="90"/>
      <c r="M18" s="90"/>
      <c r="N18" s="81"/>
    </row>
    <row r="19" spans="2:14">
      <c r="B19" s="80"/>
      <c r="E19" s="67"/>
      <c r="F19" s="67"/>
      <c r="N19" s="81"/>
    </row>
    <row r="20" spans="2:14">
      <c r="B20" s="80"/>
      <c r="C20" s="90"/>
      <c r="D20" s="90"/>
      <c r="E20" s="90"/>
      <c r="F20" s="90"/>
      <c r="G20" s="90"/>
      <c r="H20" s="90"/>
      <c r="I20" s="90"/>
      <c r="J20" s="90"/>
      <c r="K20" s="90"/>
      <c r="L20" s="90"/>
      <c r="M20" s="90"/>
      <c r="N20" s="81"/>
    </row>
    <row r="21" spans="2:14">
      <c r="B21" s="80"/>
      <c r="C21" s="90"/>
      <c r="D21" s="93" t="s">
        <v>558</v>
      </c>
      <c r="E21" s="93"/>
      <c r="F21" s="90"/>
      <c r="G21" s="90"/>
      <c r="H21" s="83">
        <v>40</v>
      </c>
      <c r="I21" s="92"/>
      <c r="J21" s="90" t="s">
        <v>400</v>
      </c>
      <c r="K21" s="90"/>
      <c r="L21" s="90"/>
      <c r="M21" s="90"/>
      <c r="N21" s="81"/>
    </row>
    <row r="22" spans="2:14">
      <c r="B22" s="80"/>
      <c r="C22" s="90"/>
      <c r="D22" s="90"/>
      <c r="E22" s="90"/>
      <c r="F22" s="90"/>
      <c r="G22" s="90"/>
      <c r="H22" s="92"/>
      <c r="I22" s="92"/>
      <c r="J22" s="90"/>
      <c r="K22" s="90"/>
      <c r="L22" s="90"/>
      <c r="M22" s="90"/>
      <c r="N22" s="81"/>
    </row>
    <row r="23" spans="2:14">
      <c r="B23" s="80"/>
      <c r="C23" s="90"/>
      <c r="D23" s="93" t="s">
        <v>399</v>
      </c>
      <c r="E23" s="93"/>
      <c r="F23" s="90"/>
      <c r="G23" s="90"/>
      <c r="H23" s="101">
        <v>1659</v>
      </c>
      <c r="I23" s="92"/>
      <c r="J23" s="90" t="s">
        <v>400</v>
      </c>
      <c r="K23" s="90"/>
      <c r="L23" s="90"/>
      <c r="M23" s="90"/>
      <c r="N23" s="81"/>
    </row>
    <row r="24" spans="2:14">
      <c r="B24" s="80"/>
      <c r="C24" s="239"/>
      <c r="D24" s="268" t="s">
        <v>401</v>
      </c>
      <c r="E24" s="239"/>
      <c r="F24" s="239"/>
      <c r="G24" s="239"/>
      <c r="H24" s="267">
        <f>VLOOKUP(H21,T49:U52,2,FALSE)</f>
        <v>427</v>
      </c>
      <c r="I24" s="245"/>
      <c r="J24" s="239"/>
      <c r="K24" s="239"/>
      <c r="L24" s="239"/>
      <c r="M24" s="239"/>
      <c r="N24" s="81"/>
    </row>
    <row r="25" spans="2:14">
      <c r="B25" s="80"/>
      <c r="C25" s="90"/>
      <c r="D25" s="90"/>
      <c r="E25" s="90"/>
      <c r="F25" s="90"/>
      <c r="G25" s="90"/>
      <c r="H25" s="92"/>
      <c r="I25" s="92"/>
      <c r="J25" s="90"/>
      <c r="K25" s="90"/>
      <c r="L25" s="90"/>
      <c r="M25" s="90"/>
      <c r="N25" s="81"/>
    </row>
    <row r="26" spans="2:14">
      <c r="B26" s="80"/>
      <c r="C26" s="90"/>
      <c r="D26" s="93" t="s">
        <v>402</v>
      </c>
      <c r="E26" s="90"/>
      <c r="F26" s="90"/>
      <c r="G26" s="90"/>
      <c r="H26" s="92"/>
      <c r="I26" s="92"/>
      <c r="J26" s="90"/>
      <c r="K26" s="90"/>
      <c r="L26" s="90"/>
      <c r="M26" s="90"/>
      <c r="N26" s="81"/>
    </row>
    <row r="27" spans="2:14">
      <c r="B27" s="80"/>
      <c r="C27" s="90"/>
      <c r="D27" s="90" t="s">
        <v>285</v>
      </c>
      <c r="E27" s="90"/>
      <c r="F27" s="90"/>
      <c r="G27" s="90"/>
      <c r="H27" s="83">
        <v>9</v>
      </c>
      <c r="I27" s="92"/>
      <c r="J27" s="90"/>
      <c r="K27" s="90"/>
      <c r="L27" s="90"/>
      <c r="M27" s="90"/>
      <c r="N27" s="81"/>
    </row>
    <row r="28" spans="2:14">
      <c r="B28" s="80"/>
      <c r="C28" s="90"/>
      <c r="D28" s="90" t="s">
        <v>286</v>
      </c>
      <c r="E28" s="90"/>
      <c r="F28" s="90"/>
      <c r="G28" s="90"/>
      <c r="H28" s="83">
        <v>9</v>
      </c>
      <c r="I28" s="92"/>
      <c r="J28" s="90"/>
      <c r="K28" s="90"/>
      <c r="L28" s="90"/>
      <c r="M28" s="90"/>
      <c r="N28" s="81"/>
    </row>
    <row r="29" spans="2:14">
      <c r="B29" s="80"/>
      <c r="C29" s="90"/>
      <c r="D29" s="90" t="s">
        <v>287</v>
      </c>
      <c r="E29" s="90"/>
      <c r="F29" s="90"/>
      <c r="G29" s="90"/>
      <c r="H29" s="83">
        <v>8</v>
      </c>
      <c r="I29" s="92"/>
      <c r="J29" s="90"/>
      <c r="K29" s="90"/>
      <c r="L29" s="90"/>
      <c r="M29" s="90"/>
      <c r="N29" s="81"/>
    </row>
    <row r="30" spans="2:14">
      <c r="B30" s="80"/>
      <c r="C30" s="90"/>
      <c r="D30" s="90" t="s">
        <v>288</v>
      </c>
      <c r="E30" s="90"/>
      <c r="F30" s="90"/>
      <c r="G30" s="90"/>
      <c r="H30" s="83">
        <v>9</v>
      </c>
      <c r="I30" s="92"/>
      <c r="J30" s="90"/>
      <c r="K30" s="90"/>
      <c r="L30" s="90"/>
      <c r="M30" s="90"/>
      <c r="N30" s="81"/>
    </row>
    <row r="31" spans="2:14">
      <c r="B31" s="80"/>
      <c r="C31" s="90"/>
      <c r="D31" s="90" t="s">
        <v>289</v>
      </c>
      <c r="E31" s="90"/>
      <c r="F31" s="90"/>
      <c r="G31" s="90"/>
      <c r="H31" s="83">
        <v>5</v>
      </c>
      <c r="I31" s="92"/>
      <c r="J31" s="90"/>
      <c r="K31" s="90"/>
      <c r="L31" s="90"/>
      <c r="M31" s="90"/>
      <c r="N31" s="81"/>
    </row>
    <row r="32" spans="2:14">
      <c r="B32" s="80"/>
      <c r="C32" s="90"/>
      <c r="D32" s="90" t="s">
        <v>321</v>
      </c>
      <c r="E32" s="90"/>
      <c r="F32" s="90"/>
      <c r="G32" s="90"/>
      <c r="H32" s="101">
        <f>SUM(H27:H31)</f>
        <v>40</v>
      </c>
      <c r="I32" s="92"/>
      <c r="J32" s="90"/>
      <c r="K32" s="90"/>
      <c r="L32" s="90"/>
      <c r="M32" s="90"/>
      <c r="N32" s="81"/>
    </row>
    <row r="33" spans="2:20">
      <c r="B33" s="80"/>
      <c r="C33" s="90"/>
      <c r="D33" s="90"/>
      <c r="E33" s="90"/>
      <c r="F33" s="90"/>
      <c r="G33" s="90"/>
      <c r="H33" s="92"/>
      <c r="I33" s="92"/>
      <c r="J33" s="90"/>
      <c r="K33" s="90"/>
      <c r="L33" s="90"/>
      <c r="M33" s="90"/>
      <c r="N33" s="81"/>
    </row>
    <row r="34" spans="2:20">
      <c r="B34" s="80"/>
      <c r="C34" s="90"/>
      <c r="D34" s="90"/>
      <c r="E34" s="90"/>
      <c r="F34" s="90"/>
      <c r="G34" s="90"/>
      <c r="H34" s="92"/>
      <c r="I34" s="92"/>
      <c r="J34" s="90"/>
      <c r="K34" s="90"/>
      <c r="L34" s="90"/>
      <c r="M34" s="90"/>
      <c r="N34" s="81"/>
    </row>
    <row r="35" spans="2:20">
      <c r="B35" s="80"/>
      <c r="H35" s="75"/>
      <c r="I35" s="75"/>
      <c r="N35" s="81"/>
    </row>
    <row r="36" spans="2:20">
      <c r="B36" s="80"/>
      <c r="C36" s="90"/>
      <c r="D36" s="90"/>
      <c r="E36" s="90"/>
      <c r="F36" s="90"/>
      <c r="G36" s="90"/>
      <c r="H36" s="92"/>
      <c r="I36" s="92"/>
      <c r="J36" s="90"/>
      <c r="K36" s="90"/>
      <c r="L36" s="90"/>
      <c r="M36" s="90"/>
      <c r="N36" s="81"/>
    </row>
    <row r="37" spans="2:20">
      <c r="B37" s="80"/>
      <c r="C37" s="90"/>
      <c r="D37" s="93" t="s">
        <v>403</v>
      </c>
      <c r="E37" s="93"/>
      <c r="F37" s="90"/>
      <c r="G37" s="90"/>
      <c r="H37" s="83">
        <v>41</v>
      </c>
      <c r="I37" s="92"/>
      <c r="J37" s="90"/>
      <c r="K37" s="90"/>
      <c r="L37" s="90"/>
      <c r="M37" s="90"/>
      <c r="N37" s="81"/>
    </row>
    <row r="38" spans="2:20">
      <c r="B38" s="80"/>
      <c r="C38" s="90"/>
      <c r="D38" s="90"/>
      <c r="E38" s="90"/>
      <c r="F38" s="90"/>
      <c r="G38" s="90"/>
      <c r="H38" s="92"/>
      <c r="I38" s="92"/>
      <c r="J38" s="90"/>
      <c r="K38" s="90"/>
      <c r="L38" s="90"/>
      <c r="M38" s="90"/>
      <c r="N38" s="81"/>
    </row>
    <row r="39" spans="2:20">
      <c r="B39" s="80"/>
      <c r="C39" s="90"/>
      <c r="D39" s="93" t="s">
        <v>404</v>
      </c>
      <c r="E39" s="93"/>
      <c r="F39" s="90"/>
      <c r="G39" s="90"/>
      <c r="H39" s="153">
        <f>ROUND(+H32*H37/H23,4)</f>
        <v>0.98850000000000005</v>
      </c>
      <c r="I39" s="99"/>
      <c r="J39" s="90"/>
      <c r="K39" s="90"/>
      <c r="L39" s="90"/>
      <c r="M39" s="90"/>
      <c r="N39" s="81"/>
    </row>
    <row r="40" spans="2:20">
      <c r="B40" s="80"/>
      <c r="C40" s="90"/>
      <c r="D40" s="93"/>
      <c r="E40" s="93"/>
      <c r="F40" s="90"/>
      <c r="G40" s="90"/>
      <c r="H40" s="99"/>
      <c r="I40" s="99"/>
      <c r="J40" s="90"/>
      <c r="K40" s="90"/>
      <c r="L40" s="90"/>
      <c r="M40" s="90"/>
      <c r="N40" s="81"/>
    </row>
    <row r="41" spans="2:20">
      <c r="B41" s="80"/>
      <c r="C41" s="90"/>
      <c r="D41" s="93" t="s">
        <v>405</v>
      </c>
      <c r="E41" s="93"/>
      <c r="F41" s="90"/>
      <c r="G41" s="90"/>
      <c r="H41" s="173">
        <v>1</v>
      </c>
      <c r="I41" s="180"/>
      <c r="J41" s="90"/>
      <c r="K41" s="90"/>
      <c r="L41" s="90"/>
      <c r="M41" s="90"/>
      <c r="N41" s="81"/>
    </row>
    <row r="42" spans="2:20">
      <c r="B42" s="80"/>
      <c r="C42" s="90"/>
      <c r="D42" s="90"/>
      <c r="E42" s="90"/>
      <c r="F42" s="90"/>
      <c r="G42" s="90"/>
      <c r="H42" s="90"/>
      <c r="I42" s="90"/>
      <c r="J42" s="90"/>
      <c r="K42" s="90"/>
      <c r="L42" s="90"/>
      <c r="M42" s="90"/>
      <c r="N42" s="81"/>
    </row>
    <row r="43" spans="2:20">
      <c r="B43" s="80"/>
      <c r="N43" s="81"/>
      <c r="T43" s="67"/>
    </row>
    <row r="44" spans="2:20">
      <c r="B44" s="80"/>
      <c r="N44" s="81"/>
    </row>
    <row r="45" spans="2:20" ht="18">
      <c r="B45" s="80"/>
      <c r="C45" s="69" t="s">
        <v>603</v>
      </c>
      <c r="E45" s="67"/>
      <c r="N45" s="81"/>
    </row>
    <row r="46" spans="2:20">
      <c r="B46" s="80"/>
      <c r="D46" s="67"/>
      <c r="E46" s="67"/>
      <c r="N46" s="81"/>
    </row>
    <row r="47" spans="2:20">
      <c r="B47" s="80"/>
      <c r="C47" s="90"/>
      <c r="D47" s="90"/>
      <c r="E47" s="90"/>
      <c r="F47" s="90"/>
      <c r="G47" s="90"/>
      <c r="H47" s="90"/>
      <c r="I47" s="90"/>
      <c r="J47" s="90"/>
      <c r="K47" s="90"/>
      <c r="L47" s="90"/>
      <c r="M47" s="90"/>
      <c r="N47" s="81"/>
    </row>
    <row r="48" spans="2:20">
      <c r="B48" s="80"/>
      <c r="C48" s="90"/>
      <c r="D48" s="93" t="s">
        <v>81</v>
      </c>
      <c r="E48" s="90"/>
      <c r="F48" s="90"/>
      <c r="G48" s="90"/>
      <c r="H48" s="90"/>
      <c r="I48" s="90"/>
      <c r="J48" s="90"/>
      <c r="K48" s="90"/>
      <c r="L48" s="90"/>
      <c r="M48" s="90"/>
      <c r="N48" s="81"/>
    </row>
    <row r="49" spans="2:31">
      <c r="B49" s="80"/>
      <c r="C49" s="90"/>
      <c r="D49" s="93"/>
      <c r="E49" s="90"/>
      <c r="F49" s="90"/>
      <c r="G49" s="90"/>
      <c r="H49" s="90"/>
      <c r="I49" s="90"/>
      <c r="J49" s="90"/>
      <c r="K49" s="90"/>
      <c r="L49" s="90"/>
      <c r="M49" s="90"/>
      <c r="N49" s="81"/>
      <c r="T49" s="71">
        <v>40</v>
      </c>
      <c r="U49" s="71">
        <v>427</v>
      </c>
      <c r="Y49" s="67" t="s">
        <v>357</v>
      </c>
      <c r="Z49" s="67"/>
      <c r="AB49" s="71" t="s">
        <v>559</v>
      </c>
      <c r="AC49" s="71" t="s">
        <v>560</v>
      </c>
      <c r="AE49" s="71" t="s">
        <v>581</v>
      </c>
    </row>
    <row r="50" spans="2:31">
      <c r="B50" s="80"/>
      <c r="C50" s="90"/>
      <c r="D50" s="90" t="s">
        <v>457</v>
      </c>
      <c r="E50" s="90"/>
      <c r="F50" s="90"/>
      <c r="G50" s="90"/>
      <c r="H50" s="139">
        <f>+H145</f>
        <v>1640</v>
      </c>
      <c r="I50" s="90"/>
      <c r="J50" s="90"/>
      <c r="K50" s="90"/>
      <c r="L50" s="90"/>
      <c r="M50" s="90"/>
      <c r="N50" s="81"/>
      <c r="T50" s="71">
        <v>38</v>
      </c>
      <c r="U50" s="71">
        <v>322</v>
      </c>
      <c r="V50" s="165"/>
      <c r="W50" s="165">
        <f>+tab!O36</f>
        <v>2896</v>
      </c>
      <c r="Y50" s="71" t="s">
        <v>355</v>
      </c>
      <c r="AA50" s="71">
        <v>1659</v>
      </c>
      <c r="AB50" s="71">
        <f>+AA50</f>
        <v>1659</v>
      </c>
      <c r="AC50" s="167">
        <f>+AA50-H76</f>
        <v>1659</v>
      </c>
      <c r="AE50" s="71">
        <f>+H61*0.5</f>
        <v>829.5</v>
      </c>
    </row>
    <row r="51" spans="2:31">
      <c r="B51" s="80"/>
      <c r="C51" s="90"/>
      <c r="D51" s="90" t="s">
        <v>458</v>
      </c>
      <c r="E51" s="90"/>
      <c r="F51" s="90"/>
      <c r="G51" s="90"/>
      <c r="H51" s="139">
        <f>+H146</f>
        <v>0</v>
      </c>
      <c r="I51" s="90"/>
      <c r="J51" s="90"/>
      <c r="K51" s="90"/>
      <c r="L51" s="90"/>
      <c r="M51" s="90"/>
      <c r="N51" s="81"/>
      <c r="T51" s="71">
        <v>36</v>
      </c>
      <c r="U51" s="71">
        <v>218</v>
      </c>
      <c r="Y51" s="71" t="s">
        <v>356</v>
      </c>
      <c r="AA51" s="71">
        <v>930</v>
      </c>
    </row>
    <row r="52" spans="2:31">
      <c r="B52" s="80"/>
      <c r="C52" s="90"/>
      <c r="D52" s="90" t="s">
        <v>319</v>
      </c>
      <c r="E52" s="90"/>
      <c r="F52" s="90"/>
      <c r="G52" s="90"/>
      <c r="H52" s="101">
        <f>+H152</f>
        <v>0</v>
      </c>
      <c r="I52" s="90"/>
      <c r="J52" s="90"/>
      <c r="K52" s="90"/>
      <c r="L52" s="90"/>
      <c r="M52" s="90"/>
      <c r="N52" s="81"/>
      <c r="T52" s="71">
        <v>36.86</v>
      </c>
      <c r="U52" s="71">
        <v>263</v>
      </c>
      <c r="Y52" s="160" t="s">
        <v>284</v>
      </c>
      <c r="Z52" s="85"/>
      <c r="AA52" s="71">
        <v>166</v>
      </c>
      <c r="AB52" s="71">
        <f>ROUND(AB50*0%,0)</f>
        <v>0</v>
      </c>
      <c r="AC52" s="71">
        <f>ROUND(AC50*0%,0)</f>
        <v>0</v>
      </c>
    </row>
    <row r="53" spans="2:31">
      <c r="B53" s="80"/>
      <c r="C53" s="90"/>
      <c r="D53" s="90" t="s">
        <v>321</v>
      </c>
      <c r="E53" s="90"/>
      <c r="F53" s="90"/>
      <c r="G53" s="90"/>
      <c r="H53" s="139">
        <f>SUM(H50:H52)</f>
        <v>1640</v>
      </c>
      <c r="I53" s="90"/>
      <c r="J53" s="90"/>
      <c r="K53" s="90"/>
      <c r="L53" s="90"/>
      <c r="M53" s="90"/>
      <c r="N53" s="81"/>
      <c r="Y53" s="160" t="s">
        <v>360</v>
      </c>
      <c r="Z53" s="85"/>
      <c r="AA53" s="71">
        <f>+AA52-AA54</f>
        <v>83</v>
      </c>
      <c r="AB53" s="71">
        <v>0</v>
      </c>
      <c r="AC53" s="71">
        <v>0</v>
      </c>
    </row>
    <row r="54" spans="2:31">
      <c r="B54" s="80"/>
      <c r="C54" s="90"/>
      <c r="D54" s="159" t="s">
        <v>374</v>
      </c>
      <c r="E54" s="90"/>
      <c r="F54" s="90"/>
      <c r="G54" s="90"/>
      <c r="H54" s="139">
        <f>-H156</f>
        <v>-5</v>
      </c>
      <c r="I54" s="90"/>
      <c r="J54" s="90"/>
      <c r="K54" s="90"/>
      <c r="L54" s="90"/>
      <c r="M54" s="90"/>
      <c r="N54" s="81"/>
      <c r="Y54" s="160" t="s">
        <v>361</v>
      </c>
      <c r="Z54" s="161">
        <v>0.5</v>
      </c>
      <c r="AA54" s="71">
        <f>ROUND(+AA52*$Z54,0)</f>
        <v>83</v>
      </c>
      <c r="AB54" s="71">
        <v>0</v>
      </c>
      <c r="AC54" s="71">
        <v>0</v>
      </c>
    </row>
    <row r="55" spans="2:31">
      <c r="B55" s="80"/>
      <c r="C55" s="90"/>
      <c r="D55" s="90"/>
      <c r="E55" s="90"/>
      <c r="F55" s="90"/>
      <c r="G55" s="90"/>
      <c r="H55" s="90"/>
      <c r="I55" s="90"/>
      <c r="J55" s="90"/>
      <c r="K55" s="90"/>
      <c r="L55" s="90"/>
      <c r="M55" s="90"/>
      <c r="N55" s="81"/>
      <c r="Y55" s="160" t="s">
        <v>362</v>
      </c>
      <c r="AA55" s="71">
        <f>+AA50-AA51-AA52</f>
        <v>563</v>
      </c>
    </row>
    <row r="56" spans="2:31">
      <c r="B56" s="80"/>
      <c r="N56" s="81"/>
      <c r="T56" s="166"/>
      <c r="W56" s="113"/>
      <c r="Y56" s="71" t="s">
        <v>561</v>
      </c>
      <c r="AB56" s="71">
        <f>+AB50-AB52</f>
        <v>1659</v>
      </c>
      <c r="AC56" s="71">
        <f>+AC50-AC52</f>
        <v>1659</v>
      </c>
    </row>
    <row r="57" spans="2:31">
      <c r="B57" s="80"/>
      <c r="N57" s="81"/>
      <c r="T57" s="166"/>
      <c r="W57" s="113"/>
      <c r="Y57" s="71" t="s">
        <v>447</v>
      </c>
      <c r="AB57" s="71">
        <f>+SUM(H62:H64)</f>
        <v>24</v>
      </c>
      <c r="AC57" s="71">
        <f>+SUM(H62:H64)</f>
        <v>24</v>
      </c>
    </row>
    <row r="58" spans="2:31">
      <c r="B58" s="80"/>
      <c r="C58" s="90"/>
      <c r="D58" s="90"/>
      <c r="E58" s="90"/>
      <c r="F58" s="90"/>
      <c r="G58" s="90"/>
      <c r="H58" s="90"/>
      <c r="I58" s="90"/>
      <c r="J58" s="90"/>
      <c r="K58" s="90"/>
      <c r="L58" s="90"/>
      <c r="M58" s="90"/>
      <c r="N58" s="81"/>
      <c r="T58" s="166"/>
      <c r="W58" s="113"/>
    </row>
    <row r="59" spans="2:31">
      <c r="B59" s="80"/>
      <c r="C59" s="90"/>
      <c r="D59" s="93" t="s">
        <v>283</v>
      </c>
      <c r="E59" s="93"/>
      <c r="F59" s="90"/>
      <c r="G59" s="90"/>
      <c r="H59" s="171">
        <f>+H41</f>
        <v>1</v>
      </c>
      <c r="I59" s="90"/>
      <c r="J59" s="90"/>
      <c r="K59" s="134"/>
      <c r="L59" s="90"/>
      <c r="M59" s="90"/>
      <c r="N59" s="81"/>
      <c r="T59" s="166"/>
      <c r="W59" s="113"/>
    </row>
    <row r="60" spans="2:31">
      <c r="B60" s="80"/>
      <c r="C60" s="90"/>
      <c r="D60" s="93"/>
      <c r="E60" s="93"/>
      <c r="F60" s="90"/>
      <c r="G60" s="90"/>
      <c r="H60" s="180"/>
      <c r="I60" s="90"/>
      <c r="J60" s="90"/>
      <c r="K60" s="134"/>
      <c r="L60" s="90"/>
      <c r="M60" s="90"/>
      <c r="N60" s="81"/>
      <c r="T60" s="166"/>
      <c r="W60" s="113"/>
    </row>
    <row r="61" spans="2:31">
      <c r="B61" s="80"/>
      <c r="C61" s="90"/>
      <c r="D61" s="90" t="s">
        <v>382</v>
      </c>
      <c r="E61" s="90"/>
      <c r="F61" s="90"/>
      <c r="G61" s="90"/>
      <c r="H61" s="101">
        <f>ROUND(+H23*H59,0)</f>
        <v>1659</v>
      </c>
      <c r="I61" s="210" t="s">
        <v>302</v>
      </c>
      <c r="J61" s="122"/>
      <c r="K61" s="122"/>
      <c r="L61" s="90"/>
      <c r="M61" s="90"/>
      <c r="N61" s="81"/>
      <c r="T61" s="166"/>
      <c r="W61" s="113"/>
    </row>
    <row r="62" spans="2:31">
      <c r="B62" s="80"/>
      <c r="C62" s="90"/>
      <c r="D62" s="90" t="s">
        <v>66</v>
      </c>
      <c r="E62" s="90"/>
      <c r="F62" s="90"/>
      <c r="G62" s="90"/>
      <c r="H62" s="101">
        <f>+T75</f>
        <v>0</v>
      </c>
      <c r="I62" s="210" t="s">
        <v>302</v>
      </c>
      <c r="J62" s="90"/>
      <c r="K62" s="210" t="s">
        <v>67</v>
      </c>
      <c r="L62" s="90"/>
      <c r="M62" s="90"/>
      <c r="N62" s="81"/>
    </row>
    <row r="63" spans="2:31">
      <c r="B63" s="80"/>
      <c r="C63" s="90"/>
      <c r="D63" s="90" t="s">
        <v>442</v>
      </c>
      <c r="E63" s="90"/>
      <c r="F63" s="90"/>
      <c r="G63" s="90"/>
      <c r="H63" s="101">
        <f>VLOOKUP(F16,leeftijdsuren,2,TRUE)*H59</f>
        <v>24</v>
      </c>
      <c r="I63" s="210" t="s">
        <v>302</v>
      </c>
      <c r="J63" s="90"/>
      <c r="K63" s="210" t="s">
        <v>68</v>
      </c>
      <c r="L63" s="90"/>
      <c r="M63" s="90"/>
      <c r="N63" s="81"/>
    </row>
    <row r="64" spans="2:31">
      <c r="B64" s="80"/>
      <c r="C64" s="90"/>
      <c r="D64" s="90" t="s">
        <v>443</v>
      </c>
      <c r="E64" s="90"/>
      <c r="F64" s="90"/>
      <c r="G64" s="90"/>
      <c r="H64" s="101">
        <f>IF((VLOOKUP(F13,salarisOOP,F14+1))&gt;=W50,8,0)*H59</f>
        <v>0</v>
      </c>
      <c r="I64" s="210" t="s">
        <v>302</v>
      </c>
      <c r="J64" s="90"/>
      <c r="K64" s="210" t="s">
        <v>69</v>
      </c>
      <c r="L64" s="90"/>
      <c r="M64" s="90"/>
      <c r="N64" s="81"/>
    </row>
    <row r="65" spans="2:32">
      <c r="B65" s="256"/>
      <c r="C65" s="239"/>
      <c r="D65" s="239" t="s">
        <v>446</v>
      </c>
      <c r="E65" s="239"/>
      <c r="F65" s="239"/>
      <c r="G65" s="239"/>
      <c r="H65" s="248">
        <f>ROUND((+(1659*H59-H76)/(1659*H59)*(H64+H24))/0.5,0)*0.5</f>
        <v>427</v>
      </c>
      <c r="I65" s="257" t="s">
        <v>302</v>
      </c>
      <c r="J65" s="247"/>
      <c r="K65" s="247"/>
      <c r="L65" s="239"/>
      <c r="M65" s="239"/>
      <c r="N65" s="258"/>
      <c r="T65" s="162">
        <v>40389</v>
      </c>
      <c r="U65" s="85">
        <f>YEAR(T65)</f>
        <v>2010</v>
      </c>
      <c r="V65" s="163">
        <f>YEAR(T65-F15)</f>
        <v>1942</v>
      </c>
      <c r="W65" s="71">
        <f>+V65-1900</f>
        <v>42</v>
      </c>
    </row>
    <row r="66" spans="2:32">
      <c r="B66" s="80"/>
      <c r="C66" s="90"/>
      <c r="D66" s="90" t="s">
        <v>31</v>
      </c>
      <c r="E66" s="90"/>
      <c r="F66" s="90"/>
      <c r="G66" s="90"/>
      <c r="H66" s="107">
        <f>ROUND(+H61-H62-H63-H64,0)</f>
        <v>1635</v>
      </c>
      <c r="I66" s="210" t="s">
        <v>302</v>
      </c>
      <c r="J66" s="122"/>
      <c r="K66" s="122"/>
      <c r="L66" s="90"/>
      <c r="M66" s="90"/>
      <c r="N66" s="81"/>
      <c r="Q66" s="71" t="s">
        <v>323</v>
      </c>
      <c r="S66" s="67"/>
      <c r="T66" s="115">
        <f>+F17</f>
        <v>41487</v>
      </c>
      <c r="U66" s="71">
        <f>YEAR(T66)</f>
        <v>2013</v>
      </c>
      <c r="V66" s="71">
        <f>YEAR(T66-F15)</f>
        <v>1945</v>
      </c>
      <c r="W66" s="71">
        <f>+V66-1900</f>
        <v>45</v>
      </c>
    </row>
    <row r="67" spans="2:32">
      <c r="B67" s="80"/>
      <c r="C67" s="90"/>
      <c r="D67" s="90"/>
      <c r="E67" s="90"/>
      <c r="F67" s="90"/>
      <c r="G67" s="90"/>
      <c r="H67" s="90"/>
      <c r="I67" s="210"/>
      <c r="J67" s="122"/>
      <c r="K67" s="122"/>
      <c r="L67" s="90"/>
      <c r="M67" s="90"/>
      <c r="N67" s="81"/>
      <c r="T67" s="115">
        <f>DATE(YEAR($T66)+1,MONTH($T66),DAY($T66))</f>
        <v>41852</v>
      </c>
      <c r="U67" s="71">
        <f>YEAR(T67)</f>
        <v>2014</v>
      </c>
      <c r="V67" s="71">
        <f>YEAR(T67-F15)</f>
        <v>1946</v>
      </c>
      <c r="W67" s="71">
        <f>+V67-1900</f>
        <v>46</v>
      </c>
    </row>
    <row r="68" spans="2:32">
      <c r="B68" s="80"/>
      <c r="C68" s="90"/>
      <c r="D68" s="137" t="s">
        <v>378</v>
      </c>
      <c r="E68" s="97"/>
      <c r="F68" s="137"/>
      <c r="G68" s="90"/>
      <c r="H68" s="259">
        <f>DATE(YEAR($F15)+52,MONTH($F15),DAY($F15))</f>
        <v>43711</v>
      </c>
      <c r="I68" s="210"/>
      <c r="J68" s="122"/>
      <c r="K68" s="122"/>
      <c r="L68" s="90"/>
      <c r="M68" s="90"/>
      <c r="N68" s="81"/>
    </row>
    <row r="69" spans="2:32">
      <c r="B69" s="80"/>
      <c r="C69" s="90"/>
      <c r="D69" s="137" t="s">
        <v>377</v>
      </c>
      <c r="E69" s="97"/>
      <c r="F69" s="137" t="str">
        <f>IF((AND($T66&lt;=H68,H68&lt;=$T67)),"ja",IF(H68&gt;T67,"later","eerder"))</f>
        <v>later</v>
      </c>
      <c r="G69" s="90"/>
      <c r="H69" s="101">
        <f>IF(F69="ja",+S82,IF(H68&lt;T67,12,0))</f>
        <v>0</v>
      </c>
      <c r="I69" s="210" t="s">
        <v>376</v>
      </c>
      <c r="J69" s="122"/>
      <c r="K69" s="122"/>
      <c r="L69" s="90"/>
      <c r="M69" s="90"/>
      <c r="N69" s="81"/>
    </row>
    <row r="70" spans="2:32">
      <c r="B70" s="80"/>
      <c r="C70" s="90"/>
      <c r="D70" s="137" t="s">
        <v>450</v>
      </c>
      <c r="E70" s="97"/>
      <c r="F70" s="137"/>
      <c r="G70" s="90"/>
      <c r="H70" s="259">
        <f>DATE(YEAR($F15)+56,MONTH($F15),DAY($F15))</f>
        <v>45172</v>
      </c>
      <c r="I70" s="210"/>
      <c r="J70" s="122"/>
      <c r="K70" s="122"/>
      <c r="L70" s="90"/>
      <c r="M70" s="90"/>
      <c r="N70" s="81"/>
      <c r="AE70" s="85" t="s">
        <v>406</v>
      </c>
      <c r="AF70" s="85" t="s">
        <v>407</v>
      </c>
    </row>
    <row r="71" spans="2:32">
      <c r="B71" s="80"/>
      <c r="C71" s="90"/>
      <c r="D71" s="137" t="s">
        <v>379</v>
      </c>
      <c r="E71" s="97"/>
      <c r="F71" s="137" t="str">
        <f>IF((AND($T66&lt;=H70,H70&lt;=$T67)),"ja",IF(H70&gt;T67,"later","eerder"))</f>
        <v>later</v>
      </c>
      <c r="G71" s="90"/>
      <c r="H71" s="101">
        <f>IF(F71="ja",+T82,IF(H70&lt;T67,12,0))</f>
        <v>0</v>
      </c>
      <c r="I71" s="210" t="s">
        <v>376</v>
      </c>
      <c r="J71" s="122"/>
      <c r="K71" s="122"/>
      <c r="L71" s="90"/>
      <c r="M71" s="90"/>
      <c r="N71" s="81"/>
      <c r="Q71" s="269" t="s">
        <v>82</v>
      </c>
      <c r="R71" s="269"/>
      <c r="S71" s="47"/>
      <c r="T71" s="71">
        <f>+L146</f>
        <v>0</v>
      </c>
      <c r="AE71" s="244">
        <v>1</v>
      </c>
      <c r="AF71" s="262">
        <f>tab!W29</f>
        <v>7</v>
      </c>
    </row>
    <row r="72" spans="2:32">
      <c r="B72" s="80"/>
      <c r="C72" s="90"/>
      <c r="D72" s="90"/>
      <c r="E72" s="90"/>
      <c r="F72" s="90"/>
      <c r="G72" s="90"/>
      <c r="H72" s="90"/>
      <c r="I72" s="122"/>
      <c r="J72" s="122"/>
      <c r="K72" s="122"/>
      <c r="L72" s="90"/>
      <c r="M72" s="90"/>
      <c r="N72" s="81"/>
      <c r="AE72" s="244">
        <v>2</v>
      </c>
      <c r="AF72" s="262">
        <f>tab!W30</f>
        <v>8</v>
      </c>
    </row>
    <row r="73" spans="2:32">
      <c r="B73" s="80"/>
      <c r="C73" s="90"/>
      <c r="D73" s="90"/>
      <c r="E73" s="90"/>
      <c r="F73" s="90"/>
      <c r="G73" s="90"/>
      <c r="H73" s="90"/>
      <c r="I73" s="122"/>
      <c r="J73" s="122"/>
      <c r="K73" s="122"/>
      <c r="L73" s="90"/>
      <c r="M73" s="90"/>
      <c r="N73" s="81"/>
      <c r="R73" s="85" t="s">
        <v>449</v>
      </c>
      <c r="T73" s="167">
        <f>ROUND(ROUND(170*IF(H59&gt;1,1,H59)*((H69+H71)/12),1)/0.5,0)*0.5</f>
        <v>0</v>
      </c>
      <c r="Y73" s="115"/>
      <c r="AE73" s="244">
        <v>3</v>
      </c>
      <c r="AF73" s="262">
        <f>tab!W31</f>
        <v>9</v>
      </c>
    </row>
    <row r="74" spans="2:32">
      <c r="B74" s="80"/>
      <c r="C74" s="90"/>
      <c r="D74" s="90"/>
      <c r="E74" s="90"/>
      <c r="F74" s="90"/>
      <c r="G74" s="90"/>
      <c r="H74" s="103" t="s">
        <v>302</v>
      </c>
      <c r="I74" s="122"/>
      <c r="J74" s="122"/>
      <c r="K74" s="216" t="s">
        <v>19</v>
      </c>
      <c r="L74" s="90"/>
      <c r="M74" s="90"/>
      <c r="N74" s="81"/>
      <c r="R74" s="85" t="s">
        <v>447</v>
      </c>
      <c r="T74" s="71">
        <f>VLOOKUP(F16,leeftijdsuren,2,TRUE)*H59</f>
        <v>24</v>
      </c>
      <c r="Y74" s="115"/>
      <c r="AE74" s="244">
        <v>4</v>
      </c>
      <c r="AF74" s="262">
        <f>tab!W32</f>
        <v>11</v>
      </c>
    </row>
    <row r="75" spans="2:32">
      <c r="B75" s="80"/>
      <c r="C75" s="90"/>
      <c r="D75" s="90"/>
      <c r="E75" s="90"/>
      <c r="F75" s="90"/>
      <c r="G75" s="90"/>
      <c r="H75" s="103"/>
      <c r="I75" s="122"/>
      <c r="J75" s="122"/>
      <c r="K75" s="90"/>
      <c r="L75" s="90"/>
      <c r="M75" s="90"/>
      <c r="N75" s="81"/>
      <c r="R75" s="85" t="s">
        <v>448</v>
      </c>
      <c r="T75" s="71">
        <f>ROUND((IF(AND(H59=1,W66&gt;=59),112.5,0)*U82/12)/0.5,0)*0.5</f>
        <v>0</v>
      </c>
      <c r="Y75" s="115"/>
      <c r="AE75" s="244">
        <v>5</v>
      </c>
      <c r="AF75" s="262">
        <f>tab!W33</f>
        <v>12</v>
      </c>
    </row>
    <row r="76" spans="2:32">
      <c r="B76" s="80"/>
      <c r="C76" s="90"/>
      <c r="D76" s="93" t="s">
        <v>454</v>
      </c>
      <c r="E76" s="93"/>
      <c r="F76" s="90"/>
      <c r="G76" s="90"/>
      <c r="H76" s="156">
        <v>0</v>
      </c>
      <c r="I76" s="122"/>
      <c r="J76" s="122"/>
      <c r="K76" s="289">
        <f>ROUND(+H76/H61,4)</f>
        <v>0</v>
      </c>
      <c r="L76" s="90"/>
      <c r="M76" s="90"/>
      <c r="N76" s="81"/>
      <c r="R76" s="85" t="s">
        <v>65</v>
      </c>
      <c r="T76" s="167">
        <f>ROUND((((1659-(T74+T75))*T73)/1659)/0.5,0)*0.5</f>
        <v>0</v>
      </c>
      <c r="Y76" s="115"/>
      <c r="AE76" s="244">
        <v>6</v>
      </c>
      <c r="AF76" s="262">
        <f>tab!W34</f>
        <v>11</v>
      </c>
    </row>
    <row r="77" spans="2:32">
      <c r="B77" s="80"/>
      <c r="C77" s="90"/>
      <c r="D77" s="137" t="s">
        <v>452</v>
      </c>
      <c r="E77" s="97"/>
      <c r="F77" s="90"/>
      <c r="G77" s="90"/>
      <c r="H77" s="177">
        <f>+T76</f>
        <v>0</v>
      </c>
      <c r="I77" s="122"/>
      <c r="J77" s="122"/>
      <c r="K77" s="122"/>
      <c r="L77" s="90"/>
      <c r="M77" s="90"/>
      <c r="N77" s="81"/>
      <c r="AB77" s="115"/>
      <c r="AE77" s="244">
        <v>7</v>
      </c>
      <c r="AF77" s="262">
        <f>tab!W35</f>
        <v>12</v>
      </c>
    </row>
    <row r="78" spans="2:32">
      <c r="B78" s="80"/>
      <c r="C78" s="90"/>
      <c r="D78" s="137" t="s">
        <v>371</v>
      </c>
      <c r="E78" s="97"/>
      <c r="F78" s="90"/>
      <c r="G78" s="90"/>
      <c r="H78" s="83">
        <v>0</v>
      </c>
      <c r="I78" s="122"/>
      <c r="J78" s="122"/>
      <c r="K78" s="122"/>
      <c r="L78" s="90"/>
      <c r="M78" s="90"/>
      <c r="N78" s="81"/>
      <c r="AB78" s="115"/>
      <c r="AE78" s="244">
        <v>8</v>
      </c>
      <c r="AF78" s="262">
        <f>tab!W36</f>
        <v>13</v>
      </c>
    </row>
    <row r="79" spans="2:32" ht="12" customHeight="1">
      <c r="B79" s="80"/>
      <c r="C79" s="239"/>
      <c r="D79" s="246" t="s">
        <v>70</v>
      </c>
      <c r="E79" s="270"/>
      <c r="F79" s="239"/>
      <c r="G79" s="239"/>
      <c r="H79" s="248">
        <f>IF(W65&gt;=52,+H77+H78-H76,IF(W66&gt;55,0,+H77+H78-H76))</f>
        <v>0</v>
      </c>
      <c r="I79" s="122" t="str">
        <f>IF(H79&lt;0,"Er mag niet meer BAPO worden opgenomen als beschikbaar is","")</f>
        <v/>
      </c>
      <c r="J79" s="247"/>
      <c r="K79" s="247"/>
      <c r="L79" s="239"/>
      <c r="M79" s="239"/>
      <c r="N79" s="81"/>
      <c r="S79" s="71">
        <v>52</v>
      </c>
      <c r="T79" s="71">
        <v>56</v>
      </c>
      <c r="U79" s="71">
        <v>60</v>
      </c>
      <c r="Y79" s="115"/>
      <c r="AE79" s="244">
        <v>9</v>
      </c>
      <c r="AF79" s="262">
        <f>tab!W37</f>
        <v>10</v>
      </c>
    </row>
    <row r="80" spans="2:32" ht="12" customHeight="1">
      <c r="B80" s="80"/>
      <c r="C80" s="239"/>
      <c r="D80" s="246"/>
      <c r="E80" s="270"/>
      <c r="F80" s="239"/>
      <c r="G80" s="237" t="s">
        <v>453</v>
      </c>
      <c r="H80" s="238">
        <f>IF(F16&gt;=52,+H77+H78-H76,IF(F16&gt;55,0,+H78-(H76-H77)))</f>
        <v>0</v>
      </c>
      <c r="I80" s="238" t="e">
        <f>IF(I48&gt;=52,+I78+I79-I77,IF(I48&gt;55,0,+I79-(I77-I78)))</f>
        <v>#VALUE!</v>
      </c>
      <c r="J80" s="247"/>
      <c r="K80" s="247"/>
      <c r="L80" s="239"/>
      <c r="M80" s="239"/>
      <c r="N80" s="81"/>
      <c r="R80" s="85" t="s">
        <v>580</v>
      </c>
      <c r="S80" s="164">
        <f>DATE(YEAR($F15)+52,MONTH($F15),DAY($F15))</f>
        <v>43711</v>
      </c>
      <c r="T80" s="164">
        <f>DATE(YEAR($F15)+56,MONTH($F15),DAY($F15))</f>
        <v>45172</v>
      </c>
      <c r="U80" s="115">
        <f>DATE(YEAR($F15)+60,MONTH($F15),DAY($F15))</f>
        <v>46633</v>
      </c>
      <c r="V80" s="71">
        <f>MONTH(S80)</f>
        <v>9</v>
      </c>
      <c r="W80" s="71">
        <f>MONTH(T80)</f>
        <v>9</v>
      </c>
      <c r="X80" s="71">
        <f>MONTH(U80)</f>
        <v>9</v>
      </c>
      <c r="Y80" s="115"/>
      <c r="AE80" s="244">
        <v>10</v>
      </c>
      <c r="AF80" s="262">
        <f>tab!W38</f>
        <v>13</v>
      </c>
    </row>
    <row r="81" spans="2:32" ht="12.75" hidden="1" customHeight="1">
      <c r="B81" s="80"/>
      <c r="C81" s="90"/>
      <c r="D81" s="100" t="s">
        <v>319</v>
      </c>
      <c r="E81" s="100"/>
      <c r="F81" s="97"/>
      <c r="G81" s="90"/>
      <c r="H81" s="128">
        <f>ROUND((H61-H76)*0%*H59,0)</f>
        <v>0</v>
      </c>
      <c r="I81" s="122"/>
      <c r="J81" s="122"/>
      <c r="K81" s="122"/>
      <c r="L81" s="90"/>
      <c r="M81" s="90"/>
      <c r="N81" s="81"/>
      <c r="R81" s="85" t="s">
        <v>380</v>
      </c>
      <c r="S81" s="82">
        <f>V80+1</f>
        <v>10</v>
      </c>
      <c r="T81" s="71">
        <f>+W80+1</f>
        <v>10</v>
      </c>
      <c r="U81" s="71">
        <f>+X80+1</f>
        <v>10</v>
      </c>
      <c r="V81" s="71">
        <f>YEAR(S80)</f>
        <v>2019</v>
      </c>
      <c r="W81" s="71">
        <f>YEAR(T80)</f>
        <v>2023</v>
      </c>
      <c r="X81" s="71">
        <f>YEAR(U80)</f>
        <v>2027</v>
      </c>
      <c r="Y81" s="115"/>
      <c r="AE81" s="244">
        <v>11</v>
      </c>
      <c r="AF81" s="262">
        <f>tab!W39</f>
        <v>18</v>
      </c>
    </row>
    <row r="82" spans="2:32" ht="12.75" hidden="1" customHeight="1">
      <c r="B82" s="80"/>
      <c r="C82" s="90"/>
      <c r="D82" s="137" t="s">
        <v>587</v>
      </c>
      <c r="E82" s="137"/>
      <c r="F82" s="97"/>
      <c r="G82" s="90"/>
      <c r="H82" s="128">
        <f>+H81-H83</f>
        <v>0</v>
      </c>
      <c r="I82" s="210"/>
      <c r="J82" s="122"/>
      <c r="K82" s="122"/>
      <c r="L82" s="90"/>
      <c r="M82" s="90"/>
      <c r="N82" s="81"/>
      <c r="R82" s="85" t="s">
        <v>451</v>
      </c>
      <c r="S82" s="85">
        <f>IF(V82=12,12,IF((8-S81)&lt;0,(12-S81+8),(8-S81)))</f>
        <v>10</v>
      </c>
      <c r="T82" s="85">
        <f>IF(W82=12,12,IF((8-T81)&lt;0,(12-T81+8),(8-T81)))</f>
        <v>10</v>
      </c>
      <c r="U82" s="85">
        <f>IF(X82=12,12,IF((8-U81)&lt;0,(12-U81+8),(8-U81)))</f>
        <v>10</v>
      </c>
      <c r="V82" s="71">
        <f>IF($T66&gt;S80,12,IF((AND($T66&lt;=S80,S80&lt;=$T67)),S81,IF($T66&gt;S80,12,0)))</f>
        <v>0</v>
      </c>
      <c r="W82" s="71">
        <f>IF($T66&gt;T80,12,IF((AND($T66&lt;=T80,T80&lt;=$T67)),T81,0))</f>
        <v>0</v>
      </c>
      <c r="X82" s="71">
        <f>IF($T66&gt;U80,12,IF((AND($T66&lt;=U80,U80&lt;=$T67)),U81,0))</f>
        <v>0</v>
      </c>
      <c r="Y82" s="115"/>
      <c r="AE82" s="244">
        <v>12</v>
      </c>
      <c r="AF82" s="262">
        <f>tab!W40</f>
        <v>16</v>
      </c>
    </row>
    <row r="83" spans="2:32" ht="12.75" hidden="1" customHeight="1">
      <c r="B83" s="80"/>
      <c r="C83" s="90"/>
      <c r="D83" s="137" t="s">
        <v>588</v>
      </c>
      <c r="E83" s="137"/>
      <c r="F83" s="144">
        <v>0.5</v>
      </c>
      <c r="G83" s="90"/>
      <c r="H83" s="128">
        <f>ROUND(+H81*F83,0)</f>
        <v>0</v>
      </c>
      <c r="I83" s="210"/>
      <c r="J83" s="122"/>
      <c r="K83" s="122"/>
      <c r="L83" s="90"/>
      <c r="M83" s="90"/>
      <c r="N83" s="81"/>
      <c r="Y83" s="115"/>
      <c r="AE83" s="244">
        <v>13</v>
      </c>
      <c r="AF83" s="262">
        <f>tab!W41</f>
        <v>13</v>
      </c>
    </row>
    <row r="84" spans="2:32" ht="12.75" hidden="1" customHeight="1">
      <c r="B84" s="80"/>
      <c r="C84" s="90"/>
      <c r="D84" s="90"/>
      <c r="E84" s="90"/>
      <c r="F84" s="90"/>
      <c r="G84" s="90"/>
      <c r="H84" s="122"/>
      <c r="I84" s="218"/>
      <c r="J84" s="122"/>
      <c r="K84" s="122"/>
      <c r="L84" s="122"/>
      <c r="M84" s="90"/>
      <c r="N84" s="81"/>
      <c r="AE84" s="244">
        <v>14</v>
      </c>
      <c r="AF84" s="262">
        <f>tab!W42</f>
        <v>11</v>
      </c>
    </row>
    <row r="85" spans="2:32" ht="12.75" hidden="1" customHeight="1">
      <c r="B85" s="80"/>
      <c r="C85" s="90"/>
      <c r="D85" s="90"/>
      <c r="E85" s="90"/>
      <c r="F85" s="90"/>
      <c r="G85" s="90"/>
      <c r="H85" s="90"/>
      <c r="I85" s="90"/>
      <c r="J85" s="90"/>
      <c r="K85" s="90"/>
      <c r="L85" s="90"/>
      <c r="M85" s="90"/>
      <c r="N85" s="81"/>
      <c r="AB85" s="115"/>
    </row>
    <row r="86" spans="2:32">
      <c r="B86" s="80"/>
      <c r="N86" s="81"/>
    </row>
    <row r="87" spans="2:32">
      <c r="B87" s="80"/>
      <c r="N87" s="81"/>
    </row>
    <row r="88" spans="2:32">
      <c r="B88" s="80"/>
      <c r="C88" s="90"/>
      <c r="D88" s="90"/>
      <c r="E88" s="90"/>
      <c r="F88" s="90"/>
      <c r="G88" s="90"/>
      <c r="H88" s="90"/>
      <c r="I88" s="90"/>
      <c r="J88" s="90"/>
      <c r="K88" s="90"/>
      <c r="L88" s="90"/>
      <c r="M88" s="90"/>
      <c r="N88" s="81"/>
    </row>
    <row r="89" spans="2:32">
      <c r="B89" s="80"/>
      <c r="C89" s="90"/>
      <c r="D89" s="93" t="s">
        <v>455</v>
      </c>
      <c r="E89" s="93"/>
      <c r="F89" s="83">
        <v>41</v>
      </c>
      <c r="G89" s="90"/>
      <c r="H89" s="90"/>
      <c r="I89" s="90"/>
      <c r="J89" s="90"/>
      <c r="K89" s="90"/>
      <c r="L89" s="90"/>
      <c r="M89" s="90"/>
      <c r="N89" s="81"/>
      <c r="Q89" s="71">
        <v>0</v>
      </c>
      <c r="R89" s="71">
        <v>0</v>
      </c>
    </row>
    <row r="90" spans="2:32">
      <c r="B90" s="80"/>
      <c r="C90" s="90"/>
      <c r="D90" s="93"/>
      <c r="E90" s="93"/>
      <c r="F90" s="90"/>
      <c r="G90" s="90"/>
      <c r="H90" s="90"/>
      <c r="I90" s="90"/>
      <c r="J90" s="90"/>
      <c r="K90" s="90"/>
      <c r="L90" s="90"/>
      <c r="M90" s="90"/>
      <c r="N90" s="81"/>
      <c r="Q90" s="71">
        <v>52</v>
      </c>
      <c r="R90" s="71">
        <v>170</v>
      </c>
    </row>
    <row r="91" spans="2:32">
      <c r="B91" s="80"/>
      <c r="C91" s="90"/>
      <c r="D91" s="93"/>
      <c r="E91" s="93"/>
      <c r="F91" s="90"/>
      <c r="G91" s="90"/>
      <c r="H91" s="103" t="s">
        <v>302</v>
      </c>
      <c r="I91" s="103"/>
      <c r="J91" s="103" t="s">
        <v>531</v>
      </c>
      <c r="K91" s="103" t="s">
        <v>79</v>
      </c>
      <c r="L91" s="90"/>
      <c r="M91" s="90"/>
      <c r="N91" s="81"/>
      <c r="Q91" s="71">
        <v>56</v>
      </c>
      <c r="R91" s="71">
        <v>340</v>
      </c>
    </row>
    <row r="92" spans="2:32">
      <c r="B92" s="80"/>
      <c r="C92" s="90"/>
      <c r="D92" s="93"/>
      <c r="E92" s="93"/>
      <c r="F92" s="90"/>
      <c r="G92" s="90"/>
      <c r="H92" s="90"/>
      <c r="I92" s="90"/>
      <c r="J92" s="90"/>
      <c r="K92" s="90"/>
      <c r="L92" s="90"/>
      <c r="M92" s="90"/>
      <c r="N92" s="81"/>
    </row>
    <row r="93" spans="2:32">
      <c r="B93" s="80"/>
      <c r="C93" s="90"/>
      <c r="D93" s="90" t="s">
        <v>285</v>
      </c>
      <c r="E93" s="90"/>
      <c r="F93" s="92"/>
      <c r="G93" s="90"/>
      <c r="H93" s="156">
        <v>9</v>
      </c>
      <c r="I93" s="90"/>
      <c r="J93" s="114"/>
      <c r="K93" s="114"/>
      <c r="L93" s="90"/>
      <c r="M93" s="90"/>
      <c r="N93" s="81"/>
    </row>
    <row r="94" spans="2:32">
      <c r="B94" s="80"/>
      <c r="C94" s="90"/>
      <c r="D94" s="90" t="s">
        <v>286</v>
      </c>
      <c r="E94" s="90"/>
      <c r="F94" s="92"/>
      <c r="G94" s="90"/>
      <c r="H94" s="156">
        <v>9</v>
      </c>
      <c r="I94" s="90"/>
      <c r="J94" s="114"/>
      <c r="K94" s="114"/>
      <c r="L94" s="90"/>
      <c r="M94" s="90"/>
      <c r="N94" s="81"/>
    </row>
    <row r="95" spans="2:32">
      <c r="B95" s="80"/>
      <c r="C95" s="90"/>
      <c r="D95" s="90" t="s">
        <v>287</v>
      </c>
      <c r="E95" s="90"/>
      <c r="F95" s="92"/>
      <c r="G95" s="90"/>
      <c r="H95" s="156">
        <v>8</v>
      </c>
      <c r="I95" s="90"/>
      <c r="J95" s="114"/>
      <c r="K95" s="114"/>
      <c r="L95" s="90"/>
      <c r="M95" s="90"/>
      <c r="N95" s="81"/>
    </row>
    <row r="96" spans="2:32">
      <c r="B96" s="80"/>
      <c r="C96" s="90"/>
      <c r="D96" s="90" t="s">
        <v>288</v>
      </c>
      <c r="E96" s="90"/>
      <c r="F96" s="92"/>
      <c r="G96" s="90"/>
      <c r="H96" s="156">
        <v>9</v>
      </c>
      <c r="I96" s="90"/>
      <c r="J96" s="114"/>
      <c r="K96" s="114"/>
      <c r="L96" s="90"/>
      <c r="M96" s="90"/>
      <c r="N96" s="81"/>
    </row>
    <row r="97" spans="2:14">
      <c r="B97" s="80"/>
      <c r="C97" s="90"/>
      <c r="D97" s="90" t="s">
        <v>289</v>
      </c>
      <c r="E97" s="90"/>
      <c r="F97" s="92"/>
      <c r="G97" s="90"/>
      <c r="H97" s="156">
        <v>5</v>
      </c>
      <c r="I97" s="90"/>
      <c r="J97" s="114"/>
      <c r="K97" s="114"/>
      <c r="L97" s="90"/>
      <c r="M97" s="90"/>
      <c r="N97" s="81"/>
    </row>
    <row r="98" spans="2:14">
      <c r="B98" s="80"/>
      <c r="C98" s="90"/>
      <c r="D98" s="137" t="s">
        <v>295</v>
      </c>
      <c r="E98" s="90"/>
      <c r="F98" s="92"/>
      <c r="G98" s="90"/>
      <c r="H98" s="219">
        <f>SUM(H93:H97)</f>
        <v>40</v>
      </c>
      <c r="I98" s="175"/>
      <c r="J98" s="90"/>
      <c r="K98" s="128">
        <f>SUM(K93:K97)</f>
        <v>0</v>
      </c>
      <c r="L98" s="128">
        <f>+F89*K98</f>
        <v>0</v>
      </c>
      <c r="M98" s="90"/>
      <c r="N98" s="81"/>
    </row>
    <row r="99" spans="2:14">
      <c r="B99" s="80"/>
      <c r="C99" s="90"/>
      <c r="D99" s="137" t="s">
        <v>337</v>
      </c>
      <c r="E99" s="90"/>
      <c r="F99" s="92"/>
      <c r="G99" s="90"/>
      <c r="H99" s="107">
        <f>ROUND(H98*F89,0)</f>
        <v>1640</v>
      </c>
      <c r="I99" s="90"/>
      <c r="J99" s="90"/>
      <c r="K99" s="90"/>
      <c r="L99" s="90"/>
      <c r="M99" s="90"/>
      <c r="N99" s="81"/>
    </row>
    <row r="100" spans="2:14">
      <c r="B100" s="80"/>
      <c r="C100" s="90"/>
      <c r="D100" s="90"/>
      <c r="E100" s="90"/>
      <c r="F100" s="92"/>
      <c r="G100" s="90"/>
      <c r="H100" s="92"/>
      <c r="I100" s="90"/>
      <c r="J100" s="90"/>
      <c r="K100" s="90"/>
      <c r="L100" s="90"/>
      <c r="M100" s="90"/>
      <c r="N100" s="81"/>
    </row>
    <row r="101" spans="2:14">
      <c r="B101" s="80"/>
      <c r="F101" s="75"/>
      <c r="H101" s="75"/>
      <c r="N101" s="81"/>
    </row>
    <row r="102" spans="2:14">
      <c r="B102" s="80"/>
      <c r="C102" s="90"/>
      <c r="D102" s="90"/>
      <c r="E102" s="90"/>
      <c r="F102" s="92"/>
      <c r="G102" s="90"/>
      <c r="H102" s="92"/>
      <c r="I102" s="90"/>
      <c r="J102" s="90"/>
      <c r="K102" s="90"/>
      <c r="L102" s="90"/>
      <c r="M102" s="90"/>
      <c r="N102" s="81"/>
    </row>
    <row r="103" spans="2:14">
      <c r="B103" s="80"/>
      <c r="C103" s="90"/>
      <c r="D103" s="93" t="s">
        <v>392</v>
      </c>
      <c r="E103" s="93"/>
      <c r="F103" s="83">
        <v>0</v>
      </c>
      <c r="G103" s="90"/>
      <c r="H103" s="92"/>
      <c r="I103" s="90"/>
      <c r="J103" s="90"/>
      <c r="K103" s="90"/>
      <c r="L103" s="90"/>
      <c r="M103" s="90"/>
      <c r="N103" s="81"/>
    </row>
    <row r="104" spans="2:14">
      <c r="B104" s="80"/>
      <c r="C104" s="90"/>
      <c r="D104" s="93"/>
      <c r="E104" s="93"/>
      <c r="F104" s="92"/>
      <c r="G104" s="90"/>
      <c r="H104" s="92"/>
      <c r="I104" s="90"/>
      <c r="J104" s="90"/>
      <c r="K104" s="90"/>
      <c r="L104" s="90"/>
      <c r="M104" s="90"/>
      <c r="N104" s="81"/>
    </row>
    <row r="105" spans="2:14">
      <c r="B105" s="80"/>
      <c r="C105" s="90"/>
      <c r="D105" s="93"/>
      <c r="E105" s="93"/>
      <c r="F105" s="92"/>
      <c r="G105" s="90"/>
      <c r="H105" s="103" t="s">
        <v>302</v>
      </c>
      <c r="I105" s="103"/>
      <c r="J105" s="103" t="s">
        <v>531</v>
      </c>
      <c r="K105" s="103" t="s">
        <v>79</v>
      </c>
      <c r="L105" s="90"/>
      <c r="M105" s="90"/>
      <c r="N105" s="81"/>
    </row>
    <row r="106" spans="2:14">
      <c r="B106" s="80"/>
      <c r="C106" s="90"/>
      <c r="D106" s="93"/>
      <c r="E106" s="93"/>
      <c r="F106" s="92"/>
      <c r="G106" s="90"/>
      <c r="H106" s="92"/>
      <c r="I106" s="90"/>
      <c r="J106" s="90"/>
      <c r="K106" s="90"/>
      <c r="L106" s="90"/>
      <c r="M106" s="90"/>
      <c r="N106" s="81"/>
    </row>
    <row r="107" spans="2:14">
      <c r="B107" s="80"/>
      <c r="C107" s="90"/>
      <c r="D107" s="90" t="s">
        <v>285</v>
      </c>
      <c r="E107" s="90"/>
      <c r="F107" s="92"/>
      <c r="G107" s="90"/>
      <c r="H107" s="156">
        <v>0</v>
      </c>
      <c r="I107" s="90"/>
      <c r="J107" s="114"/>
      <c r="K107" s="114"/>
      <c r="L107" s="90"/>
      <c r="M107" s="90"/>
      <c r="N107" s="81"/>
    </row>
    <row r="108" spans="2:14">
      <c r="B108" s="80"/>
      <c r="C108" s="90"/>
      <c r="D108" s="90" t="s">
        <v>286</v>
      </c>
      <c r="E108" s="90"/>
      <c r="F108" s="92"/>
      <c r="G108" s="90"/>
      <c r="H108" s="156">
        <v>0</v>
      </c>
      <c r="I108" s="90"/>
      <c r="J108" s="114"/>
      <c r="K108" s="114"/>
      <c r="L108" s="90"/>
      <c r="M108" s="90"/>
      <c r="N108" s="81"/>
    </row>
    <row r="109" spans="2:14">
      <c r="B109" s="80"/>
      <c r="C109" s="90"/>
      <c r="D109" s="90" t="s">
        <v>287</v>
      </c>
      <c r="E109" s="90"/>
      <c r="F109" s="92"/>
      <c r="G109" s="90"/>
      <c r="H109" s="156">
        <v>0</v>
      </c>
      <c r="I109" s="90"/>
      <c r="J109" s="114" t="s">
        <v>447</v>
      </c>
      <c r="K109" s="114"/>
      <c r="L109" s="90"/>
      <c r="M109" s="90"/>
      <c r="N109" s="81"/>
    </row>
    <row r="110" spans="2:14">
      <c r="B110" s="80"/>
      <c r="C110" s="90"/>
      <c r="D110" s="90" t="s">
        <v>288</v>
      </c>
      <c r="E110" s="90"/>
      <c r="F110" s="92"/>
      <c r="G110" s="90"/>
      <c r="H110" s="156">
        <v>0</v>
      </c>
      <c r="I110" s="90"/>
      <c r="J110" s="114"/>
      <c r="K110" s="114"/>
      <c r="L110" s="90"/>
      <c r="M110" s="90"/>
      <c r="N110" s="81"/>
    </row>
    <row r="111" spans="2:14">
      <c r="B111" s="80"/>
      <c r="C111" s="90"/>
      <c r="D111" s="90" t="s">
        <v>289</v>
      </c>
      <c r="E111" s="90"/>
      <c r="F111" s="92"/>
      <c r="G111" s="90"/>
      <c r="H111" s="156">
        <v>0</v>
      </c>
      <c r="I111" s="90"/>
      <c r="J111" s="114"/>
      <c r="K111" s="114"/>
      <c r="L111" s="90"/>
      <c r="M111" s="90"/>
      <c r="N111" s="81"/>
    </row>
    <row r="112" spans="2:14">
      <c r="B112" s="80"/>
      <c r="C112" s="90"/>
      <c r="D112" s="137" t="s">
        <v>295</v>
      </c>
      <c r="E112" s="90"/>
      <c r="F112" s="92"/>
      <c r="G112" s="90"/>
      <c r="H112" s="171">
        <f>SUM(H107:H111)</f>
        <v>0</v>
      </c>
      <c r="I112" s="90"/>
      <c r="J112" s="90"/>
      <c r="K112" s="128">
        <f>SUM(K107:K111)</f>
        <v>0</v>
      </c>
      <c r="L112" s="128">
        <f>+F103*K112</f>
        <v>0</v>
      </c>
      <c r="M112" s="90"/>
      <c r="N112" s="81"/>
    </row>
    <row r="113" spans="2:14">
      <c r="B113" s="80"/>
      <c r="C113" s="90"/>
      <c r="D113" s="137" t="s">
        <v>337</v>
      </c>
      <c r="E113" s="90"/>
      <c r="F113" s="92"/>
      <c r="G113" s="90"/>
      <c r="H113" s="107">
        <f>ROUND(H112*F103,0)</f>
        <v>0</v>
      </c>
      <c r="I113" s="90"/>
      <c r="J113" s="90"/>
      <c r="K113" s="90"/>
      <c r="L113" s="90"/>
      <c r="M113" s="90"/>
      <c r="N113" s="81"/>
    </row>
    <row r="114" spans="2:14">
      <c r="B114" s="80"/>
      <c r="C114" s="90"/>
      <c r="D114" s="90"/>
      <c r="E114" s="90"/>
      <c r="F114" s="92"/>
      <c r="G114" s="92"/>
      <c r="H114" s="90"/>
      <c r="I114" s="90"/>
      <c r="J114" s="90"/>
      <c r="K114" s="90"/>
      <c r="L114" s="90"/>
      <c r="M114" s="90"/>
      <c r="N114" s="81"/>
    </row>
    <row r="115" spans="2:14">
      <c r="B115" s="80"/>
      <c r="F115" s="75"/>
      <c r="G115" s="75"/>
      <c r="N115" s="81"/>
    </row>
    <row r="116" spans="2:14">
      <c r="B116" s="80"/>
      <c r="C116" s="90"/>
      <c r="D116" s="90"/>
      <c r="E116" s="90"/>
      <c r="F116" s="92"/>
      <c r="G116" s="92"/>
      <c r="H116" s="90"/>
      <c r="I116" s="90"/>
      <c r="J116" s="90"/>
      <c r="K116" s="90"/>
      <c r="L116" s="90"/>
      <c r="M116" s="90"/>
      <c r="N116" s="81"/>
    </row>
    <row r="117" spans="2:14">
      <c r="B117" s="80"/>
      <c r="C117" s="90"/>
      <c r="D117" s="93" t="s">
        <v>393</v>
      </c>
      <c r="E117" s="93"/>
      <c r="F117" s="83">
        <v>0</v>
      </c>
      <c r="G117" s="92"/>
      <c r="H117" s="90"/>
      <c r="I117" s="90"/>
      <c r="J117" s="90"/>
      <c r="K117" s="90"/>
      <c r="L117" s="90"/>
      <c r="M117" s="90"/>
      <c r="N117" s="81"/>
    </row>
    <row r="118" spans="2:14">
      <c r="B118" s="80"/>
      <c r="C118" s="90"/>
      <c r="D118" s="93"/>
      <c r="E118" s="93"/>
      <c r="F118" s="92"/>
      <c r="G118" s="92"/>
      <c r="H118" s="90"/>
      <c r="I118" s="90"/>
      <c r="J118" s="90"/>
      <c r="K118" s="90"/>
      <c r="L118" s="90"/>
      <c r="M118" s="90"/>
      <c r="N118" s="81"/>
    </row>
    <row r="119" spans="2:14">
      <c r="B119" s="80"/>
      <c r="C119" s="90"/>
      <c r="D119" s="93"/>
      <c r="E119" s="93"/>
      <c r="F119" s="92"/>
      <c r="G119" s="90"/>
      <c r="H119" s="103" t="s">
        <v>302</v>
      </c>
      <c r="I119" s="103"/>
      <c r="J119" s="103" t="s">
        <v>531</v>
      </c>
      <c r="K119" s="103" t="s">
        <v>79</v>
      </c>
      <c r="L119" s="90"/>
      <c r="M119" s="90"/>
      <c r="N119" s="81"/>
    </row>
    <row r="120" spans="2:14">
      <c r="B120" s="80"/>
      <c r="C120" s="90"/>
      <c r="D120" s="93"/>
      <c r="E120" s="93"/>
      <c r="F120" s="92"/>
      <c r="G120" s="90"/>
      <c r="H120" s="92"/>
      <c r="I120" s="90"/>
      <c r="J120" s="90"/>
      <c r="K120" s="90"/>
      <c r="L120" s="90"/>
      <c r="M120" s="90"/>
      <c r="N120" s="81"/>
    </row>
    <row r="121" spans="2:14">
      <c r="B121" s="80"/>
      <c r="C121" s="90"/>
      <c r="D121" s="90" t="s">
        <v>285</v>
      </c>
      <c r="E121" s="90"/>
      <c r="F121" s="92"/>
      <c r="G121" s="90"/>
      <c r="H121" s="156">
        <v>0</v>
      </c>
      <c r="I121" s="90"/>
      <c r="J121" s="114"/>
      <c r="K121" s="114"/>
      <c r="L121" s="90"/>
      <c r="M121" s="90"/>
      <c r="N121" s="81"/>
    </row>
    <row r="122" spans="2:14">
      <c r="B122" s="80"/>
      <c r="C122" s="90"/>
      <c r="D122" s="90" t="s">
        <v>286</v>
      </c>
      <c r="E122" s="90"/>
      <c r="F122" s="92"/>
      <c r="G122" s="90"/>
      <c r="H122" s="156">
        <v>0</v>
      </c>
      <c r="I122" s="90"/>
      <c r="J122" s="114"/>
      <c r="K122" s="114"/>
      <c r="L122" s="90"/>
      <c r="M122" s="90"/>
      <c r="N122" s="81"/>
    </row>
    <row r="123" spans="2:14">
      <c r="B123" s="80"/>
      <c r="C123" s="90"/>
      <c r="D123" s="90" t="s">
        <v>287</v>
      </c>
      <c r="E123" s="90"/>
      <c r="F123" s="92"/>
      <c r="G123" s="90"/>
      <c r="H123" s="156">
        <v>0</v>
      </c>
      <c r="I123" s="90"/>
      <c r="J123" s="114"/>
      <c r="K123" s="114"/>
      <c r="L123" s="90"/>
      <c r="M123" s="90"/>
      <c r="N123" s="81"/>
    </row>
    <row r="124" spans="2:14">
      <c r="B124" s="80"/>
      <c r="C124" s="90"/>
      <c r="D124" s="90" t="s">
        <v>288</v>
      </c>
      <c r="E124" s="90"/>
      <c r="F124" s="92"/>
      <c r="G124" s="90"/>
      <c r="H124" s="156">
        <v>0</v>
      </c>
      <c r="I124" s="90"/>
      <c r="J124" s="114"/>
      <c r="K124" s="114"/>
      <c r="L124" s="90"/>
      <c r="M124" s="90"/>
      <c r="N124" s="81"/>
    </row>
    <row r="125" spans="2:14">
      <c r="B125" s="80"/>
      <c r="C125" s="90"/>
      <c r="D125" s="90" t="s">
        <v>289</v>
      </c>
      <c r="E125" s="90"/>
      <c r="F125" s="92"/>
      <c r="G125" s="90"/>
      <c r="H125" s="156">
        <v>0</v>
      </c>
      <c r="I125" s="90"/>
      <c r="J125" s="114"/>
      <c r="K125" s="114"/>
      <c r="L125" s="90"/>
      <c r="M125" s="90"/>
      <c r="N125" s="81"/>
    </row>
    <row r="126" spans="2:14">
      <c r="B126" s="80"/>
      <c r="C126" s="90"/>
      <c r="D126" s="137" t="s">
        <v>295</v>
      </c>
      <c r="E126" s="90"/>
      <c r="F126" s="92"/>
      <c r="G126" s="90"/>
      <c r="H126" s="171">
        <f>SUM(H121:H125)</f>
        <v>0</v>
      </c>
      <c r="I126" s="90"/>
      <c r="J126" s="90"/>
      <c r="K126" s="128">
        <f>SUM(K121:K125)</f>
        <v>0</v>
      </c>
      <c r="L126" s="128">
        <f>+F117*K126</f>
        <v>0</v>
      </c>
      <c r="M126" s="90"/>
      <c r="N126" s="81"/>
    </row>
    <row r="127" spans="2:14">
      <c r="B127" s="80"/>
      <c r="C127" s="90"/>
      <c r="D127" s="137" t="s">
        <v>337</v>
      </c>
      <c r="E127" s="90"/>
      <c r="F127" s="92"/>
      <c r="G127" s="90"/>
      <c r="H127" s="107">
        <f>ROUND(H126*F117,0)</f>
        <v>0</v>
      </c>
      <c r="I127" s="90"/>
      <c r="J127" s="90"/>
      <c r="K127" s="90"/>
      <c r="L127" s="90"/>
      <c r="M127" s="90"/>
      <c r="N127" s="81"/>
    </row>
    <row r="128" spans="2:14">
      <c r="B128" s="80"/>
      <c r="C128" s="90"/>
      <c r="D128" s="90"/>
      <c r="E128" s="90"/>
      <c r="F128" s="92"/>
      <c r="G128" s="90"/>
      <c r="H128" s="92"/>
      <c r="I128" s="90"/>
      <c r="J128" s="90"/>
      <c r="K128" s="90"/>
      <c r="L128" s="90"/>
      <c r="M128" s="90"/>
      <c r="N128" s="81"/>
    </row>
    <row r="129" spans="2:14">
      <c r="B129" s="80"/>
      <c r="F129" s="75"/>
      <c r="H129" s="75"/>
      <c r="N129" s="81"/>
    </row>
    <row r="130" spans="2:14">
      <c r="B130" s="80"/>
      <c r="C130" s="90"/>
      <c r="D130" s="90"/>
      <c r="E130" s="90"/>
      <c r="F130" s="92"/>
      <c r="G130" s="90"/>
      <c r="H130" s="92"/>
      <c r="I130" s="90"/>
      <c r="J130" s="90"/>
      <c r="K130" s="90"/>
      <c r="L130" s="90"/>
      <c r="M130" s="90"/>
      <c r="N130" s="81"/>
    </row>
    <row r="131" spans="2:14">
      <c r="B131" s="80"/>
      <c r="C131" s="90"/>
      <c r="D131" s="93" t="s">
        <v>394</v>
      </c>
      <c r="E131" s="93"/>
      <c r="F131" s="83">
        <v>0</v>
      </c>
      <c r="G131" s="90"/>
      <c r="H131" s="92"/>
      <c r="I131" s="90"/>
      <c r="J131" s="90"/>
      <c r="K131" s="90"/>
      <c r="L131" s="90"/>
      <c r="M131" s="90"/>
      <c r="N131" s="81"/>
    </row>
    <row r="132" spans="2:14">
      <c r="B132" s="80"/>
      <c r="C132" s="90"/>
      <c r="D132" s="93"/>
      <c r="E132" s="93"/>
      <c r="F132" s="92"/>
      <c r="G132" s="90"/>
      <c r="H132" s="92"/>
      <c r="I132" s="90"/>
      <c r="J132" s="90"/>
      <c r="K132" s="90"/>
      <c r="L132" s="90"/>
      <c r="M132" s="90"/>
      <c r="N132" s="81"/>
    </row>
    <row r="133" spans="2:14">
      <c r="B133" s="80"/>
      <c r="C133" s="90"/>
      <c r="D133" s="93"/>
      <c r="E133" s="93"/>
      <c r="F133" s="92"/>
      <c r="G133" s="90"/>
      <c r="H133" s="103" t="s">
        <v>302</v>
      </c>
      <c r="I133" s="103"/>
      <c r="J133" s="103" t="s">
        <v>531</v>
      </c>
      <c r="K133" s="103" t="s">
        <v>79</v>
      </c>
      <c r="L133" s="90"/>
      <c r="M133" s="90"/>
      <c r="N133" s="81"/>
    </row>
    <row r="134" spans="2:14">
      <c r="B134" s="80"/>
      <c r="C134" s="90"/>
      <c r="D134" s="93"/>
      <c r="E134" s="93"/>
      <c r="F134" s="92"/>
      <c r="G134" s="90"/>
      <c r="H134" s="92"/>
      <c r="I134" s="90"/>
      <c r="J134" s="90"/>
      <c r="K134" s="90"/>
      <c r="L134" s="90"/>
      <c r="M134" s="90"/>
      <c r="N134" s="81"/>
    </row>
    <row r="135" spans="2:14">
      <c r="B135" s="80"/>
      <c r="C135" s="90"/>
      <c r="D135" s="90" t="s">
        <v>285</v>
      </c>
      <c r="E135" s="90"/>
      <c r="F135" s="92"/>
      <c r="G135" s="90"/>
      <c r="H135" s="156">
        <v>0</v>
      </c>
      <c r="I135" s="90"/>
      <c r="J135" s="114"/>
      <c r="K135" s="114"/>
      <c r="L135" s="90"/>
      <c r="M135" s="90"/>
      <c r="N135" s="81"/>
    </row>
    <row r="136" spans="2:14">
      <c r="B136" s="80"/>
      <c r="C136" s="90"/>
      <c r="D136" s="90" t="s">
        <v>286</v>
      </c>
      <c r="E136" s="90"/>
      <c r="F136" s="92"/>
      <c r="G136" s="90"/>
      <c r="H136" s="156">
        <v>0</v>
      </c>
      <c r="I136" s="90"/>
      <c r="J136" s="114"/>
      <c r="K136" s="114"/>
      <c r="L136" s="90"/>
      <c r="M136" s="90"/>
      <c r="N136" s="81"/>
    </row>
    <row r="137" spans="2:14">
      <c r="B137" s="80"/>
      <c r="C137" s="90"/>
      <c r="D137" s="90" t="s">
        <v>287</v>
      </c>
      <c r="E137" s="90"/>
      <c r="F137" s="92"/>
      <c r="G137" s="90"/>
      <c r="H137" s="156">
        <v>0</v>
      </c>
      <c r="I137" s="90"/>
      <c r="J137" s="114"/>
      <c r="K137" s="114"/>
      <c r="L137" s="90"/>
      <c r="M137" s="90"/>
      <c r="N137" s="81"/>
    </row>
    <row r="138" spans="2:14">
      <c r="B138" s="80"/>
      <c r="C138" s="90"/>
      <c r="D138" s="90" t="s">
        <v>288</v>
      </c>
      <c r="E138" s="90"/>
      <c r="F138" s="92"/>
      <c r="G138" s="90"/>
      <c r="H138" s="156">
        <v>0</v>
      </c>
      <c r="I138" s="90"/>
      <c r="J138" s="114"/>
      <c r="K138" s="114"/>
      <c r="L138" s="90"/>
      <c r="M138" s="90"/>
      <c r="N138" s="81"/>
    </row>
    <row r="139" spans="2:14">
      <c r="B139" s="80"/>
      <c r="C139" s="90"/>
      <c r="D139" s="90" t="s">
        <v>289</v>
      </c>
      <c r="E139" s="90"/>
      <c r="F139" s="92"/>
      <c r="G139" s="90"/>
      <c r="H139" s="156">
        <v>0</v>
      </c>
      <c r="I139" s="90"/>
      <c r="J139" s="114"/>
      <c r="K139" s="114"/>
      <c r="L139" s="90"/>
      <c r="M139" s="90"/>
      <c r="N139" s="81"/>
    </row>
    <row r="140" spans="2:14">
      <c r="B140" s="80"/>
      <c r="C140" s="90"/>
      <c r="D140" s="137" t="s">
        <v>295</v>
      </c>
      <c r="E140" s="90"/>
      <c r="F140" s="92"/>
      <c r="G140" s="90"/>
      <c r="H140" s="171">
        <f>SUM(H135:H139)</f>
        <v>0</v>
      </c>
      <c r="I140" s="90"/>
      <c r="J140" s="90"/>
      <c r="K140" s="128">
        <f>SUM(K135:K139)</f>
        <v>0</v>
      </c>
      <c r="L140" s="128">
        <f>+F131*K140</f>
        <v>0</v>
      </c>
      <c r="M140" s="90"/>
      <c r="N140" s="81"/>
    </row>
    <row r="141" spans="2:14">
      <c r="B141" s="80"/>
      <c r="C141" s="90"/>
      <c r="D141" s="137" t="s">
        <v>337</v>
      </c>
      <c r="E141" s="90"/>
      <c r="F141" s="92"/>
      <c r="G141" s="90"/>
      <c r="H141" s="107">
        <f>ROUND(H140*F131,0)</f>
        <v>0</v>
      </c>
      <c r="I141" s="90"/>
      <c r="J141" s="90"/>
      <c r="K141" s="90"/>
      <c r="L141" s="90"/>
      <c r="M141" s="90"/>
      <c r="N141" s="81"/>
    </row>
    <row r="142" spans="2:14">
      <c r="B142" s="80"/>
      <c r="C142" s="90"/>
      <c r="D142" s="90"/>
      <c r="E142" s="90"/>
      <c r="F142" s="90"/>
      <c r="G142" s="90"/>
      <c r="H142" s="90"/>
      <c r="I142" s="90"/>
      <c r="J142" s="90"/>
      <c r="K142" s="90"/>
      <c r="L142" s="90"/>
      <c r="M142" s="90"/>
      <c r="N142" s="81"/>
    </row>
    <row r="143" spans="2:14">
      <c r="B143" s="80"/>
      <c r="N143" s="81"/>
    </row>
    <row r="144" spans="2:14">
      <c r="B144" s="80"/>
      <c r="C144" s="90"/>
      <c r="D144" s="90"/>
      <c r="E144" s="90"/>
      <c r="F144" s="90"/>
      <c r="G144" s="90"/>
      <c r="H144" s="90"/>
      <c r="I144" s="90"/>
      <c r="J144" s="90"/>
      <c r="K144" s="90"/>
      <c r="L144" s="90"/>
      <c r="M144" s="90"/>
      <c r="N144" s="81"/>
    </row>
    <row r="145" spans="2:14">
      <c r="B145" s="80"/>
      <c r="C145" s="90"/>
      <c r="D145" s="90" t="s">
        <v>338</v>
      </c>
      <c r="E145" s="90"/>
      <c r="F145" s="90"/>
      <c r="G145" s="90"/>
      <c r="H145" s="139">
        <f>+H99+H113+H127+H141</f>
        <v>1640</v>
      </c>
      <c r="I145" s="90"/>
      <c r="J145" s="97"/>
      <c r="K145" s="90"/>
      <c r="L145" s="90"/>
      <c r="M145" s="90"/>
      <c r="N145" s="81"/>
    </row>
    <row r="146" spans="2:14">
      <c r="B146" s="80"/>
      <c r="C146" s="90"/>
      <c r="D146" s="90" t="s">
        <v>456</v>
      </c>
      <c r="E146" s="90"/>
      <c r="F146" s="90"/>
      <c r="G146" s="93"/>
      <c r="H146" s="177">
        <f>+L146</f>
        <v>0</v>
      </c>
      <c r="I146" s="93"/>
      <c r="J146" s="122" t="s">
        <v>80</v>
      </c>
      <c r="K146" s="122"/>
      <c r="L146" s="122">
        <f>+L98+L112+L126+L140</f>
        <v>0</v>
      </c>
      <c r="M146" s="90"/>
      <c r="N146" s="81"/>
    </row>
    <row r="147" spans="2:14">
      <c r="B147" s="80"/>
      <c r="C147" s="90"/>
      <c r="D147" s="93" t="s">
        <v>344</v>
      </c>
      <c r="E147" s="93"/>
      <c r="F147" s="90"/>
      <c r="G147" s="90"/>
      <c r="H147" s="145">
        <f>SUM(H145:H146)</f>
        <v>1640</v>
      </c>
      <c r="I147" s="90"/>
      <c r="J147" s="90"/>
      <c r="K147" s="121"/>
      <c r="L147" s="90"/>
      <c r="M147" s="90"/>
      <c r="N147" s="81"/>
    </row>
    <row r="148" spans="2:14">
      <c r="B148" s="80"/>
      <c r="C148" s="90"/>
      <c r="D148" s="90"/>
      <c r="E148" s="90"/>
      <c r="F148" s="90"/>
      <c r="G148" s="90"/>
      <c r="H148" s="92"/>
      <c r="I148" s="90"/>
      <c r="J148" s="90"/>
      <c r="K148" s="90"/>
      <c r="L148" s="90"/>
      <c r="M148" s="90"/>
      <c r="N148" s="81"/>
    </row>
    <row r="149" spans="2:14">
      <c r="B149" s="80"/>
      <c r="H149" s="75"/>
      <c r="N149" s="81"/>
    </row>
    <row r="150" spans="2:14">
      <c r="B150" s="80"/>
      <c r="H150" s="75"/>
      <c r="N150" s="81"/>
    </row>
    <row r="151" spans="2:14">
      <c r="B151" s="80"/>
      <c r="C151" s="90"/>
      <c r="D151" s="90"/>
      <c r="E151" s="90"/>
      <c r="F151" s="90"/>
      <c r="G151" s="90"/>
      <c r="H151" s="92"/>
      <c r="I151" s="90"/>
      <c r="J151" s="90"/>
      <c r="K151" s="90"/>
      <c r="L151" s="90"/>
      <c r="M151" s="90"/>
      <c r="N151" s="81"/>
    </row>
    <row r="152" spans="2:14">
      <c r="B152" s="80"/>
      <c r="C152" s="90"/>
      <c r="D152" s="90" t="s">
        <v>293</v>
      </c>
      <c r="E152" s="90"/>
      <c r="F152" s="90"/>
      <c r="G152" s="90"/>
      <c r="H152" s="107">
        <f>H81</f>
        <v>0</v>
      </c>
      <c r="I152" s="90"/>
      <c r="J152" s="90"/>
      <c r="K152" s="90"/>
      <c r="L152" s="90"/>
      <c r="M152" s="90"/>
      <c r="N152" s="81"/>
    </row>
    <row r="153" spans="2:14">
      <c r="B153" s="80"/>
      <c r="C153" s="90"/>
      <c r="D153" s="90"/>
      <c r="E153" s="90"/>
      <c r="F153" s="90"/>
      <c r="G153" s="90"/>
      <c r="H153" s="92"/>
      <c r="I153" s="90"/>
      <c r="J153" s="90"/>
      <c r="K153" s="90"/>
      <c r="L153" s="90"/>
      <c r="M153" s="90"/>
      <c r="N153" s="81"/>
    </row>
    <row r="154" spans="2:14">
      <c r="B154" s="80"/>
      <c r="C154" s="90"/>
      <c r="D154" s="93" t="s">
        <v>294</v>
      </c>
      <c r="E154" s="93"/>
      <c r="F154" s="90"/>
      <c r="G154" s="90"/>
      <c r="H154" s="145">
        <f>+H147+H152</f>
        <v>1640</v>
      </c>
      <c r="I154" s="90"/>
      <c r="J154" s="90"/>
      <c r="K154" s="90"/>
      <c r="L154" s="90"/>
      <c r="M154" s="90"/>
      <c r="N154" s="81"/>
    </row>
    <row r="155" spans="2:14">
      <c r="B155" s="80"/>
      <c r="C155" s="90"/>
      <c r="D155" s="122" t="s">
        <v>562</v>
      </c>
      <c r="E155" s="122"/>
      <c r="F155" s="122"/>
      <c r="G155" s="90"/>
      <c r="H155" s="149">
        <f>H66</f>
        <v>1635</v>
      </c>
      <c r="I155" s="90"/>
      <c r="J155" s="90"/>
      <c r="K155" s="90"/>
      <c r="L155" s="90"/>
      <c r="M155" s="90"/>
      <c r="N155" s="81"/>
    </row>
    <row r="156" spans="2:14">
      <c r="B156" s="80"/>
      <c r="C156" s="90"/>
      <c r="D156" s="122" t="s">
        <v>351</v>
      </c>
      <c r="E156" s="122"/>
      <c r="F156" s="90"/>
      <c r="G156" s="90"/>
      <c r="H156" s="148">
        <f>+H154-H155</f>
        <v>5</v>
      </c>
      <c r="I156" s="90"/>
      <c r="J156" s="90"/>
      <c r="K156" s="90"/>
      <c r="L156" s="90"/>
      <c r="M156" s="90"/>
      <c r="N156" s="81"/>
    </row>
    <row r="157" spans="2:14">
      <c r="B157" s="80"/>
      <c r="C157" s="90"/>
      <c r="D157" s="90"/>
      <c r="E157" s="90"/>
      <c r="F157" s="90"/>
      <c r="G157" s="90"/>
      <c r="H157" s="90"/>
      <c r="I157" s="90"/>
      <c r="J157" s="90"/>
      <c r="K157" s="90"/>
      <c r="L157" s="90"/>
      <c r="M157" s="90"/>
      <c r="N157" s="81"/>
    </row>
    <row r="158" spans="2:14">
      <c r="B158" s="80"/>
      <c r="N158" s="81"/>
    </row>
    <row r="159" spans="2:14" ht="13.5" thickBot="1">
      <c r="B159" s="86"/>
      <c r="C159" s="87"/>
      <c r="D159" s="87"/>
      <c r="E159" s="87"/>
      <c r="F159" s="87"/>
      <c r="G159" s="87"/>
      <c r="H159" s="87"/>
      <c r="I159" s="87"/>
      <c r="J159" s="87"/>
      <c r="K159" s="87"/>
      <c r="L159" s="87"/>
      <c r="M159" s="87"/>
      <c r="N159" s="89"/>
    </row>
  </sheetData>
  <sheetProtection password="DE55" sheet="1" objects="1" scenarios="1"/>
  <phoneticPr fontId="0" type="noConversion"/>
  <dataValidations count="4">
    <dataValidation type="decimal" allowBlank="1" showInputMessage="1" showErrorMessage="1" error="De door u ingevoerde waarde aan PABO uren is meer dan 50% van de betrekkingsomvang. (Bijlage XI, artikel 1, lid 7)" sqref="H76">
      <formula1>0</formula1>
      <formula2>AE50</formula2>
    </dataValidation>
    <dataValidation type="whole" allowBlank="1" showInputMessage="1" showErrorMessage="1" sqref="F14 J14">
      <formula1>1</formula1>
      <formula2>18</formula2>
    </dataValidation>
    <dataValidation type="list" allowBlank="1" showInputMessage="1" showErrorMessage="1" sqref="H21:I21">
      <formula1>$T$49:$T$52</formula1>
    </dataValidation>
    <dataValidation type="list" allowBlank="1" showInputMessage="1" showErrorMessage="1" sqref="F13">
      <formula1>$AE$71:$AE$84</formula1>
    </dataValidation>
  </dataValidations>
  <printOptions gridLines="1"/>
  <pageMargins left="0.75" right="0.75" top="1" bottom="1" header="0.5" footer="0.5"/>
  <pageSetup paperSize="9" scale="59" orientation="portrait" r:id="rId1"/>
  <headerFooter alignWithMargins="0">
    <oddHeader>&amp;L&amp;"Arial,Vet"&amp;F&amp;C&amp;"Arial,Vet"&amp;A&amp;R&amp;"Arial,Vet"&amp;D</oddHeader>
    <oddFooter>&amp;L&amp;"Arial,Vet"VOS/ABB&amp;C&amp;"Arial,Vet"&amp;P&amp;R&amp;"Arial,Vet"Toolbox</oddFooter>
  </headerFooter>
  <rowBreaks count="1" manualBreakCount="1">
    <brk id="86" min="1" max="13" man="1"/>
  </rowBreaks>
  <drawing r:id="rId2"/>
  <legacyDrawing r:id="rId3"/>
</worksheet>
</file>

<file path=xl/worksheets/sheet7.xml><?xml version="1.0" encoding="utf-8"?>
<worksheet xmlns="http://schemas.openxmlformats.org/spreadsheetml/2006/main" xmlns:r="http://schemas.openxmlformats.org/officeDocument/2006/relationships">
  <dimension ref="B1:AY261"/>
  <sheetViews>
    <sheetView zoomScale="85" zoomScaleNormal="85" zoomScaleSheetLayoutView="70" workbookViewId="0">
      <selection activeCell="B2" sqref="B2"/>
    </sheetView>
  </sheetViews>
  <sheetFormatPr defaultRowHeight="12.75"/>
  <cols>
    <col min="1" max="1" width="5.7109375" style="71" customWidth="1"/>
    <col min="2" max="3" width="2.7109375" style="71" customWidth="1"/>
    <col min="4" max="4" width="45.7109375" style="71" customWidth="1"/>
    <col min="5" max="5" width="2.7109375" style="71" customWidth="1"/>
    <col min="6" max="8" width="14.85546875" style="71" customWidth="1"/>
    <col min="9" max="9" width="1.7109375" style="71" customWidth="1"/>
    <col min="10" max="11" width="14.85546875" style="71" customWidth="1"/>
    <col min="12" max="12" width="10.28515625" style="71" customWidth="1"/>
    <col min="13" max="14" width="2.5703125" style="71" customWidth="1"/>
    <col min="15" max="15" width="14" style="71" customWidth="1"/>
    <col min="16" max="16" width="9.42578125" style="71" bestFit="1" customWidth="1"/>
    <col min="17" max="17" width="10.7109375" style="71" hidden="1" customWidth="1"/>
    <col min="18" max="19" width="9.140625" style="71" hidden="1" customWidth="1"/>
    <col min="20" max="20" width="10.7109375" style="71" hidden="1" customWidth="1"/>
    <col min="21" max="21" width="9.140625" style="71" hidden="1" customWidth="1"/>
    <col min="22" max="22" width="8.85546875" style="71" hidden="1" customWidth="1"/>
    <col min="23" max="23" width="9" style="71" hidden="1" customWidth="1"/>
    <col min="24" max="26" width="9.140625" style="71" hidden="1" customWidth="1"/>
    <col min="27" max="16384" width="9.140625" style="71"/>
  </cols>
  <sheetData>
    <row r="1" spans="2:24" ht="13.5" thickBot="1"/>
    <row r="2" spans="2:24">
      <c r="B2" s="76"/>
      <c r="C2" s="77"/>
      <c r="D2" s="77"/>
      <c r="E2" s="77"/>
      <c r="F2" s="77"/>
      <c r="G2" s="77"/>
      <c r="H2" s="77"/>
      <c r="I2" s="77"/>
      <c r="J2" s="77"/>
      <c r="K2" s="77"/>
      <c r="L2" s="77"/>
      <c r="M2" s="77"/>
      <c r="N2" s="79"/>
    </row>
    <row r="3" spans="2:24">
      <c r="B3" s="80"/>
      <c r="N3" s="81"/>
    </row>
    <row r="4" spans="2:24" ht="18">
      <c r="B4" s="80"/>
      <c r="C4" s="69" t="s">
        <v>459</v>
      </c>
      <c r="E4" s="67"/>
      <c r="G4" s="68"/>
      <c r="N4" s="81"/>
    </row>
    <row r="5" spans="2:24">
      <c r="B5" s="80"/>
      <c r="D5" s="67"/>
      <c r="E5" s="67"/>
      <c r="N5" s="81"/>
    </row>
    <row r="6" spans="2:24">
      <c r="B6" s="80"/>
      <c r="D6" s="67"/>
      <c r="E6" s="67"/>
      <c r="N6" s="81"/>
    </row>
    <row r="7" spans="2:24">
      <c r="B7" s="80"/>
      <c r="C7" s="90"/>
      <c r="D7" s="93"/>
      <c r="E7" s="93"/>
      <c r="F7" s="90"/>
      <c r="G7" s="90"/>
      <c r="H7" s="90"/>
      <c r="I7" s="90"/>
      <c r="J7" s="90"/>
      <c r="K7" s="90"/>
      <c r="L7" s="90"/>
      <c r="M7" s="90"/>
      <c r="N7" s="81"/>
    </row>
    <row r="8" spans="2:24">
      <c r="B8" s="80"/>
      <c r="C8" s="90"/>
      <c r="D8" s="93" t="s">
        <v>282</v>
      </c>
      <c r="E8" s="90"/>
      <c r="F8" s="100" t="str">
        <f>+'wtf op en inzet (1)'!F8</f>
        <v>2013-2014</v>
      </c>
      <c r="G8" s="90"/>
      <c r="H8" s="90"/>
      <c r="I8" s="90"/>
      <c r="J8" s="90"/>
      <c r="K8" s="90"/>
      <c r="L8" s="90"/>
      <c r="M8" s="90"/>
      <c r="N8" s="81"/>
    </row>
    <row r="9" spans="2:24">
      <c r="B9" s="80"/>
      <c r="C9" s="90"/>
      <c r="D9" s="93"/>
      <c r="E9" s="93"/>
      <c r="F9" s="90"/>
      <c r="G9" s="90"/>
      <c r="H9" s="90"/>
      <c r="I9" s="90"/>
      <c r="J9" s="90"/>
      <c r="K9" s="90"/>
      <c r="L9" s="90"/>
      <c r="M9" s="90"/>
      <c r="N9" s="81"/>
    </row>
    <row r="10" spans="2:24">
      <c r="B10" s="80"/>
      <c r="C10" s="90"/>
      <c r="D10" s="90" t="s">
        <v>296</v>
      </c>
      <c r="E10" s="90"/>
      <c r="F10" s="123" t="s">
        <v>308</v>
      </c>
      <c r="G10" s="114"/>
      <c r="H10" s="112"/>
      <c r="I10" s="94"/>
      <c r="J10" s="94"/>
      <c r="K10" s="94"/>
      <c r="L10" s="94"/>
      <c r="M10" s="90"/>
      <c r="N10" s="81"/>
      <c r="R10" s="71">
        <f>YEAR(F15-F13)</f>
        <v>1948</v>
      </c>
      <c r="T10" s="71">
        <f>+R10-1900</f>
        <v>48</v>
      </c>
    </row>
    <row r="11" spans="2:24">
      <c r="B11" s="80"/>
      <c r="C11" s="90"/>
      <c r="D11" s="90" t="s">
        <v>297</v>
      </c>
      <c r="E11" s="90"/>
      <c r="F11" s="123" t="s">
        <v>460</v>
      </c>
      <c r="G11" s="114"/>
      <c r="H11" s="112"/>
      <c r="I11" s="94"/>
      <c r="J11" s="94"/>
      <c r="K11" s="94"/>
      <c r="L11" s="94"/>
      <c r="M11" s="90"/>
      <c r="N11" s="81"/>
    </row>
    <row r="12" spans="2:24">
      <c r="B12" s="80"/>
      <c r="C12" s="90"/>
      <c r="D12" s="90" t="s">
        <v>298</v>
      </c>
      <c r="E12" s="90"/>
      <c r="F12" s="123" t="s">
        <v>309</v>
      </c>
      <c r="G12" s="114"/>
      <c r="H12" s="112"/>
      <c r="I12" s="94"/>
      <c r="J12" s="94"/>
      <c r="K12" s="94"/>
      <c r="L12" s="94"/>
      <c r="M12" s="90"/>
      <c r="N12" s="81"/>
      <c r="R12" s="75" t="s">
        <v>396</v>
      </c>
      <c r="S12" s="75"/>
    </row>
    <row r="13" spans="2:24">
      <c r="B13" s="80"/>
      <c r="C13" s="90"/>
      <c r="D13" s="90" t="s">
        <v>322</v>
      </c>
      <c r="E13" s="90"/>
      <c r="F13" s="124">
        <v>23892</v>
      </c>
      <c r="G13" s="114"/>
      <c r="H13" s="112"/>
      <c r="I13" s="94"/>
      <c r="J13" s="90"/>
      <c r="K13" s="170"/>
      <c r="L13" s="90"/>
      <c r="M13" s="90"/>
      <c r="N13" s="81"/>
      <c r="R13" s="75" t="s">
        <v>397</v>
      </c>
      <c r="S13" s="75"/>
      <c r="T13" s="162">
        <v>40390</v>
      </c>
      <c r="U13" s="85"/>
      <c r="V13" s="163">
        <f>YEAR(T13-F13)</f>
        <v>1945</v>
      </c>
      <c r="W13" s="163"/>
      <c r="X13" s="71">
        <f>+V13-1900</f>
        <v>45</v>
      </c>
    </row>
    <row r="14" spans="2:24">
      <c r="B14" s="80"/>
      <c r="C14" s="90"/>
      <c r="D14" s="94" t="s">
        <v>315</v>
      </c>
      <c r="E14" s="94"/>
      <c r="F14" s="126">
        <f>+T10</f>
        <v>48</v>
      </c>
      <c r="G14" s="128"/>
      <c r="H14" s="125"/>
      <c r="I14" s="94"/>
      <c r="J14" s="94"/>
      <c r="K14" s="90"/>
      <c r="L14" s="94"/>
      <c r="M14" s="90"/>
      <c r="N14" s="81"/>
      <c r="R14" s="75" t="s">
        <v>398</v>
      </c>
      <c r="S14" s="75"/>
      <c r="T14" s="115">
        <f>+F15</f>
        <v>41487</v>
      </c>
      <c r="U14" s="71">
        <f>YEAR(T14)</f>
        <v>2013</v>
      </c>
      <c r="V14" s="71">
        <f>YEAR(T14-F13)</f>
        <v>1948</v>
      </c>
      <c r="X14" s="71">
        <f>+V14-1900</f>
        <v>48</v>
      </c>
    </row>
    <row r="15" spans="2:24">
      <c r="B15" s="80"/>
      <c r="C15" s="90"/>
      <c r="D15" s="122" t="s">
        <v>323</v>
      </c>
      <c r="E15" s="122"/>
      <c r="F15" s="169">
        <f>+'wtf op en inzet (1)'!F15</f>
        <v>41487</v>
      </c>
      <c r="G15" s="90"/>
      <c r="H15" s="90"/>
      <c r="I15" s="90"/>
      <c r="J15" s="90"/>
      <c r="K15" s="94"/>
      <c r="L15" s="90"/>
      <c r="M15" s="90"/>
      <c r="N15" s="81"/>
      <c r="R15" s="75">
        <v>1</v>
      </c>
      <c r="S15" s="75"/>
      <c r="T15" s="115">
        <f>DATE(YEAR($T14)+1,MONTH($T14),DAY($T14))</f>
        <v>41852</v>
      </c>
      <c r="U15" s="71">
        <f>YEAR(T15)</f>
        <v>2014</v>
      </c>
      <c r="V15" s="71">
        <f>YEAR(T15-F13)</f>
        <v>1949</v>
      </c>
      <c r="X15" s="71">
        <f>+V15-1900</f>
        <v>49</v>
      </c>
    </row>
    <row r="16" spans="2:24">
      <c r="B16" s="80"/>
      <c r="C16" s="90"/>
      <c r="D16" s="90"/>
      <c r="E16" s="90"/>
      <c r="F16" s="90"/>
      <c r="G16" s="90"/>
      <c r="H16" s="90"/>
      <c r="I16" s="90"/>
      <c r="J16" s="90"/>
      <c r="K16" s="90"/>
      <c r="L16" s="90"/>
      <c r="M16" s="90"/>
      <c r="N16" s="81"/>
      <c r="R16" s="75">
        <v>2</v>
      </c>
      <c r="S16" s="75"/>
    </row>
    <row r="17" spans="2:19">
      <c r="B17" s="80"/>
      <c r="N17" s="81"/>
      <c r="R17" s="75">
        <v>3</v>
      </c>
      <c r="S17" s="75"/>
    </row>
    <row r="18" spans="2:19">
      <c r="B18" s="80"/>
      <c r="C18" s="90"/>
      <c r="D18" s="90"/>
      <c r="E18" s="90"/>
      <c r="F18" s="90"/>
      <c r="G18" s="90"/>
      <c r="H18" s="90"/>
      <c r="I18" s="90"/>
      <c r="J18" s="90"/>
      <c r="K18" s="90"/>
      <c r="L18" s="90"/>
      <c r="M18" s="90"/>
      <c r="N18" s="81"/>
      <c r="R18" s="75">
        <v>4</v>
      </c>
      <c r="S18" s="75"/>
    </row>
    <row r="19" spans="2:19">
      <c r="B19" s="80"/>
      <c r="C19" s="90"/>
      <c r="D19" s="93" t="s">
        <v>463</v>
      </c>
      <c r="E19" s="93"/>
      <c r="F19" s="90"/>
      <c r="G19" s="90"/>
      <c r="H19" s="90"/>
      <c r="I19" s="90"/>
      <c r="J19" s="90"/>
      <c r="K19" s="90"/>
      <c r="L19" s="90"/>
      <c r="M19" s="90"/>
      <c r="N19" s="81"/>
      <c r="R19" s="75">
        <v>5</v>
      </c>
      <c r="S19" s="75"/>
    </row>
    <row r="20" spans="2:19">
      <c r="B20" s="80"/>
      <c r="C20" s="90"/>
      <c r="D20" s="93"/>
      <c r="E20" s="93"/>
      <c r="F20" s="90"/>
      <c r="G20" s="90"/>
      <c r="H20" s="90"/>
      <c r="I20" s="90"/>
      <c r="J20" s="90"/>
      <c r="K20" s="90"/>
      <c r="L20" s="90"/>
      <c r="M20" s="90"/>
      <c r="N20" s="81"/>
      <c r="R20" s="75">
        <v>6</v>
      </c>
      <c r="S20" s="75"/>
    </row>
    <row r="21" spans="2:19">
      <c r="B21" s="80"/>
      <c r="C21" s="90"/>
      <c r="D21" s="93" t="s">
        <v>536</v>
      </c>
      <c r="E21" s="93"/>
      <c r="F21" s="131" t="s">
        <v>398</v>
      </c>
      <c r="G21" s="104"/>
      <c r="H21" s="90"/>
      <c r="I21" s="90"/>
      <c r="J21" s="90"/>
      <c r="K21" s="90"/>
      <c r="L21" s="90"/>
      <c r="M21" s="90"/>
      <c r="N21" s="81"/>
      <c r="R21" s="75">
        <v>7</v>
      </c>
      <c r="S21" s="75"/>
    </row>
    <row r="22" spans="2:19">
      <c r="B22" s="80"/>
      <c r="C22" s="90"/>
      <c r="D22" s="93" t="s">
        <v>370</v>
      </c>
      <c r="E22" s="93"/>
      <c r="F22" s="107">
        <f>IF($F$21="1&amp;2",rooster!G13,IF($F$21="3&amp;4",rooster!G28,IF($F$21="5&amp;8",rooster!G43,rooster!G148)))</f>
        <v>39.200000000000003</v>
      </c>
      <c r="G22" s="90"/>
      <c r="H22" s="90"/>
      <c r="I22" s="90"/>
      <c r="J22" s="90"/>
      <c r="K22" s="90"/>
      <c r="L22" s="90"/>
      <c r="M22" s="90"/>
      <c r="N22" s="81"/>
      <c r="R22" s="75">
        <v>8</v>
      </c>
      <c r="S22" s="75"/>
    </row>
    <row r="23" spans="2:19">
      <c r="B23" s="80"/>
      <c r="C23" s="90"/>
      <c r="D23" s="93"/>
      <c r="E23" s="93"/>
      <c r="F23" s="93"/>
      <c r="G23" s="90"/>
      <c r="H23" s="90"/>
      <c r="I23" s="90"/>
      <c r="J23" s="90"/>
      <c r="K23" s="90"/>
      <c r="L23" s="90"/>
      <c r="M23" s="90"/>
      <c r="N23" s="81"/>
    </row>
    <row r="24" spans="2:19">
      <c r="B24" s="80"/>
      <c r="C24" s="90"/>
      <c r="D24" s="122" t="s">
        <v>364</v>
      </c>
      <c r="E24" s="90"/>
      <c r="F24" s="103" t="s">
        <v>365</v>
      </c>
      <c r="G24" s="103" t="s">
        <v>366</v>
      </c>
      <c r="H24" s="103" t="s">
        <v>321</v>
      </c>
      <c r="I24" s="103"/>
      <c r="J24" s="90"/>
      <c r="K24" s="90"/>
      <c r="L24" s="90"/>
      <c r="M24" s="90"/>
      <c r="N24" s="81"/>
    </row>
    <row r="25" spans="2:19">
      <c r="B25" s="80"/>
      <c r="C25" s="90"/>
      <c r="D25" s="90"/>
      <c r="E25" s="90"/>
      <c r="F25" s="90"/>
      <c r="G25" s="90"/>
      <c r="H25" s="90"/>
      <c r="I25" s="90"/>
      <c r="J25" s="90"/>
      <c r="K25" s="90"/>
      <c r="L25" s="90"/>
      <c r="M25" s="90"/>
      <c r="N25" s="81"/>
    </row>
    <row r="26" spans="2:19">
      <c r="B26" s="80"/>
      <c r="C26" s="90"/>
      <c r="D26" s="90" t="s">
        <v>285</v>
      </c>
      <c r="E26" s="90"/>
      <c r="F26" s="101">
        <f>IF($F$21="1&amp;2",rooster!G18,IF($F$21="3&amp;4",rooster!G33,IF($F$21="5&amp;8",rooster!G48,rooster!G153)))</f>
        <v>3.5</v>
      </c>
      <c r="G26" s="101">
        <f>IF($F$21="1&amp;2",rooster!H18,IF($F$21="3&amp;4",rooster!H33,IF($F$21="5&amp;8",rooster!H48,rooster!H153)))</f>
        <v>2</v>
      </c>
      <c r="H26" s="153">
        <f>SUM(F26:G26)</f>
        <v>5.5</v>
      </c>
      <c r="I26" s="99"/>
      <c r="J26" s="90"/>
      <c r="K26" s="90"/>
      <c r="L26" s="90"/>
      <c r="M26" s="90"/>
      <c r="N26" s="81"/>
    </row>
    <row r="27" spans="2:19">
      <c r="B27" s="80"/>
      <c r="C27" s="90"/>
      <c r="D27" s="90" t="s">
        <v>286</v>
      </c>
      <c r="E27" s="90"/>
      <c r="F27" s="101">
        <f>IF($F$21="1&amp;2",rooster!G19,IF($F$21="3&amp;4",rooster!G34,IF($F$21="5&amp;8",rooster!G49,rooster!G154)))</f>
        <v>3.5</v>
      </c>
      <c r="G27" s="101">
        <f>IF($F$21="1&amp;2",rooster!H19,IF($F$21="3&amp;4",rooster!H34,IF($F$21="5&amp;8",rooster!H49,rooster!H154)))</f>
        <v>2</v>
      </c>
      <c r="H27" s="153">
        <f>SUM(F27:G27)</f>
        <v>5.5</v>
      </c>
      <c r="I27" s="99"/>
      <c r="J27" s="90"/>
      <c r="K27" s="90"/>
      <c r="L27" s="90"/>
      <c r="M27" s="90"/>
      <c r="N27" s="81"/>
    </row>
    <row r="28" spans="2:19">
      <c r="B28" s="80"/>
      <c r="C28" s="90"/>
      <c r="D28" s="90" t="s">
        <v>287</v>
      </c>
      <c r="E28" s="90"/>
      <c r="F28" s="101">
        <f>IF($F$21="1&amp;2",rooster!G20,IF($F$21="3&amp;4",rooster!G35,IF($F$21="5&amp;8",rooster!G50,rooster!G155)))</f>
        <v>3.75</v>
      </c>
      <c r="G28" s="101">
        <f>IF($F$21="1&amp;2",rooster!H20,IF($F$21="3&amp;4",rooster!H35,IF($F$21="5&amp;8",rooster!H50,rooster!H155)))</f>
        <v>0</v>
      </c>
      <c r="H28" s="153">
        <f>SUM(F28:G28)</f>
        <v>3.75</v>
      </c>
      <c r="I28" s="99"/>
      <c r="J28" s="90"/>
      <c r="K28" s="90"/>
      <c r="L28" s="90"/>
      <c r="M28" s="90"/>
      <c r="N28" s="81"/>
    </row>
    <row r="29" spans="2:19">
      <c r="B29" s="80"/>
      <c r="C29" s="90"/>
      <c r="D29" s="90" t="s">
        <v>288</v>
      </c>
      <c r="E29" s="90"/>
      <c r="F29" s="101">
        <f>IF($F$21="1&amp;2",rooster!G21,IF($F$21="3&amp;4",rooster!G36,IF($F$21="5&amp;8",rooster!G51,rooster!G156)))</f>
        <v>3.5</v>
      </c>
      <c r="G29" s="101">
        <f>IF($F$21="1&amp;2",rooster!H21,IF($F$21="3&amp;4",rooster!H36,IF($F$21="5&amp;8",rooster!H51,rooster!H156)))</f>
        <v>2</v>
      </c>
      <c r="H29" s="153">
        <f>SUM(F29:G29)</f>
        <v>5.5</v>
      </c>
      <c r="I29" s="99"/>
      <c r="J29" s="90"/>
      <c r="K29" s="90"/>
      <c r="L29" s="90"/>
      <c r="M29" s="90"/>
      <c r="N29" s="81"/>
    </row>
    <row r="30" spans="2:19">
      <c r="B30" s="80"/>
      <c r="C30" s="90"/>
      <c r="D30" s="90" t="s">
        <v>289</v>
      </c>
      <c r="E30" s="90"/>
      <c r="F30" s="101">
        <f>IF($F$21="1&amp;2",rooster!G22,IF($F$21="3&amp;4",rooster!G37,IF($F$21="5&amp;8",rooster!G52,rooster!G157)))</f>
        <v>3.5</v>
      </c>
      <c r="G30" s="101">
        <f>IF($F$21="1&amp;2",rooster!H22,IF($F$21="3&amp;4",rooster!H37,IF($F$21="5&amp;8",rooster!H52,rooster!H157)))</f>
        <v>2</v>
      </c>
      <c r="H30" s="153">
        <f>SUM(F30:G30)</f>
        <v>5.5</v>
      </c>
      <c r="I30" s="99"/>
      <c r="J30" s="90"/>
      <c r="K30" s="90"/>
      <c r="L30" s="90"/>
      <c r="M30" s="90"/>
      <c r="N30" s="81"/>
    </row>
    <row r="31" spans="2:19">
      <c r="B31" s="80"/>
      <c r="C31" s="90"/>
      <c r="D31" s="137" t="s">
        <v>295</v>
      </c>
      <c r="E31" s="90"/>
      <c r="F31" s="92"/>
      <c r="G31" s="92"/>
      <c r="H31" s="171">
        <f>SUM(H26:H30)</f>
        <v>25.75</v>
      </c>
      <c r="I31" s="99"/>
      <c r="J31" s="90"/>
      <c r="K31" s="90"/>
      <c r="L31" s="90"/>
      <c r="M31" s="90"/>
      <c r="N31" s="81"/>
    </row>
    <row r="32" spans="2:19">
      <c r="B32" s="80"/>
      <c r="C32" s="90"/>
      <c r="D32" s="137" t="s">
        <v>367</v>
      </c>
      <c r="E32" s="90"/>
      <c r="F32" s="92"/>
      <c r="G32" s="92"/>
      <c r="H32" s="107">
        <f>ROUND(H31*F22,0)</f>
        <v>1009</v>
      </c>
      <c r="I32" s="92"/>
      <c r="J32" s="90"/>
      <c r="K32" s="90"/>
      <c r="L32" s="90"/>
      <c r="M32" s="90"/>
      <c r="N32" s="81"/>
    </row>
    <row r="33" spans="2:24">
      <c r="B33" s="80"/>
      <c r="C33" s="90"/>
      <c r="D33" s="90"/>
      <c r="E33" s="90"/>
      <c r="F33" s="90"/>
      <c r="G33" s="90"/>
      <c r="H33" s="90"/>
      <c r="I33" s="90"/>
      <c r="J33" s="90"/>
      <c r="K33" s="90"/>
      <c r="L33" s="90"/>
      <c r="M33" s="90"/>
      <c r="N33" s="81"/>
    </row>
    <row r="34" spans="2:24">
      <c r="B34" s="80"/>
      <c r="N34" s="81"/>
    </row>
    <row r="35" spans="2:24">
      <c r="B35" s="80"/>
      <c r="C35" s="90"/>
      <c r="D35" s="90"/>
      <c r="E35" s="90"/>
      <c r="F35" s="90"/>
      <c r="G35" s="90"/>
      <c r="H35" s="90"/>
      <c r="I35" s="90"/>
      <c r="J35" s="90"/>
      <c r="K35" s="90"/>
      <c r="L35" s="90"/>
      <c r="M35" s="90"/>
      <c r="N35" s="81"/>
    </row>
    <row r="36" spans="2:24">
      <c r="B36" s="80"/>
      <c r="C36" s="90"/>
      <c r="D36" s="93" t="s">
        <v>566</v>
      </c>
      <c r="E36" s="93"/>
      <c r="F36" s="90"/>
      <c r="G36" s="90"/>
      <c r="H36" s="90"/>
      <c r="I36" s="90"/>
      <c r="J36" s="90"/>
      <c r="K36" s="90"/>
      <c r="L36" s="90"/>
      <c r="M36" s="90"/>
      <c r="N36" s="81"/>
    </row>
    <row r="37" spans="2:24">
      <c r="B37" s="80"/>
      <c r="C37" s="90"/>
      <c r="D37" s="93"/>
      <c r="E37" s="93"/>
      <c r="F37" s="90"/>
      <c r="G37" s="90"/>
      <c r="H37" s="90"/>
      <c r="I37" s="90"/>
      <c r="J37" s="90"/>
      <c r="K37" s="90"/>
      <c r="L37" s="90"/>
      <c r="M37" s="90"/>
      <c r="N37" s="81"/>
    </row>
    <row r="38" spans="2:24">
      <c r="B38" s="80"/>
      <c r="C38" s="90"/>
      <c r="D38" s="122" t="s">
        <v>364</v>
      </c>
      <c r="E38" s="90"/>
      <c r="F38" s="132" t="s">
        <v>365</v>
      </c>
      <c r="G38" s="132" t="s">
        <v>366</v>
      </c>
      <c r="H38" s="132" t="s">
        <v>321</v>
      </c>
      <c r="I38" s="132"/>
      <c r="J38" s="90"/>
      <c r="K38" s="90"/>
      <c r="L38" s="90"/>
      <c r="M38" s="90"/>
      <c r="N38" s="81"/>
      <c r="R38" s="71" t="s">
        <v>444</v>
      </c>
    </row>
    <row r="39" spans="2:24">
      <c r="B39" s="80"/>
      <c r="C39" s="90"/>
      <c r="D39" s="90"/>
      <c r="E39" s="90"/>
      <c r="F39" s="90"/>
      <c r="G39" s="90"/>
      <c r="H39" s="90"/>
      <c r="I39" s="90"/>
      <c r="J39" s="90"/>
      <c r="K39" s="90"/>
      <c r="L39" s="90"/>
      <c r="M39" s="90"/>
      <c r="N39" s="81"/>
      <c r="R39" s="71" t="s">
        <v>445</v>
      </c>
    </row>
    <row r="40" spans="2:24">
      <c r="B40" s="80"/>
      <c r="C40" s="90"/>
      <c r="D40" s="90" t="s">
        <v>285</v>
      </c>
      <c r="E40" s="90"/>
      <c r="F40" s="84">
        <v>0</v>
      </c>
      <c r="G40" s="84">
        <v>0</v>
      </c>
      <c r="H40" s="101">
        <f>SUM(F40:G40)</f>
        <v>0</v>
      </c>
      <c r="I40" s="92"/>
      <c r="J40" s="90"/>
      <c r="K40" s="90"/>
      <c r="L40" s="90"/>
      <c r="M40" s="90"/>
      <c r="N40" s="81"/>
    </row>
    <row r="41" spans="2:24">
      <c r="B41" s="80"/>
      <c r="C41" s="90"/>
      <c r="D41" s="90" t="s">
        <v>286</v>
      </c>
      <c r="E41" s="90"/>
      <c r="F41" s="84">
        <v>3.5</v>
      </c>
      <c r="G41" s="84">
        <v>2</v>
      </c>
      <c r="H41" s="101">
        <f>SUM(F41:G41)</f>
        <v>5.5</v>
      </c>
      <c r="I41" s="92"/>
      <c r="J41" s="90"/>
      <c r="K41" s="90"/>
      <c r="L41" s="90"/>
      <c r="M41" s="90"/>
      <c r="N41" s="81"/>
    </row>
    <row r="42" spans="2:24">
      <c r="B42" s="80"/>
      <c r="C42" s="90"/>
      <c r="D42" s="90" t="s">
        <v>287</v>
      </c>
      <c r="E42" s="90"/>
      <c r="F42" s="84">
        <v>0</v>
      </c>
      <c r="G42" s="84">
        <v>0</v>
      </c>
      <c r="H42" s="101">
        <f>SUM(F42:G42)</f>
        <v>0</v>
      </c>
      <c r="I42" s="92"/>
      <c r="J42" s="90"/>
      <c r="K42" s="90"/>
      <c r="L42" s="90"/>
      <c r="M42" s="90"/>
      <c r="N42" s="81"/>
    </row>
    <row r="43" spans="2:24">
      <c r="B43" s="80"/>
      <c r="C43" s="90"/>
      <c r="D43" s="90" t="s">
        <v>288</v>
      </c>
      <c r="E43" s="90"/>
      <c r="F43" s="84">
        <v>3.5</v>
      </c>
      <c r="G43" s="84">
        <v>0</v>
      </c>
      <c r="H43" s="101">
        <f>SUM(F43:G43)</f>
        <v>3.5</v>
      </c>
      <c r="I43" s="92"/>
      <c r="J43" s="90"/>
      <c r="K43" s="90"/>
      <c r="L43" s="90"/>
      <c r="M43" s="90"/>
      <c r="N43" s="81"/>
    </row>
    <row r="44" spans="2:24">
      <c r="B44" s="80"/>
      <c r="C44" s="90"/>
      <c r="D44" s="90" t="s">
        <v>289</v>
      </c>
      <c r="E44" s="90"/>
      <c r="F44" s="84">
        <v>0</v>
      </c>
      <c r="G44" s="84">
        <v>0</v>
      </c>
      <c r="H44" s="101">
        <f>SUM(F44:G44)</f>
        <v>0</v>
      </c>
      <c r="I44" s="92"/>
      <c r="J44" s="90"/>
      <c r="K44" s="90"/>
      <c r="L44" s="90"/>
      <c r="M44" s="90"/>
      <c r="N44" s="81"/>
    </row>
    <row r="45" spans="2:24">
      <c r="B45" s="80"/>
      <c r="C45" s="90"/>
      <c r="D45" s="90" t="s">
        <v>295</v>
      </c>
      <c r="E45" s="90"/>
      <c r="F45" s="172"/>
      <c r="G45" s="172"/>
      <c r="H45" s="171">
        <f>SUM(H40:H44)</f>
        <v>9</v>
      </c>
      <c r="I45" s="99"/>
      <c r="J45" s="90"/>
      <c r="K45" s="90"/>
      <c r="L45" s="90"/>
      <c r="M45" s="90"/>
      <c r="N45" s="81"/>
    </row>
    <row r="46" spans="2:24">
      <c r="B46" s="80"/>
      <c r="C46" s="90"/>
      <c r="D46" s="90" t="s">
        <v>367</v>
      </c>
      <c r="E46" s="90"/>
      <c r="F46" s="92"/>
      <c r="G46" s="92"/>
      <c r="H46" s="107">
        <f>ROUND(+H45*F22,0)</f>
        <v>353</v>
      </c>
      <c r="I46" s="92"/>
      <c r="J46" s="90"/>
      <c r="K46" s="90"/>
      <c r="L46" s="90"/>
      <c r="M46" s="90"/>
      <c r="N46" s="81"/>
      <c r="R46" s="67" t="s">
        <v>357</v>
      </c>
      <c r="S46" s="67"/>
      <c r="U46" s="85" t="s">
        <v>559</v>
      </c>
      <c r="V46" s="71" t="s">
        <v>560</v>
      </c>
      <c r="X46" s="71" t="s">
        <v>20</v>
      </c>
    </row>
    <row r="47" spans="2:24">
      <c r="B47" s="80"/>
      <c r="C47" s="90"/>
      <c r="D47" s="90" t="s">
        <v>74</v>
      </c>
      <c r="E47" s="90"/>
      <c r="F47" s="92"/>
      <c r="G47" s="92"/>
      <c r="H47" s="131">
        <v>0</v>
      </c>
      <c r="I47" s="92"/>
      <c r="J47" s="90"/>
      <c r="K47" s="90"/>
      <c r="L47" s="90"/>
      <c r="M47" s="90"/>
      <c r="N47" s="81"/>
      <c r="R47" s="71" t="s">
        <v>355</v>
      </c>
      <c r="T47" s="71">
        <v>1659</v>
      </c>
      <c r="U47" s="71">
        <f>+T47</f>
        <v>1659</v>
      </c>
      <c r="V47" s="167">
        <f>+T47-H100</f>
        <v>1659</v>
      </c>
      <c r="X47" s="71">
        <f>+H91*0.5</f>
        <v>829.5</v>
      </c>
    </row>
    <row r="48" spans="2:24">
      <c r="B48" s="80"/>
      <c r="C48" s="90"/>
      <c r="D48" s="90" t="s">
        <v>373</v>
      </c>
      <c r="E48" s="90"/>
      <c r="F48" s="92"/>
      <c r="G48" s="92"/>
      <c r="H48" s="107">
        <f>+H46-H47</f>
        <v>353</v>
      </c>
      <c r="I48" s="92"/>
      <c r="J48" s="90"/>
      <c r="K48" s="90"/>
      <c r="L48" s="90"/>
      <c r="M48" s="90"/>
      <c r="N48" s="81"/>
      <c r="R48" s="71" t="s">
        <v>356</v>
      </c>
      <c r="T48" s="71">
        <v>930</v>
      </c>
      <c r="U48" s="71">
        <f>+T48</f>
        <v>930</v>
      </c>
    </row>
    <row r="49" spans="2:22">
      <c r="B49" s="80"/>
      <c r="C49" s="90"/>
      <c r="D49" s="90"/>
      <c r="E49" s="90"/>
      <c r="F49" s="90"/>
      <c r="G49" s="90"/>
      <c r="H49" s="90"/>
      <c r="I49" s="90"/>
      <c r="J49" s="90"/>
      <c r="K49" s="90"/>
      <c r="L49" s="90"/>
      <c r="M49" s="90"/>
      <c r="N49" s="81"/>
      <c r="R49" s="160" t="s">
        <v>284</v>
      </c>
      <c r="S49" s="85"/>
      <c r="T49" s="71">
        <v>166</v>
      </c>
      <c r="U49" s="71">
        <f>+T49</f>
        <v>166</v>
      </c>
      <c r="V49" s="71">
        <f>ROUND(V47*10%,0)</f>
        <v>166</v>
      </c>
    </row>
    <row r="50" spans="2:22">
      <c r="B50" s="80"/>
      <c r="N50" s="81"/>
      <c r="R50" s="85" t="s">
        <v>360</v>
      </c>
      <c r="S50" s="85"/>
      <c r="T50" s="71">
        <f>+T49-T51</f>
        <v>83</v>
      </c>
      <c r="U50" s="71">
        <f>+U49-U51</f>
        <v>83</v>
      </c>
      <c r="V50" s="71">
        <f>+V49-V51</f>
        <v>83</v>
      </c>
    </row>
    <row r="51" spans="2:22">
      <c r="B51" s="80"/>
      <c r="C51" s="90"/>
      <c r="D51" s="90"/>
      <c r="E51" s="90"/>
      <c r="F51" s="90"/>
      <c r="G51" s="90"/>
      <c r="H51" s="90"/>
      <c r="I51" s="90"/>
      <c r="J51" s="90"/>
      <c r="K51" s="90"/>
      <c r="L51" s="90"/>
      <c r="M51" s="90"/>
      <c r="N51" s="81"/>
      <c r="R51" s="85" t="s">
        <v>361</v>
      </c>
      <c r="S51" s="161">
        <v>0.5</v>
      </c>
      <c r="T51" s="71">
        <f>ROUND(+T49*$S51,0)</f>
        <v>83</v>
      </c>
      <c r="U51" s="71">
        <f>ROUND(+U49*$S51,0)</f>
        <v>83</v>
      </c>
      <c r="V51" s="71">
        <f>ROUND(+V49*$S51,0)</f>
        <v>83</v>
      </c>
    </row>
    <row r="52" spans="2:22">
      <c r="B52" s="80"/>
      <c r="C52" s="90"/>
      <c r="D52" s="93" t="s">
        <v>83</v>
      </c>
      <c r="E52" s="93"/>
      <c r="F52" s="90"/>
      <c r="G52" s="90"/>
      <c r="H52" s="90"/>
      <c r="I52" s="90"/>
      <c r="J52" s="90"/>
      <c r="K52" s="90"/>
      <c r="L52" s="90"/>
      <c r="M52" s="90"/>
      <c r="N52" s="81"/>
      <c r="R52" s="160" t="s">
        <v>362</v>
      </c>
      <c r="T52" s="71">
        <f>+T47-T48-T49</f>
        <v>563</v>
      </c>
      <c r="U52" s="71">
        <f>+U47-U48-U49</f>
        <v>563</v>
      </c>
      <c r="V52" s="71">
        <f>+V47-V48-V49</f>
        <v>1493</v>
      </c>
    </row>
    <row r="53" spans="2:22">
      <c r="B53" s="80"/>
      <c r="C53" s="90"/>
      <c r="D53" s="93"/>
      <c r="E53" s="93"/>
      <c r="F53" s="90"/>
      <c r="G53" s="90"/>
      <c r="H53" s="90"/>
      <c r="I53" s="90"/>
      <c r="J53" s="90"/>
      <c r="K53" s="90"/>
      <c r="L53" s="90"/>
      <c r="M53" s="90"/>
      <c r="N53" s="81"/>
    </row>
    <row r="54" spans="2:22">
      <c r="B54" s="80"/>
      <c r="C54" s="90"/>
      <c r="D54" s="93"/>
      <c r="E54" s="93"/>
      <c r="F54" s="90"/>
      <c r="G54" s="90"/>
      <c r="H54" s="90"/>
      <c r="I54" s="90"/>
      <c r="J54" s="90"/>
      <c r="K54" s="90"/>
      <c r="L54" s="90"/>
      <c r="M54" s="90"/>
      <c r="N54" s="81"/>
    </row>
    <row r="55" spans="2:22">
      <c r="B55" s="80"/>
      <c r="C55" s="90"/>
      <c r="D55" s="93" t="s">
        <v>399</v>
      </c>
      <c r="E55" s="93"/>
      <c r="F55" s="90"/>
      <c r="G55" s="90"/>
      <c r="H55" s="101">
        <v>1659</v>
      </c>
      <c r="I55" s="92"/>
      <c r="J55" s="143" t="s">
        <v>400</v>
      </c>
      <c r="K55" s="90"/>
      <c r="L55" s="90"/>
      <c r="M55" s="90"/>
      <c r="N55" s="81"/>
    </row>
    <row r="56" spans="2:22">
      <c r="B56" s="80"/>
      <c r="C56" s="90"/>
      <c r="D56" s="90"/>
      <c r="E56" s="90"/>
      <c r="F56" s="90"/>
      <c r="G56" s="90"/>
      <c r="H56" s="92"/>
      <c r="I56" s="92"/>
      <c r="J56" s="90"/>
      <c r="K56" s="90"/>
      <c r="L56" s="90"/>
      <c r="M56" s="90"/>
      <c r="N56" s="81"/>
      <c r="R56" s="178"/>
    </row>
    <row r="57" spans="2:22">
      <c r="B57" s="80"/>
      <c r="C57" s="90"/>
      <c r="D57" s="93" t="s">
        <v>402</v>
      </c>
      <c r="E57" s="90"/>
      <c r="F57" s="90"/>
      <c r="G57" s="90"/>
      <c r="H57" s="92"/>
      <c r="I57" s="92"/>
      <c r="J57" s="90"/>
      <c r="K57" s="90"/>
      <c r="L57" s="90"/>
      <c r="M57" s="90"/>
      <c r="N57" s="81"/>
      <c r="R57" s="178"/>
      <c r="T57" s="178"/>
    </row>
    <row r="58" spans="2:22">
      <c r="B58" s="80"/>
      <c r="C58" s="90"/>
      <c r="D58" s="90" t="s">
        <v>285</v>
      </c>
      <c r="E58" s="90"/>
      <c r="F58" s="90"/>
      <c r="G58" s="90"/>
      <c r="H58" s="83">
        <v>8</v>
      </c>
      <c r="I58" s="92"/>
      <c r="J58" s="90"/>
      <c r="K58" s="90"/>
      <c r="L58" s="90"/>
      <c r="M58" s="90"/>
      <c r="N58" s="81"/>
      <c r="R58" s="178"/>
      <c r="T58" s="178"/>
    </row>
    <row r="59" spans="2:22">
      <c r="B59" s="80"/>
      <c r="C59" s="90"/>
      <c r="D59" s="90" t="s">
        <v>286</v>
      </c>
      <c r="E59" s="90"/>
      <c r="F59" s="90"/>
      <c r="G59" s="90"/>
      <c r="H59" s="83">
        <v>0</v>
      </c>
      <c r="I59" s="92"/>
      <c r="J59" s="90"/>
      <c r="K59" s="90"/>
      <c r="L59" s="90"/>
      <c r="M59" s="90"/>
      <c r="N59" s="81"/>
      <c r="T59" s="178"/>
    </row>
    <row r="60" spans="2:22">
      <c r="B60" s="80"/>
      <c r="C60" s="90"/>
      <c r="D60" s="90" t="s">
        <v>287</v>
      </c>
      <c r="E60" s="90"/>
      <c r="F60" s="90"/>
      <c r="G60" s="90"/>
      <c r="H60" s="83">
        <v>8</v>
      </c>
      <c r="I60" s="92"/>
      <c r="J60" s="90"/>
      <c r="K60" s="90"/>
      <c r="L60" s="90"/>
      <c r="M60" s="90"/>
      <c r="N60" s="81"/>
      <c r="T60" s="178"/>
    </row>
    <row r="61" spans="2:22">
      <c r="B61" s="80"/>
      <c r="C61" s="90"/>
      <c r="D61" s="90" t="s">
        <v>288</v>
      </c>
      <c r="E61" s="90"/>
      <c r="F61" s="90"/>
      <c r="G61" s="90"/>
      <c r="H61" s="83">
        <v>4</v>
      </c>
      <c r="I61" s="92"/>
      <c r="J61" s="90"/>
      <c r="K61" s="90"/>
      <c r="L61" s="90"/>
      <c r="M61" s="90"/>
      <c r="N61" s="81"/>
      <c r="S61" s="115"/>
      <c r="T61" s="178"/>
      <c r="U61" s="165"/>
    </row>
    <row r="62" spans="2:22">
      <c r="B62" s="80"/>
      <c r="C62" s="90"/>
      <c r="D62" s="90" t="s">
        <v>289</v>
      </c>
      <c r="E62" s="90"/>
      <c r="F62" s="90"/>
      <c r="G62" s="90"/>
      <c r="H62" s="83">
        <v>5.75</v>
      </c>
      <c r="I62" s="92"/>
      <c r="J62" s="90"/>
      <c r="K62" s="90"/>
      <c r="L62" s="90"/>
      <c r="M62" s="90"/>
      <c r="N62" s="81"/>
      <c r="S62" s="115"/>
      <c r="T62" s="178"/>
      <c r="U62" s="165"/>
    </row>
    <row r="63" spans="2:22">
      <c r="B63" s="80"/>
      <c r="C63" s="90"/>
      <c r="D63" s="90" t="s">
        <v>321</v>
      </c>
      <c r="E63" s="90"/>
      <c r="F63" s="90"/>
      <c r="G63" s="90"/>
      <c r="H63" s="107">
        <f>SUM(H58:H62)</f>
        <v>25.75</v>
      </c>
      <c r="I63" s="92"/>
      <c r="J63" s="90"/>
      <c r="K63" s="90"/>
      <c r="L63" s="90"/>
      <c r="M63" s="90"/>
      <c r="N63" s="81"/>
      <c r="S63" s="115"/>
      <c r="T63" s="178"/>
      <c r="U63" s="165"/>
    </row>
    <row r="64" spans="2:22">
      <c r="B64" s="80"/>
      <c r="C64" s="90"/>
      <c r="D64" s="90"/>
      <c r="E64" s="90"/>
      <c r="F64" s="90"/>
      <c r="G64" s="90"/>
      <c r="H64" s="92"/>
      <c r="I64" s="92"/>
      <c r="J64" s="90"/>
      <c r="K64" s="90"/>
      <c r="L64" s="90"/>
      <c r="M64" s="90"/>
      <c r="N64" s="81"/>
      <c r="S64" s="115"/>
      <c r="T64" s="178"/>
      <c r="U64" s="165"/>
    </row>
    <row r="65" spans="2:27">
      <c r="B65" s="80"/>
      <c r="C65" s="90"/>
      <c r="D65" s="90"/>
      <c r="E65" s="90"/>
      <c r="F65" s="90"/>
      <c r="G65" s="90"/>
      <c r="H65" s="92"/>
      <c r="I65" s="92"/>
      <c r="J65" s="90"/>
      <c r="K65" s="90"/>
      <c r="L65" s="90"/>
      <c r="M65" s="90"/>
      <c r="N65" s="81"/>
      <c r="T65" s="178"/>
      <c r="U65" s="165"/>
    </row>
    <row r="66" spans="2:27">
      <c r="B66" s="80"/>
      <c r="C66" s="90"/>
      <c r="D66" s="93" t="s">
        <v>461</v>
      </c>
      <c r="E66" s="93"/>
      <c r="F66" s="90"/>
      <c r="G66" s="90"/>
      <c r="H66" s="83">
        <v>40</v>
      </c>
      <c r="I66" s="92"/>
      <c r="J66" s="90"/>
      <c r="K66" s="90"/>
      <c r="L66" s="90"/>
      <c r="M66" s="90"/>
      <c r="N66" s="81"/>
      <c r="T66" s="178"/>
      <c r="U66" s="165"/>
    </row>
    <row r="67" spans="2:27">
      <c r="B67" s="80"/>
      <c r="C67" s="90"/>
      <c r="D67" s="90"/>
      <c r="E67" s="90"/>
      <c r="F67" s="90"/>
      <c r="G67" s="90"/>
      <c r="H67" s="92"/>
      <c r="I67" s="92"/>
      <c r="J67" s="90"/>
      <c r="K67" s="90"/>
      <c r="L67" s="90"/>
      <c r="M67" s="90"/>
      <c r="N67" s="81"/>
      <c r="T67" s="178"/>
      <c r="U67" s="165"/>
      <c r="X67" s="178"/>
      <c r="Y67" s="165"/>
    </row>
    <row r="68" spans="2:27">
      <c r="B68" s="80"/>
      <c r="C68" s="90"/>
      <c r="D68" s="90" t="s">
        <v>465</v>
      </c>
      <c r="E68" s="93"/>
      <c r="F68" s="122">
        <f>+H63*H66</f>
        <v>1030</v>
      </c>
      <c r="G68" s="122" t="s">
        <v>90</v>
      </c>
      <c r="H68" s="153">
        <f>ROUND(+H63*H66/H55,4)</f>
        <v>0.62090000000000001</v>
      </c>
      <c r="I68" s="99"/>
      <c r="J68" s="90"/>
      <c r="K68" s="90"/>
      <c r="L68" s="90"/>
      <c r="M68" s="90"/>
      <c r="N68" s="81"/>
      <c r="T68" s="178"/>
      <c r="U68" s="165"/>
      <c r="X68" s="85"/>
      <c r="Y68" s="165"/>
    </row>
    <row r="69" spans="2:27">
      <c r="B69" s="80"/>
      <c r="C69" s="90"/>
      <c r="D69" s="90" t="s">
        <v>464</v>
      </c>
      <c r="E69" s="93"/>
      <c r="F69" s="90"/>
      <c r="G69" s="90"/>
      <c r="H69" s="153">
        <f>ROUND(+H48/930,4)</f>
        <v>0.37959999999999999</v>
      </c>
      <c r="I69" s="99"/>
      <c r="J69" s="90"/>
      <c r="K69" s="90"/>
      <c r="L69" s="90"/>
      <c r="M69" s="90"/>
      <c r="N69" s="81"/>
      <c r="T69" s="115"/>
      <c r="W69" s="85"/>
      <c r="X69" s="165"/>
    </row>
    <row r="70" spans="2:27">
      <c r="B70" s="80"/>
      <c r="C70" s="90"/>
      <c r="D70" s="90" t="s">
        <v>466</v>
      </c>
      <c r="E70" s="93"/>
      <c r="F70" s="90"/>
      <c r="G70" s="90"/>
      <c r="H70" s="171">
        <f>+H68+H69</f>
        <v>1.0004999999999999</v>
      </c>
      <c r="I70" s="99"/>
      <c r="J70" s="90"/>
      <c r="K70" s="90"/>
      <c r="L70" s="90"/>
      <c r="M70" s="90"/>
      <c r="N70" s="81"/>
      <c r="T70" s="115"/>
      <c r="W70" s="85"/>
      <c r="X70" s="165"/>
    </row>
    <row r="71" spans="2:27">
      <c r="B71" s="80"/>
      <c r="C71" s="90"/>
      <c r="D71" s="90"/>
      <c r="E71" s="90"/>
      <c r="F71" s="90"/>
      <c r="G71" s="90"/>
      <c r="H71" s="92"/>
      <c r="I71" s="92"/>
      <c r="J71" s="90"/>
      <c r="K71" s="90"/>
      <c r="L71" s="90"/>
      <c r="M71" s="90"/>
      <c r="N71" s="81"/>
      <c r="T71" s="115"/>
      <c r="W71" s="85"/>
      <c r="X71" s="165"/>
    </row>
    <row r="72" spans="2:27">
      <c r="B72" s="80"/>
      <c r="C72" s="90"/>
      <c r="D72" s="93" t="s">
        <v>462</v>
      </c>
      <c r="E72" s="93"/>
      <c r="F72" s="90"/>
      <c r="G72" s="90"/>
      <c r="H72" s="173">
        <v>1</v>
      </c>
      <c r="I72" s="180"/>
      <c r="J72" s="90"/>
      <c r="K72" s="90"/>
      <c r="L72" s="90"/>
      <c r="M72" s="90"/>
      <c r="N72" s="140"/>
      <c r="U72" s="71">
        <v>52</v>
      </c>
      <c r="V72" s="71">
        <v>56</v>
      </c>
      <c r="AA72" s="115"/>
    </row>
    <row r="73" spans="2:27">
      <c r="B73" s="80"/>
      <c r="C73" s="90"/>
      <c r="D73" s="90"/>
      <c r="E73" s="90"/>
      <c r="F73" s="90"/>
      <c r="G73" s="90"/>
      <c r="H73" s="90"/>
      <c r="I73" s="90"/>
      <c r="J73" s="90"/>
      <c r="K73" s="90"/>
      <c r="L73" s="90"/>
      <c r="M73" s="90"/>
      <c r="N73" s="140"/>
      <c r="T73" s="85" t="s">
        <v>375</v>
      </c>
      <c r="U73" s="164">
        <f>DATE(YEAR($F13)+52,MONTH($F13),DAY($F13))</f>
        <v>42885</v>
      </c>
      <c r="V73" s="164">
        <f>DATE(YEAR($F13)+56,MONTH($F13),DAY($F13))</f>
        <v>44346</v>
      </c>
      <c r="W73" s="71">
        <f>MONTH(U73)</f>
        <v>5</v>
      </c>
      <c r="X73" s="71">
        <f>MONTH(V73)</f>
        <v>5</v>
      </c>
    </row>
    <row r="74" spans="2:27">
      <c r="B74" s="80"/>
      <c r="N74" s="140"/>
      <c r="T74" s="85" t="s">
        <v>380</v>
      </c>
      <c r="U74" s="71">
        <f>MONTH(+W73)+1</f>
        <v>2</v>
      </c>
      <c r="V74" s="71">
        <f>+X73+1</f>
        <v>6</v>
      </c>
      <c r="W74" s="71">
        <f>YEAR(U73)</f>
        <v>2017</v>
      </c>
      <c r="X74" s="71">
        <f>YEAR(V73)</f>
        <v>2021</v>
      </c>
      <c r="Z74" s="115"/>
    </row>
    <row r="75" spans="2:27">
      <c r="B75" s="80"/>
      <c r="N75" s="140"/>
      <c r="T75" s="85" t="s">
        <v>451</v>
      </c>
      <c r="U75" s="85">
        <f>IF(W75=12,12,IF((8-U74)&lt;0,(12-U74+8),(8-U74)))</f>
        <v>6</v>
      </c>
      <c r="V75" s="85">
        <f>IF(X75=12,12,IF((8-V74)&lt;0,(12-V74+8),(8-V74)))</f>
        <v>2</v>
      </c>
      <c r="W75" s="71">
        <f>IF($T14&gt;U73,12,IF((AND($T14&lt;=U73,U73&lt;=$T15)),U74,0))</f>
        <v>0</v>
      </c>
      <c r="X75" s="71">
        <f>IF($T14&gt;V73,12,IF((AND($T14&lt;=V73,V73&lt;=$T15)),V74,0))</f>
        <v>0</v>
      </c>
    </row>
    <row r="76" spans="2:27" ht="18">
      <c r="B76" s="73"/>
      <c r="C76" s="69" t="s">
        <v>467</v>
      </c>
      <c r="D76" s="68"/>
      <c r="E76" s="69"/>
      <c r="F76" s="68"/>
      <c r="G76" s="68"/>
      <c r="H76" s="68"/>
      <c r="I76" s="68"/>
      <c r="J76" s="68"/>
      <c r="K76" s="68"/>
      <c r="L76" s="68"/>
      <c r="M76" s="68"/>
      <c r="N76" s="74"/>
    </row>
    <row r="77" spans="2:27">
      <c r="B77" s="80"/>
      <c r="D77" s="67"/>
      <c r="E77" s="67"/>
      <c r="N77" s="140"/>
    </row>
    <row r="78" spans="2:27">
      <c r="B78" s="80"/>
      <c r="C78" s="90"/>
      <c r="D78" s="90"/>
      <c r="E78" s="90"/>
      <c r="F78" s="90"/>
      <c r="G78" s="90"/>
      <c r="H78" s="90"/>
      <c r="I78" s="90"/>
      <c r="J78" s="90"/>
      <c r="K78" s="90"/>
      <c r="L78" s="90"/>
      <c r="M78" s="90"/>
      <c r="N78" s="140"/>
      <c r="T78" s="71">
        <v>0</v>
      </c>
      <c r="U78" s="71">
        <v>0</v>
      </c>
    </row>
    <row r="79" spans="2:27">
      <c r="B79" s="80"/>
      <c r="C79" s="90"/>
      <c r="D79" s="93" t="s">
        <v>81</v>
      </c>
      <c r="E79" s="90"/>
      <c r="F79" s="90"/>
      <c r="G79" s="90"/>
      <c r="H79" s="90"/>
      <c r="I79" s="90"/>
      <c r="J79" s="90"/>
      <c r="K79" s="90"/>
      <c r="L79" s="90"/>
      <c r="M79" s="90"/>
      <c r="N79" s="140"/>
      <c r="T79" s="71">
        <v>52</v>
      </c>
      <c r="U79" s="71">
        <v>170</v>
      </c>
    </row>
    <row r="80" spans="2:27">
      <c r="B80" s="80"/>
      <c r="C80" s="90"/>
      <c r="D80" s="90"/>
      <c r="E80" s="90"/>
      <c r="F80" s="90"/>
      <c r="G80" s="90"/>
      <c r="H80" s="90"/>
      <c r="I80" s="90"/>
      <c r="J80" s="90"/>
      <c r="K80" s="90"/>
      <c r="L80" s="90"/>
      <c r="M80" s="90"/>
      <c r="N80" s="140"/>
      <c r="T80" s="71">
        <v>56</v>
      </c>
      <c r="U80" s="71">
        <v>340</v>
      </c>
    </row>
    <row r="81" spans="2:51" s="68" customFormat="1" ht="12.75" customHeight="1">
      <c r="B81" s="80"/>
      <c r="C81" s="90"/>
      <c r="D81" s="90" t="s">
        <v>472</v>
      </c>
      <c r="E81" s="90"/>
      <c r="F81" s="90"/>
      <c r="G81" s="90"/>
      <c r="H81" s="139">
        <f>+H251</f>
        <v>477</v>
      </c>
      <c r="I81" s="90"/>
      <c r="J81" s="90"/>
      <c r="K81" s="90"/>
      <c r="L81" s="90"/>
      <c r="M81" s="90"/>
      <c r="N81" s="140"/>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row>
    <row r="82" spans="2:51">
      <c r="B82" s="80"/>
      <c r="C82" s="90"/>
      <c r="D82" s="90" t="s">
        <v>457</v>
      </c>
      <c r="E82" s="90"/>
      <c r="F82" s="90"/>
      <c r="G82" s="90"/>
      <c r="H82" s="139">
        <f>+H231</f>
        <v>1020</v>
      </c>
      <c r="I82" s="90"/>
      <c r="J82" s="90"/>
      <c r="K82" s="90"/>
      <c r="L82" s="90"/>
      <c r="M82" s="90"/>
      <c r="N82" s="140"/>
    </row>
    <row r="83" spans="2:51">
      <c r="B83" s="80"/>
      <c r="C83" s="90"/>
      <c r="D83" s="90" t="s">
        <v>458</v>
      </c>
      <c r="E83" s="90"/>
      <c r="F83" s="90"/>
      <c r="G83" s="90"/>
      <c r="H83" s="139">
        <f>+H253</f>
        <v>0</v>
      </c>
      <c r="I83" s="90"/>
      <c r="J83" s="90"/>
      <c r="K83" s="90"/>
      <c r="L83" s="90"/>
      <c r="M83" s="90"/>
      <c r="N83" s="140"/>
    </row>
    <row r="84" spans="2:51">
      <c r="B84" s="80"/>
      <c r="C84" s="90"/>
      <c r="D84" s="90" t="s">
        <v>319</v>
      </c>
      <c r="E84" s="90"/>
      <c r="F84" s="90"/>
      <c r="G84" s="90"/>
      <c r="H84" s="101">
        <f>+H254</f>
        <v>166</v>
      </c>
      <c r="I84" s="90"/>
      <c r="J84" s="90"/>
      <c r="K84" s="90"/>
      <c r="L84" s="90"/>
      <c r="M84" s="90"/>
      <c r="N84" s="140"/>
    </row>
    <row r="85" spans="2:51">
      <c r="B85" s="80"/>
      <c r="C85" s="90"/>
      <c r="D85" s="90" t="s">
        <v>321</v>
      </c>
      <c r="E85" s="90"/>
      <c r="F85" s="90"/>
      <c r="G85" s="90"/>
      <c r="H85" s="139">
        <f>SUM(H81:H84)</f>
        <v>1663</v>
      </c>
      <c r="I85" s="90"/>
      <c r="J85" s="90"/>
      <c r="K85" s="90"/>
      <c r="L85" s="90"/>
      <c r="M85" s="90"/>
      <c r="N85" s="140"/>
    </row>
    <row r="86" spans="2:51">
      <c r="B86" s="80"/>
      <c r="C86" s="90"/>
      <c r="D86" s="159" t="s">
        <v>374</v>
      </c>
      <c r="E86" s="90"/>
      <c r="F86" s="90"/>
      <c r="G86" s="90"/>
      <c r="H86" s="139">
        <f>-H258</f>
        <v>-4</v>
      </c>
      <c r="I86" s="90"/>
      <c r="J86" s="90"/>
      <c r="K86" s="90"/>
      <c r="L86" s="90"/>
      <c r="M86" s="90"/>
      <c r="N86" s="140"/>
    </row>
    <row r="87" spans="2:51">
      <c r="B87" s="80"/>
      <c r="C87" s="90"/>
      <c r="D87" s="90"/>
      <c r="E87" s="90"/>
      <c r="F87" s="90"/>
      <c r="G87" s="90"/>
      <c r="H87" s="90"/>
      <c r="I87" s="90"/>
      <c r="J87" s="90"/>
      <c r="K87" s="90"/>
      <c r="L87" s="90"/>
      <c r="M87" s="90"/>
      <c r="N87" s="140"/>
    </row>
    <row r="88" spans="2:51">
      <c r="B88" s="80"/>
      <c r="N88" s="140"/>
    </row>
    <row r="89" spans="2:51">
      <c r="B89" s="80"/>
      <c r="C89" s="90"/>
      <c r="D89" s="90"/>
      <c r="E89" s="90"/>
      <c r="F89" s="90"/>
      <c r="G89" s="90"/>
      <c r="H89" s="90"/>
      <c r="I89" s="90"/>
      <c r="J89" s="90"/>
      <c r="K89" s="90"/>
      <c r="L89" s="90"/>
      <c r="M89" s="90"/>
      <c r="N89" s="140"/>
    </row>
    <row r="90" spans="2:51">
      <c r="B90" s="80"/>
      <c r="C90" s="90"/>
      <c r="D90" s="93" t="s">
        <v>283</v>
      </c>
      <c r="E90" s="93"/>
      <c r="F90" s="137"/>
      <c r="G90" s="90"/>
      <c r="H90" s="171">
        <f>+H72</f>
        <v>1</v>
      </c>
      <c r="I90" s="137"/>
      <c r="J90" s="134"/>
      <c r="K90" s="90"/>
      <c r="L90" s="90"/>
      <c r="M90" s="90"/>
      <c r="N90" s="81"/>
    </row>
    <row r="91" spans="2:51">
      <c r="B91" s="80"/>
      <c r="C91" s="90"/>
      <c r="D91" s="90" t="s">
        <v>382</v>
      </c>
      <c r="E91" s="90"/>
      <c r="F91" s="137"/>
      <c r="G91" s="90"/>
      <c r="H91" s="101">
        <f>ROUND(+H55*H90,0)</f>
        <v>1659</v>
      </c>
      <c r="I91" s="210" t="s">
        <v>302</v>
      </c>
      <c r="J91" s="90"/>
      <c r="K91" s="90"/>
      <c r="L91" s="90"/>
      <c r="M91" s="90"/>
      <c r="N91" s="81"/>
    </row>
    <row r="92" spans="2:51">
      <c r="B92" s="80"/>
      <c r="C92" s="90"/>
      <c r="D92" s="90"/>
      <c r="E92" s="90"/>
      <c r="F92" s="137"/>
      <c r="G92" s="90"/>
      <c r="H92" s="92"/>
      <c r="I92" s="210"/>
      <c r="J92" s="90"/>
      <c r="K92" s="90"/>
      <c r="L92" s="90"/>
      <c r="M92" s="90"/>
      <c r="N92" s="81"/>
    </row>
    <row r="93" spans="2:51">
      <c r="B93" s="80"/>
      <c r="C93" s="90"/>
      <c r="D93" s="137" t="s">
        <v>378</v>
      </c>
      <c r="E93" s="97"/>
      <c r="F93" s="137"/>
      <c r="G93" s="90"/>
      <c r="H93" s="259">
        <f>DATE(YEAR($F13)+52,MONTH($F13),DAY($F13))</f>
        <v>42885</v>
      </c>
      <c r="I93" s="210"/>
      <c r="J93" s="90"/>
      <c r="K93" s="90"/>
      <c r="L93" s="90"/>
      <c r="M93" s="90"/>
      <c r="N93" s="81"/>
    </row>
    <row r="94" spans="2:51">
      <c r="B94" s="80"/>
      <c r="C94" s="90"/>
      <c r="D94" s="137" t="s">
        <v>377</v>
      </c>
      <c r="E94" s="97"/>
      <c r="F94" s="137" t="str">
        <f>IF((AND($T14&lt;=H93,H93&lt;=$T15)),"ja",IF(H93&gt;T15,"later","eerder"))</f>
        <v>later</v>
      </c>
      <c r="G94" s="90"/>
      <c r="H94" s="101">
        <f>IF(F94="ja",+U75,IF(H93&lt;T15,12,0))</f>
        <v>0</v>
      </c>
      <c r="I94" s="210" t="s">
        <v>376</v>
      </c>
      <c r="J94" s="90"/>
      <c r="K94" s="90"/>
      <c r="L94" s="90"/>
      <c r="M94" s="90"/>
      <c r="N94" s="81"/>
    </row>
    <row r="95" spans="2:51">
      <c r="B95" s="80"/>
      <c r="C95" s="90"/>
      <c r="D95" s="137" t="s">
        <v>450</v>
      </c>
      <c r="E95" s="97"/>
      <c r="F95" s="137"/>
      <c r="G95" s="90"/>
      <c r="H95" s="259">
        <f>DATE(YEAR($F13)+56,MONTH($F13),DAY($F13))</f>
        <v>44346</v>
      </c>
      <c r="I95" s="210"/>
      <c r="J95" s="90"/>
      <c r="K95" s="90"/>
      <c r="L95" s="90"/>
      <c r="M95" s="90"/>
      <c r="N95" s="81"/>
      <c r="O95" s="67"/>
    </row>
    <row r="96" spans="2:51">
      <c r="B96" s="80"/>
      <c r="C96" s="90"/>
      <c r="D96" s="137" t="s">
        <v>379</v>
      </c>
      <c r="E96" s="97"/>
      <c r="F96" s="137" t="str">
        <f>IF((AND($T14&lt;=H95,H95&lt;=$T15)),"ja",IF(H95&gt;T15,"later","eerder"))</f>
        <v>later</v>
      </c>
      <c r="G96" s="90"/>
      <c r="H96" s="101">
        <f>IF(F96="ja",+V75,IF(H95&lt;T15,12,0))</f>
        <v>0</v>
      </c>
      <c r="I96" s="210" t="s">
        <v>376</v>
      </c>
      <c r="J96" s="90"/>
      <c r="K96" s="90"/>
      <c r="L96" s="90"/>
      <c r="M96" s="90"/>
      <c r="N96" s="81"/>
      <c r="O96" s="67"/>
    </row>
    <row r="97" spans="2:15">
      <c r="B97" s="80"/>
      <c r="C97" s="90"/>
      <c r="D97" s="97"/>
      <c r="E97" s="97"/>
      <c r="F97" s="92"/>
      <c r="G97" s="90"/>
      <c r="H97" s="90"/>
      <c r="I97" s="210"/>
      <c r="J97" s="90"/>
      <c r="K97" s="90"/>
      <c r="L97" s="90"/>
      <c r="M97" s="90"/>
      <c r="N97" s="81"/>
      <c r="O97" s="67"/>
    </row>
    <row r="98" spans="2:15">
      <c r="B98" s="80"/>
      <c r="C98" s="90"/>
      <c r="D98" s="100"/>
      <c r="E98" s="90"/>
      <c r="F98" s="90"/>
      <c r="G98" s="90"/>
      <c r="H98" s="103" t="s">
        <v>302</v>
      </c>
      <c r="I98" s="122"/>
      <c r="J98" s="122"/>
      <c r="K98" s="216" t="s">
        <v>19</v>
      </c>
      <c r="L98" s="90"/>
      <c r="M98" s="90"/>
      <c r="N98" s="81"/>
      <c r="O98" s="67"/>
    </row>
    <row r="99" spans="2:15">
      <c r="B99" s="80"/>
      <c r="C99" s="90"/>
      <c r="D99" s="100"/>
      <c r="E99" s="90"/>
      <c r="F99" s="90"/>
      <c r="G99" s="90"/>
      <c r="H99" s="92"/>
      <c r="I99" s="210"/>
      <c r="J99" s="90"/>
      <c r="K99" s="90"/>
      <c r="L99" s="90"/>
      <c r="M99" s="90"/>
      <c r="N99" s="81"/>
      <c r="O99" s="67"/>
    </row>
    <row r="100" spans="2:15">
      <c r="B100" s="80"/>
      <c r="C100" s="90"/>
      <c r="D100" s="100" t="s">
        <v>454</v>
      </c>
      <c r="E100" s="90"/>
      <c r="F100" s="90"/>
      <c r="G100" s="90"/>
      <c r="H100" s="156">
        <v>0</v>
      </c>
      <c r="I100" s="210"/>
      <c r="J100" s="136"/>
      <c r="K100" s="289">
        <f>ROUND(+H100/H91,4)</f>
        <v>0</v>
      </c>
      <c r="L100" s="90"/>
      <c r="M100" s="90"/>
      <c r="N100" s="81"/>
      <c r="O100" s="67"/>
    </row>
    <row r="101" spans="2:15">
      <c r="B101" s="80"/>
      <c r="C101" s="90"/>
      <c r="D101" s="137" t="s">
        <v>452</v>
      </c>
      <c r="E101" s="90"/>
      <c r="F101" s="90"/>
      <c r="G101" s="90"/>
      <c r="H101" s="177">
        <f>ROUND(ROUND(170*IF(H90&gt;1,1,H90)*((H94+H96)/12),1)/0.5,0)*0.5</f>
        <v>0</v>
      </c>
      <c r="I101" s="210"/>
      <c r="J101" s="90"/>
      <c r="K101" s="90"/>
      <c r="L101" s="90"/>
      <c r="M101" s="90"/>
      <c r="N101" s="81"/>
      <c r="O101" s="67"/>
    </row>
    <row r="102" spans="2:15">
      <c r="B102" s="80"/>
      <c r="C102" s="90"/>
      <c r="D102" s="137" t="s">
        <v>371</v>
      </c>
      <c r="E102" s="90"/>
      <c r="F102" s="90"/>
      <c r="G102" s="90"/>
      <c r="H102" s="83">
        <v>0</v>
      </c>
      <c r="I102" s="210"/>
      <c r="J102" s="136"/>
      <c r="K102" s="90"/>
      <c r="L102" s="90"/>
      <c r="M102" s="90"/>
      <c r="N102" s="81"/>
      <c r="O102" s="67"/>
    </row>
    <row r="103" spans="2:15">
      <c r="B103" s="80"/>
      <c r="C103" s="90"/>
      <c r="D103" s="246" t="s">
        <v>70</v>
      </c>
      <c r="E103" s="239"/>
      <c r="F103" s="239"/>
      <c r="G103" s="239"/>
      <c r="H103" s="248">
        <f>IF(X13&gt;=52,+H101+H102-H100,IF(X14&gt;55,0,+H101+H102-H100))</f>
        <v>0</v>
      </c>
      <c r="I103" s="257"/>
      <c r="J103" s="176" t="str">
        <f>IF(H103&lt;0,"Er mag niet meer BAPO worden opgenomen als beschikbaar is","")</f>
        <v/>
      </c>
      <c r="K103" s="239"/>
      <c r="L103" s="239"/>
      <c r="M103" s="239"/>
      <c r="N103" s="81"/>
      <c r="O103" s="67"/>
    </row>
    <row r="104" spans="2:15">
      <c r="B104" s="80"/>
      <c r="C104" s="90"/>
      <c r="D104" s="90"/>
      <c r="E104" s="90"/>
      <c r="F104" s="92"/>
      <c r="G104" s="90"/>
      <c r="H104" s="95"/>
      <c r="I104" s="214"/>
      <c r="J104" s="176"/>
      <c r="K104" s="90"/>
      <c r="L104" s="90"/>
      <c r="M104" s="90"/>
      <c r="N104" s="81"/>
      <c r="O104" s="67"/>
    </row>
    <row r="105" spans="2:15">
      <c r="B105" s="80"/>
      <c r="C105" s="90"/>
      <c r="D105" s="100" t="s">
        <v>319</v>
      </c>
      <c r="E105" s="90"/>
      <c r="F105" s="92"/>
      <c r="G105" s="90"/>
      <c r="H105" s="101">
        <f>ROUND(V49*H90,0)</f>
        <v>166</v>
      </c>
      <c r="I105" s="210"/>
      <c r="J105" s="90"/>
      <c r="K105" s="90"/>
      <c r="L105" s="90"/>
      <c r="M105" s="90"/>
      <c r="N105" s="81"/>
      <c r="O105" s="67"/>
    </row>
    <row r="106" spans="2:15">
      <c r="B106" s="80"/>
      <c r="C106" s="90"/>
      <c r="D106" s="137" t="s">
        <v>587</v>
      </c>
      <c r="E106" s="97"/>
      <c r="F106" s="92"/>
      <c r="G106" s="90"/>
      <c r="H106" s="101">
        <f>+H105-H107</f>
        <v>83</v>
      </c>
      <c r="I106" s="210"/>
      <c r="J106" s="90"/>
      <c r="K106" s="90"/>
      <c r="L106" s="90"/>
      <c r="M106" s="90"/>
      <c r="N106" s="81"/>
      <c r="O106" s="67"/>
    </row>
    <row r="107" spans="2:15">
      <c r="B107" s="80"/>
      <c r="C107" s="90"/>
      <c r="D107" s="137" t="s">
        <v>588</v>
      </c>
      <c r="E107" s="97"/>
      <c r="F107" s="144">
        <v>0.5</v>
      </c>
      <c r="G107" s="90"/>
      <c r="H107" s="101">
        <f>ROUND(+H105*F107,0)</f>
        <v>83</v>
      </c>
      <c r="I107" s="210"/>
      <c r="J107" s="90"/>
      <c r="K107" s="90"/>
      <c r="L107" s="90"/>
      <c r="M107" s="90"/>
      <c r="N107" s="81"/>
      <c r="O107" s="67"/>
    </row>
    <row r="108" spans="2:15">
      <c r="B108" s="80"/>
      <c r="C108" s="90"/>
      <c r="D108" s="97"/>
      <c r="E108" s="97"/>
      <c r="F108" s="92"/>
      <c r="G108" s="90"/>
      <c r="H108" s="215"/>
      <c r="I108" s="218"/>
      <c r="J108" s="90"/>
      <c r="K108" s="137"/>
      <c r="L108" s="137"/>
      <c r="M108" s="90"/>
      <c r="N108" s="221"/>
      <c r="O108" s="67"/>
    </row>
    <row r="109" spans="2:15">
      <c r="B109" s="80"/>
      <c r="C109" s="90"/>
      <c r="D109" s="97"/>
      <c r="E109" s="97"/>
      <c r="F109" s="92"/>
      <c r="G109" s="90"/>
      <c r="H109" s="90"/>
      <c r="I109" s="90"/>
      <c r="J109" s="90"/>
      <c r="K109" s="137"/>
      <c r="L109" s="137"/>
      <c r="M109" s="90"/>
      <c r="N109" s="221"/>
      <c r="O109" s="67"/>
    </row>
    <row r="110" spans="2:15">
      <c r="B110" s="80"/>
      <c r="D110" s="85"/>
      <c r="E110" s="85"/>
      <c r="F110" s="75"/>
      <c r="K110" s="160"/>
      <c r="L110" s="160"/>
      <c r="N110" s="221"/>
    </row>
    <row r="111" spans="2:15">
      <c r="B111" s="80"/>
      <c r="D111" s="85"/>
      <c r="E111" s="85"/>
      <c r="F111" s="75"/>
      <c r="K111" s="160"/>
      <c r="L111" s="160"/>
      <c r="N111" s="221"/>
    </row>
    <row r="112" spans="2:15">
      <c r="B112" s="80"/>
      <c r="C112" s="90"/>
      <c r="D112" s="97"/>
      <c r="E112" s="97"/>
      <c r="F112" s="92"/>
      <c r="G112" s="90"/>
      <c r="H112" s="90"/>
      <c r="I112" s="90"/>
      <c r="J112" s="90"/>
      <c r="K112" s="137"/>
      <c r="L112" s="137"/>
      <c r="M112" s="90"/>
      <c r="N112" s="221"/>
    </row>
    <row r="113" spans="2:14" ht="15">
      <c r="B113" s="80"/>
      <c r="C113" s="90"/>
      <c r="D113" s="91" t="s">
        <v>473</v>
      </c>
      <c r="E113" s="93"/>
      <c r="F113" s="90"/>
      <c r="G113" s="90"/>
      <c r="H113" s="90"/>
      <c r="I113" s="90"/>
      <c r="J113" s="90"/>
      <c r="K113" s="90"/>
      <c r="L113" s="90"/>
      <c r="M113" s="90"/>
      <c r="N113" s="81"/>
    </row>
    <row r="114" spans="2:14">
      <c r="B114" s="80"/>
      <c r="C114" s="90"/>
      <c r="D114" s="93"/>
      <c r="E114" s="93"/>
      <c r="F114" s="90"/>
      <c r="G114" s="90"/>
      <c r="H114" s="90"/>
      <c r="I114" s="90"/>
      <c r="J114" s="90"/>
      <c r="K114" s="90"/>
      <c r="L114" s="90"/>
      <c r="M114" s="90"/>
      <c r="N114" s="81"/>
    </row>
    <row r="115" spans="2:14">
      <c r="B115" s="80"/>
      <c r="C115" s="90"/>
      <c r="D115" s="93"/>
      <c r="E115" s="93"/>
      <c r="F115" s="90"/>
      <c r="G115" s="90"/>
      <c r="H115" s="90"/>
      <c r="I115" s="90"/>
      <c r="J115" s="90"/>
      <c r="K115" s="90"/>
      <c r="L115" s="90"/>
      <c r="M115" s="90"/>
      <c r="N115" s="81"/>
    </row>
    <row r="116" spans="2:14">
      <c r="B116" s="80"/>
      <c r="C116" s="93"/>
      <c r="D116" s="93" t="s">
        <v>391</v>
      </c>
      <c r="E116" s="90"/>
      <c r="F116" s="83">
        <v>39.200000000000003</v>
      </c>
      <c r="G116" s="90"/>
      <c r="H116" s="90"/>
      <c r="I116" s="90"/>
      <c r="J116" s="90"/>
      <c r="K116" s="90"/>
      <c r="L116" s="90"/>
      <c r="M116" s="90"/>
      <c r="N116" s="81"/>
    </row>
    <row r="117" spans="2:14">
      <c r="B117" s="80"/>
      <c r="C117" s="93"/>
      <c r="D117" s="90"/>
      <c r="E117" s="90"/>
      <c r="F117" s="90"/>
      <c r="G117" s="90"/>
      <c r="H117" s="90"/>
      <c r="I117" s="90"/>
      <c r="J117" s="90"/>
      <c r="K117" s="90"/>
      <c r="L117" s="90"/>
      <c r="M117" s="90"/>
      <c r="N117" s="81"/>
    </row>
    <row r="118" spans="2:14">
      <c r="B118" s="80"/>
      <c r="C118" s="90"/>
      <c r="D118" s="90"/>
      <c r="E118" s="90"/>
      <c r="F118" s="103" t="s">
        <v>290</v>
      </c>
      <c r="G118" s="103" t="s">
        <v>291</v>
      </c>
      <c r="H118" s="103" t="s">
        <v>533</v>
      </c>
      <c r="I118" s="132"/>
      <c r="J118" s="103" t="s">
        <v>531</v>
      </c>
      <c r="K118" s="132"/>
      <c r="L118" s="132"/>
      <c r="M118" s="90"/>
      <c r="N118" s="81"/>
    </row>
    <row r="119" spans="2:14">
      <c r="B119" s="80"/>
      <c r="C119" s="90"/>
      <c r="D119" s="90"/>
      <c r="E119" s="90"/>
      <c r="F119" s="90"/>
      <c r="G119" s="90"/>
      <c r="H119" s="90"/>
      <c r="I119" s="90"/>
      <c r="J119" s="90"/>
      <c r="K119" s="90"/>
      <c r="L119" s="90"/>
      <c r="M119" s="90"/>
      <c r="N119" s="81"/>
    </row>
    <row r="120" spans="2:14">
      <c r="B120" s="80"/>
      <c r="C120" s="90"/>
      <c r="D120" s="90" t="s">
        <v>285</v>
      </c>
      <c r="E120" s="90"/>
      <c r="F120" s="84">
        <v>0</v>
      </c>
      <c r="G120" s="84">
        <v>0</v>
      </c>
      <c r="H120" s="101">
        <f>SUM(F120:G120)</f>
        <v>0</v>
      </c>
      <c r="I120" s="92"/>
      <c r="J120" s="123"/>
      <c r="K120" s="123"/>
      <c r="L120" s="137"/>
      <c r="M120" s="90"/>
      <c r="N120" s="81"/>
    </row>
    <row r="121" spans="2:14">
      <c r="B121" s="80"/>
      <c r="C121" s="90"/>
      <c r="D121" s="90" t="s">
        <v>286</v>
      </c>
      <c r="E121" s="90"/>
      <c r="F121" s="84">
        <v>3.5</v>
      </c>
      <c r="G121" s="84">
        <v>2</v>
      </c>
      <c r="H121" s="101">
        <f>SUM(F121:G121)</f>
        <v>5.5</v>
      </c>
      <c r="I121" s="92"/>
      <c r="J121" s="123"/>
      <c r="K121" s="123"/>
      <c r="L121" s="137"/>
      <c r="M121" s="90"/>
      <c r="N121" s="81"/>
    </row>
    <row r="122" spans="2:14">
      <c r="B122" s="80"/>
      <c r="C122" s="90"/>
      <c r="D122" s="90" t="s">
        <v>287</v>
      </c>
      <c r="E122" s="90"/>
      <c r="F122" s="84">
        <v>0</v>
      </c>
      <c r="G122" s="84">
        <v>0</v>
      </c>
      <c r="H122" s="101">
        <f>SUM(F122:G122)</f>
        <v>0</v>
      </c>
      <c r="I122" s="92"/>
      <c r="J122" s="123"/>
      <c r="K122" s="123"/>
      <c r="L122" s="137"/>
      <c r="M122" s="90"/>
      <c r="N122" s="81"/>
    </row>
    <row r="123" spans="2:14">
      <c r="B123" s="80"/>
      <c r="C123" s="90"/>
      <c r="D123" s="90" t="s">
        <v>288</v>
      </c>
      <c r="E123" s="90"/>
      <c r="F123" s="84">
        <v>3.5</v>
      </c>
      <c r="G123" s="84">
        <v>0</v>
      </c>
      <c r="H123" s="101">
        <f>SUM(F123:G123)</f>
        <v>3.5</v>
      </c>
      <c r="I123" s="92"/>
      <c r="J123" s="123"/>
      <c r="K123" s="123"/>
      <c r="L123" s="137"/>
      <c r="M123" s="90"/>
      <c r="N123" s="81"/>
    </row>
    <row r="124" spans="2:14">
      <c r="B124" s="80"/>
      <c r="C124" s="90"/>
      <c r="D124" s="90" t="s">
        <v>289</v>
      </c>
      <c r="E124" s="90"/>
      <c r="F124" s="84">
        <v>0</v>
      </c>
      <c r="G124" s="84">
        <v>0</v>
      </c>
      <c r="H124" s="101">
        <f>SUM(F124:G124)</f>
        <v>0</v>
      </c>
      <c r="I124" s="92"/>
      <c r="J124" s="123"/>
      <c r="K124" s="123"/>
      <c r="L124" s="137"/>
      <c r="M124" s="90"/>
      <c r="N124" s="81"/>
    </row>
    <row r="125" spans="2:14">
      <c r="B125" s="80"/>
      <c r="C125" s="90"/>
      <c r="D125" s="137" t="s">
        <v>295</v>
      </c>
      <c r="E125" s="97"/>
      <c r="F125" s="92"/>
      <c r="G125" s="92"/>
      <c r="H125" s="107">
        <f>SUM(H120:H124)</f>
        <v>9</v>
      </c>
      <c r="I125" s="92"/>
      <c r="J125" s="90"/>
      <c r="K125" s="97"/>
      <c r="L125" s="97"/>
      <c r="M125" s="90"/>
      <c r="N125" s="81"/>
    </row>
    <row r="126" spans="2:14">
      <c r="B126" s="80"/>
      <c r="C126" s="90"/>
      <c r="D126" s="137" t="s">
        <v>337</v>
      </c>
      <c r="E126" s="97"/>
      <c r="F126" s="92"/>
      <c r="G126" s="92"/>
      <c r="H126" s="107">
        <f>ROUND(H125*F116,0)</f>
        <v>353</v>
      </c>
      <c r="I126" s="92"/>
      <c r="J126" s="90"/>
      <c r="K126" s="97"/>
      <c r="L126" s="97"/>
      <c r="M126" s="90"/>
      <c r="N126" s="81"/>
    </row>
    <row r="127" spans="2:14">
      <c r="B127" s="80"/>
      <c r="C127" s="90"/>
      <c r="D127" s="137"/>
      <c r="E127" s="90"/>
      <c r="F127" s="90"/>
      <c r="G127" s="90"/>
      <c r="H127" s="90"/>
      <c r="I127" s="90"/>
      <c r="J127" s="90"/>
      <c r="K127" s="97"/>
      <c r="L127" s="97"/>
      <c r="M127" s="90"/>
      <c r="N127" s="81"/>
    </row>
    <row r="128" spans="2:14">
      <c r="B128" s="80"/>
      <c r="D128" s="160"/>
      <c r="K128" s="85"/>
      <c r="L128" s="85"/>
      <c r="N128" s="81"/>
    </row>
    <row r="129" spans="2:15">
      <c r="B129" s="80"/>
      <c r="C129" s="90"/>
      <c r="D129" s="137"/>
      <c r="E129" s="90"/>
      <c r="F129" s="90"/>
      <c r="G129" s="90"/>
      <c r="H129" s="90"/>
      <c r="I129" s="90"/>
      <c r="J129" s="90"/>
      <c r="K129" s="97"/>
      <c r="L129" s="97"/>
      <c r="M129" s="90"/>
      <c r="N129" s="81"/>
    </row>
    <row r="130" spans="2:15">
      <c r="B130" s="80"/>
      <c r="C130" s="90"/>
      <c r="D130" s="93" t="s">
        <v>392</v>
      </c>
      <c r="E130" s="90"/>
      <c r="F130" s="83">
        <v>0</v>
      </c>
      <c r="G130" s="90"/>
      <c r="H130" s="90"/>
      <c r="I130" s="90"/>
      <c r="J130" s="90"/>
      <c r="K130" s="97"/>
      <c r="L130" s="97"/>
      <c r="M130" s="90"/>
      <c r="N130" s="81"/>
    </row>
    <row r="131" spans="2:15">
      <c r="B131" s="80"/>
      <c r="C131" s="93"/>
      <c r="D131" s="137"/>
      <c r="E131" s="90"/>
      <c r="F131" s="90"/>
      <c r="G131" s="90"/>
      <c r="H131" s="90"/>
      <c r="I131" s="90"/>
      <c r="J131" s="90"/>
      <c r="K131" s="97"/>
      <c r="L131" s="97"/>
      <c r="M131" s="90"/>
      <c r="N131" s="81"/>
    </row>
    <row r="132" spans="2:15">
      <c r="B132" s="80"/>
      <c r="C132" s="90"/>
      <c r="D132" s="137"/>
      <c r="E132" s="90"/>
      <c r="F132" s="103" t="s">
        <v>290</v>
      </c>
      <c r="G132" s="103" t="s">
        <v>291</v>
      </c>
      <c r="H132" s="103" t="s">
        <v>533</v>
      </c>
      <c r="I132" s="132"/>
      <c r="J132" s="103" t="s">
        <v>531</v>
      </c>
      <c r="K132" s="97"/>
      <c r="L132" s="97"/>
      <c r="M132" s="90"/>
      <c r="N132" s="81"/>
    </row>
    <row r="133" spans="2:15">
      <c r="B133" s="80"/>
      <c r="C133" s="90"/>
      <c r="D133" s="137"/>
      <c r="E133" s="90"/>
      <c r="F133" s="90"/>
      <c r="G133" s="90"/>
      <c r="H133" s="90"/>
      <c r="I133" s="90"/>
      <c r="J133" s="90"/>
      <c r="K133" s="97"/>
      <c r="L133" s="97"/>
      <c r="M133" s="90"/>
      <c r="N133" s="81"/>
    </row>
    <row r="134" spans="2:15">
      <c r="B134" s="80"/>
      <c r="C134" s="90"/>
      <c r="D134" s="137" t="s">
        <v>285</v>
      </c>
      <c r="E134" s="90"/>
      <c r="F134" s="84">
        <v>0</v>
      </c>
      <c r="G134" s="84">
        <v>0</v>
      </c>
      <c r="H134" s="101">
        <f>SUM(F134:G134)</f>
        <v>0</v>
      </c>
      <c r="I134" s="90"/>
      <c r="J134" s="123"/>
      <c r="K134" s="123"/>
      <c r="L134" s="137"/>
      <c r="M134" s="90"/>
      <c r="N134" s="81"/>
    </row>
    <row r="135" spans="2:15">
      <c r="B135" s="80"/>
      <c r="C135" s="90"/>
      <c r="D135" s="137" t="s">
        <v>286</v>
      </c>
      <c r="E135" s="90"/>
      <c r="F135" s="84">
        <v>0</v>
      </c>
      <c r="G135" s="84">
        <v>0</v>
      </c>
      <c r="H135" s="101">
        <f>SUM(F135:G135)</f>
        <v>0</v>
      </c>
      <c r="I135" s="90"/>
      <c r="J135" s="123"/>
      <c r="K135" s="123"/>
      <c r="L135" s="137"/>
      <c r="M135" s="90"/>
      <c r="N135" s="81"/>
      <c r="O135" s="160"/>
    </row>
    <row r="136" spans="2:15">
      <c r="B136" s="80"/>
      <c r="C136" s="90"/>
      <c r="D136" s="137" t="s">
        <v>287</v>
      </c>
      <c r="E136" s="90"/>
      <c r="F136" s="84">
        <v>0</v>
      </c>
      <c r="G136" s="84">
        <v>0</v>
      </c>
      <c r="H136" s="101">
        <f>SUM(F136:G136)</f>
        <v>0</v>
      </c>
      <c r="I136" s="90"/>
      <c r="J136" s="123"/>
      <c r="K136" s="123"/>
      <c r="L136" s="137"/>
      <c r="M136" s="90"/>
      <c r="N136" s="81"/>
      <c r="O136" s="160"/>
    </row>
    <row r="137" spans="2:15">
      <c r="B137" s="80"/>
      <c r="C137" s="90"/>
      <c r="D137" s="137" t="s">
        <v>288</v>
      </c>
      <c r="E137" s="90"/>
      <c r="F137" s="84">
        <v>0</v>
      </c>
      <c r="G137" s="84">
        <v>0</v>
      </c>
      <c r="H137" s="101">
        <f>SUM(F137:G137)</f>
        <v>0</v>
      </c>
      <c r="I137" s="90"/>
      <c r="J137" s="123"/>
      <c r="K137" s="123"/>
      <c r="L137" s="137"/>
      <c r="M137" s="90"/>
      <c r="N137" s="81"/>
      <c r="O137" s="160"/>
    </row>
    <row r="138" spans="2:15">
      <c r="B138" s="80"/>
      <c r="C138" s="90"/>
      <c r="D138" s="137" t="s">
        <v>289</v>
      </c>
      <c r="E138" s="90"/>
      <c r="F138" s="84">
        <v>0</v>
      </c>
      <c r="G138" s="84">
        <v>0</v>
      </c>
      <c r="H138" s="101">
        <f>SUM(F138:G138)</f>
        <v>0</v>
      </c>
      <c r="I138" s="90"/>
      <c r="J138" s="123"/>
      <c r="K138" s="123"/>
      <c r="L138" s="137"/>
      <c r="M138" s="90"/>
      <c r="N138" s="81"/>
    </row>
    <row r="139" spans="2:15">
      <c r="B139" s="80"/>
      <c r="C139" s="90"/>
      <c r="D139" s="137" t="s">
        <v>295</v>
      </c>
      <c r="E139" s="97"/>
      <c r="F139" s="92"/>
      <c r="G139" s="92"/>
      <c r="H139" s="107">
        <f>SUM(H134:H138)</f>
        <v>0</v>
      </c>
      <c r="I139" s="90"/>
      <c r="J139" s="90"/>
      <c r="K139" s="97"/>
      <c r="L139" s="97"/>
      <c r="M139" s="90"/>
      <c r="N139" s="81"/>
    </row>
    <row r="140" spans="2:15">
      <c r="B140" s="80"/>
      <c r="C140" s="90"/>
      <c r="D140" s="137" t="s">
        <v>337</v>
      </c>
      <c r="E140" s="97"/>
      <c r="F140" s="92"/>
      <c r="G140" s="92"/>
      <c r="H140" s="107">
        <f>ROUND(H139*F130,0)</f>
        <v>0</v>
      </c>
      <c r="I140" s="90"/>
      <c r="J140" s="90"/>
      <c r="K140" s="97"/>
      <c r="L140" s="97"/>
      <c r="M140" s="90"/>
      <c r="N140" s="81"/>
    </row>
    <row r="141" spans="2:15">
      <c r="B141" s="80"/>
      <c r="C141" s="90"/>
      <c r="D141" s="137"/>
      <c r="E141" s="97"/>
      <c r="F141" s="90"/>
      <c r="G141" s="90"/>
      <c r="H141" s="90"/>
      <c r="I141" s="90"/>
      <c r="J141" s="90"/>
      <c r="K141" s="97"/>
      <c r="L141" s="97"/>
      <c r="M141" s="90"/>
      <c r="N141" s="81"/>
    </row>
    <row r="142" spans="2:15">
      <c r="B142" s="80"/>
      <c r="D142" s="160"/>
      <c r="E142" s="85"/>
      <c r="K142" s="85"/>
      <c r="L142" s="85"/>
      <c r="N142" s="81"/>
    </row>
    <row r="143" spans="2:15">
      <c r="B143" s="80"/>
      <c r="C143" s="90"/>
      <c r="D143" s="137"/>
      <c r="E143" s="97"/>
      <c r="F143" s="90"/>
      <c r="G143" s="90"/>
      <c r="H143" s="90"/>
      <c r="I143" s="90"/>
      <c r="J143" s="90"/>
      <c r="K143" s="97"/>
      <c r="L143" s="97"/>
      <c r="M143" s="90"/>
      <c r="N143" s="81"/>
    </row>
    <row r="144" spans="2:15">
      <c r="B144" s="80"/>
      <c r="C144" s="90"/>
      <c r="D144" s="93" t="s">
        <v>393</v>
      </c>
      <c r="E144" s="90"/>
      <c r="F144" s="83">
        <v>0</v>
      </c>
      <c r="G144" s="90"/>
      <c r="H144" s="90"/>
      <c r="I144" s="90"/>
      <c r="J144" s="90"/>
      <c r="K144" s="97"/>
      <c r="L144" s="97"/>
      <c r="M144" s="90"/>
      <c r="N144" s="81"/>
    </row>
    <row r="145" spans="2:14">
      <c r="B145" s="80"/>
      <c r="C145" s="93"/>
      <c r="D145" s="137"/>
      <c r="E145" s="90"/>
      <c r="F145" s="90"/>
      <c r="G145" s="90"/>
      <c r="H145" s="90"/>
      <c r="I145" s="90"/>
      <c r="J145" s="90"/>
      <c r="K145" s="97"/>
      <c r="L145" s="97"/>
      <c r="M145" s="90"/>
      <c r="N145" s="81"/>
    </row>
    <row r="146" spans="2:14">
      <c r="B146" s="80"/>
      <c r="C146" s="90"/>
      <c r="D146" s="137"/>
      <c r="E146" s="90"/>
      <c r="F146" s="103" t="s">
        <v>290</v>
      </c>
      <c r="G146" s="103" t="s">
        <v>291</v>
      </c>
      <c r="H146" s="103" t="s">
        <v>533</v>
      </c>
      <c r="I146" s="132"/>
      <c r="J146" s="103" t="s">
        <v>531</v>
      </c>
      <c r="K146" s="97"/>
      <c r="L146" s="97"/>
      <c r="M146" s="90"/>
      <c r="N146" s="81"/>
    </row>
    <row r="147" spans="2:14">
      <c r="B147" s="80"/>
      <c r="C147" s="90"/>
      <c r="D147" s="137"/>
      <c r="E147" s="90"/>
      <c r="F147" s="90"/>
      <c r="G147" s="90"/>
      <c r="H147" s="90"/>
      <c r="I147" s="90"/>
      <c r="J147" s="90"/>
      <c r="K147" s="97"/>
      <c r="L147" s="97"/>
      <c r="M147" s="90"/>
      <c r="N147" s="81"/>
    </row>
    <row r="148" spans="2:14">
      <c r="B148" s="80"/>
      <c r="C148" s="90"/>
      <c r="D148" s="137" t="s">
        <v>285</v>
      </c>
      <c r="E148" s="90"/>
      <c r="F148" s="84">
        <v>0</v>
      </c>
      <c r="G148" s="84">
        <v>0</v>
      </c>
      <c r="H148" s="101">
        <f>SUM(F148:G148)</f>
        <v>0</v>
      </c>
      <c r="I148" s="90"/>
      <c r="J148" s="123"/>
      <c r="K148" s="123"/>
      <c r="L148" s="137"/>
      <c r="M148" s="90"/>
      <c r="N148" s="81"/>
    </row>
    <row r="149" spans="2:14">
      <c r="B149" s="80"/>
      <c r="C149" s="90"/>
      <c r="D149" s="137" t="s">
        <v>286</v>
      </c>
      <c r="E149" s="90"/>
      <c r="F149" s="84">
        <v>0</v>
      </c>
      <c r="G149" s="84">
        <v>0</v>
      </c>
      <c r="H149" s="101">
        <f>SUM(F149:G149)</f>
        <v>0</v>
      </c>
      <c r="I149" s="90"/>
      <c r="J149" s="123"/>
      <c r="K149" s="123"/>
      <c r="L149" s="137"/>
      <c r="M149" s="90"/>
      <c r="N149" s="81"/>
    </row>
    <row r="150" spans="2:14">
      <c r="B150" s="80"/>
      <c r="C150" s="90"/>
      <c r="D150" s="137" t="s">
        <v>287</v>
      </c>
      <c r="E150" s="90"/>
      <c r="F150" s="84">
        <v>0</v>
      </c>
      <c r="G150" s="84">
        <v>0</v>
      </c>
      <c r="H150" s="101">
        <f>SUM(F150:G150)</f>
        <v>0</v>
      </c>
      <c r="I150" s="90"/>
      <c r="J150" s="123"/>
      <c r="K150" s="123"/>
      <c r="L150" s="137"/>
      <c r="M150" s="90"/>
      <c r="N150" s="81"/>
    </row>
    <row r="151" spans="2:14">
      <c r="B151" s="80"/>
      <c r="C151" s="90"/>
      <c r="D151" s="137" t="s">
        <v>288</v>
      </c>
      <c r="E151" s="90"/>
      <c r="F151" s="84">
        <v>0</v>
      </c>
      <c r="G151" s="84">
        <v>0</v>
      </c>
      <c r="H151" s="101">
        <f>SUM(F151:G151)</f>
        <v>0</v>
      </c>
      <c r="I151" s="90"/>
      <c r="J151" s="123"/>
      <c r="K151" s="123"/>
      <c r="L151" s="137"/>
      <c r="M151" s="90"/>
      <c r="N151" s="81"/>
    </row>
    <row r="152" spans="2:14">
      <c r="B152" s="80"/>
      <c r="C152" s="90"/>
      <c r="D152" s="137" t="s">
        <v>289</v>
      </c>
      <c r="E152" s="90"/>
      <c r="F152" s="84">
        <v>0</v>
      </c>
      <c r="G152" s="84">
        <v>0</v>
      </c>
      <c r="H152" s="101">
        <f>SUM(F152:G152)</f>
        <v>0</v>
      </c>
      <c r="I152" s="90"/>
      <c r="J152" s="123"/>
      <c r="K152" s="123"/>
      <c r="L152" s="137"/>
      <c r="M152" s="90"/>
      <c r="N152" s="81"/>
    </row>
    <row r="153" spans="2:14">
      <c r="B153" s="80"/>
      <c r="C153" s="90"/>
      <c r="D153" s="137" t="s">
        <v>295</v>
      </c>
      <c r="E153" s="97"/>
      <c r="F153" s="92"/>
      <c r="G153" s="92"/>
      <c r="H153" s="107">
        <f>SUM(H148:H152)</f>
        <v>0</v>
      </c>
      <c r="I153" s="90"/>
      <c r="J153" s="90"/>
      <c r="K153" s="97"/>
      <c r="L153" s="97"/>
      <c r="M153" s="90"/>
      <c r="N153" s="81"/>
    </row>
    <row r="154" spans="2:14">
      <c r="B154" s="80"/>
      <c r="C154" s="90"/>
      <c r="D154" s="137" t="s">
        <v>337</v>
      </c>
      <c r="E154" s="97"/>
      <c r="F154" s="92"/>
      <c r="G154" s="92"/>
      <c r="H154" s="107">
        <f>ROUND(H153*F144,0)</f>
        <v>0</v>
      </c>
      <c r="I154" s="90"/>
      <c r="J154" s="90"/>
      <c r="K154" s="97"/>
      <c r="L154" s="97"/>
      <c r="M154" s="90"/>
      <c r="N154" s="81"/>
    </row>
    <row r="155" spans="2:14">
      <c r="B155" s="80"/>
      <c r="C155" s="90"/>
      <c r="D155" s="137"/>
      <c r="E155" s="97"/>
      <c r="F155" s="90"/>
      <c r="G155" s="90"/>
      <c r="H155" s="90"/>
      <c r="I155" s="90"/>
      <c r="J155" s="90"/>
      <c r="K155" s="97"/>
      <c r="L155" s="97"/>
      <c r="M155" s="90"/>
      <c r="N155" s="81"/>
    </row>
    <row r="156" spans="2:14">
      <c r="B156" s="80"/>
      <c r="D156" s="160"/>
      <c r="E156" s="85"/>
      <c r="K156" s="85"/>
      <c r="L156" s="85"/>
      <c r="N156" s="81"/>
    </row>
    <row r="157" spans="2:14">
      <c r="B157" s="80"/>
      <c r="C157" s="90"/>
      <c r="D157" s="137"/>
      <c r="E157" s="90"/>
      <c r="F157" s="90"/>
      <c r="G157" s="90"/>
      <c r="H157" s="90"/>
      <c r="I157" s="90"/>
      <c r="J157" s="90"/>
      <c r="K157" s="97"/>
      <c r="L157" s="97"/>
      <c r="M157" s="90"/>
      <c r="N157" s="81"/>
    </row>
    <row r="158" spans="2:14">
      <c r="B158" s="80"/>
      <c r="C158" s="90"/>
      <c r="D158" s="93" t="s">
        <v>394</v>
      </c>
      <c r="E158" s="90"/>
      <c r="F158" s="83">
        <v>0</v>
      </c>
      <c r="G158" s="90"/>
      <c r="H158" s="90"/>
      <c r="I158" s="90"/>
      <c r="J158" s="90"/>
      <c r="K158" s="97"/>
      <c r="L158" s="97"/>
      <c r="M158" s="90"/>
      <c r="N158" s="81"/>
    </row>
    <row r="159" spans="2:14">
      <c r="B159" s="80"/>
      <c r="C159" s="93"/>
      <c r="D159" s="137"/>
      <c r="E159" s="90"/>
      <c r="F159" s="90"/>
      <c r="G159" s="90"/>
      <c r="H159" s="90"/>
      <c r="I159" s="90"/>
      <c r="J159" s="90"/>
      <c r="K159" s="97"/>
      <c r="L159" s="97"/>
      <c r="M159" s="90"/>
      <c r="N159" s="81"/>
    </row>
    <row r="160" spans="2:14">
      <c r="B160" s="80"/>
      <c r="C160" s="90"/>
      <c r="D160" s="137"/>
      <c r="E160" s="90"/>
      <c r="F160" s="103" t="s">
        <v>290</v>
      </c>
      <c r="G160" s="103" t="s">
        <v>291</v>
      </c>
      <c r="H160" s="103" t="s">
        <v>533</v>
      </c>
      <c r="I160" s="132"/>
      <c r="J160" s="103" t="s">
        <v>531</v>
      </c>
      <c r="K160" s="97"/>
      <c r="L160" s="97"/>
      <c r="M160" s="90"/>
      <c r="N160" s="81"/>
    </row>
    <row r="161" spans="2:14">
      <c r="B161" s="80"/>
      <c r="C161" s="90"/>
      <c r="D161" s="137"/>
      <c r="E161" s="90"/>
      <c r="F161" s="90"/>
      <c r="G161" s="90"/>
      <c r="H161" s="90"/>
      <c r="I161" s="90"/>
      <c r="J161" s="90"/>
      <c r="K161" s="97"/>
      <c r="L161" s="97"/>
      <c r="M161" s="90"/>
      <c r="N161" s="81"/>
    </row>
    <row r="162" spans="2:14">
      <c r="B162" s="80"/>
      <c r="C162" s="90"/>
      <c r="D162" s="137" t="s">
        <v>285</v>
      </c>
      <c r="E162" s="90"/>
      <c r="F162" s="84">
        <v>0</v>
      </c>
      <c r="G162" s="84">
        <v>0</v>
      </c>
      <c r="H162" s="101">
        <f>SUM(F162:G162)</f>
        <v>0</v>
      </c>
      <c r="I162" s="90"/>
      <c r="J162" s="123"/>
      <c r="K162" s="123"/>
      <c r="L162" s="137"/>
      <c r="M162" s="90"/>
      <c r="N162" s="81"/>
    </row>
    <row r="163" spans="2:14">
      <c r="B163" s="80"/>
      <c r="C163" s="90"/>
      <c r="D163" s="137" t="s">
        <v>286</v>
      </c>
      <c r="E163" s="90"/>
      <c r="F163" s="84">
        <v>0</v>
      </c>
      <c r="G163" s="84">
        <v>0</v>
      </c>
      <c r="H163" s="101">
        <f>SUM(F163:G163)</f>
        <v>0</v>
      </c>
      <c r="I163" s="90"/>
      <c r="J163" s="123"/>
      <c r="K163" s="123"/>
      <c r="L163" s="137"/>
      <c r="M163" s="90"/>
      <c r="N163" s="81"/>
    </row>
    <row r="164" spans="2:14">
      <c r="B164" s="80"/>
      <c r="C164" s="90"/>
      <c r="D164" s="137" t="s">
        <v>287</v>
      </c>
      <c r="E164" s="90"/>
      <c r="F164" s="84">
        <v>0</v>
      </c>
      <c r="G164" s="84">
        <v>0</v>
      </c>
      <c r="H164" s="101">
        <f>SUM(F164:G164)</f>
        <v>0</v>
      </c>
      <c r="I164" s="90"/>
      <c r="J164" s="123"/>
      <c r="K164" s="123"/>
      <c r="L164" s="137"/>
      <c r="M164" s="90"/>
      <c r="N164" s="81"/>
    </row>
    <row r="165" spans="2:14">
      <c r="B165" s="80"/>
      <c r="C165" s="90"/>
      <c r="D165" s="137" t="s">
        <v>288</v>
      </c>
      <c r="E165" s="90"/>
      <c r="F165" s="84">
        <v>0</v>
      </c>
      <c r="G165" s="84">
        <v>0</v>
      </c>
      <c r="H165" s="101">
        <f>SUM(F165:G165)</f>
        <v>0</v>
      </c>
      <c r="I165" s="90"/>
      <c r="J165" s="123"/>
      <c r="K165" s="123"/>
      <c r="L165" s="137"/>
      <c r="M165" s="90"/>
      <c r="N165" s="81"/>
    </row>
    <row r="166" spans="2:14">
      <c r="B166" s="80"/>
      <c r="C166" s="90"/>
      <c r="D166" s="137" t="s">
        <v>289</v>
      </c>
      <c r="E166" s="90"/>
      <c r="F166" s="84">
        <v>0</v>
      </c>
      <c r="G166" s="84">
        <v>0</v>
      </c>
      <c r="H166" s="101">
        <f>SUM(F166:G166)</f>
        <v>0</v>
      </c>
      <c r="I166" s="90"/>
      <c r="J166" s="123"/>
      <c r="K166" s="123"/>
      <c r="L166" s="137"/>
      <c r="M166" s="90"/>
      <c r="N166" s="81"/>
    </row>
    <row r="167" spans="2:14">
      <c r="B167" s="80"/>
      <c r="C167" s="90"/>
      <c r="D167" s="137" t="s">
        <v>295</v>
      </c>
      <c r="E167" s="97"/>
      <c r="F167" s="92"/>
      <c r="G167" s="92"/>
      <c r="H167" s="107">
        <f>SUM(H162:H166)</f>
        <v>0</v>
      </c>
      <c r="I167" s="90"/>
      <c r="J167" s="90"/>
      <c r="K167" s="97"/>
      <c r="L167" s="97"/>
      <c r="M167" s="90"/>
      <c r="N167" s="81"/>
    </row>
    <row r="168" spans="2:14">
      <c r="B168" s="80"/>
      <c r="C168" s="90"/>
      <c r="D168" s="137" t="s">
        <v>337</v>
      </c>
      <c r="E168" s="97"/>
      <c r="F168" s="92"/>
      <c r="G168" s="92"/>
      <c r="H168" s="107">
        <f>ROUND(H167*F158,0)</f>
        <v>0</v>
      </c>
      <c r="I168" s="90"/>
      <c r="J168" s="90"/>
      <c r="K168" s="97"/>
      <c r="L168" s="97"/>
      <c r="M168" s="90"/>
      <c r="N168" s="81"/>
    </row>
    <row r="169" spans="2:14">
      <c r="B169" s="80"/>
      <c r="C169" s="90"/>
      <c r="D169" s="137"/>
      <c r="E169" s="90"/>
      <c r="F169" s="90"/>
      <c r="G169" s="90"/>
      <c r="H169" s="90"/>
      <c r="I169" s="90"/>
      <c r="J169" s="90"/>
      <c r="K169" s="90"/>
      <c r="L169" s="90"/>
      <c r="M169" s="90"/>
      <c r="N169" s="81"/>
    </row>
    <row r="170" spans="2:14">
      <c r="B170" s="80"/>
      <c r="D170" s="160"/>
      <c r="N170" s="81"/>
    </row>
    <row r="171" spans="2:14">
      <c r="B171" s="80"/>
      <c r="C171" s="90"/>
      <c r="D171" s="90"/>
      <c r="E171" s="90"/>
      <c r="F171" s="90"/>
      <c r="G171" s="90"/>
      <c r="H171" s="90"/>
      <c r="I171" s="90"/>
      <c r="J171" s="90"/>
      <c r="K171" s="90"/>
      <c r="L171" s="90"/>
      <c r="M171" s="90"/>
      <c r="N171" s="81"/>
    </row>
    <row r="172" spans="2:14">
      <c r="B172" s="80"/>
      <c r="C172" s="90"/>
      <c r="D172" s="93" t="s">
        <v>338</v>
      </c>
      <c r="E172" s="90"/>
      <c r="F172" s="90"/>
      <c r="G172" s="90"/>
      <c r="H172" s="145">
        <f>+H126+H140+H154+H168</f>
        <v>353</v>
      </c>
      <c r="I172" s="119"/>
      <c r="J172" s="90"/>
      <c r="K172" s="90"/>
      <c r="L172" s="90"/>
      <c r="M172" s="90"/>
      <c r="N172" s="81"/>
    </row>
    <row r="173" spans="2:14">
      <c r="B173" s="80"/>
      <c r="C173" s="90"/>
      <c r="D173" s="90"/>
      <c r="E173" s="90"/>
      <c r="F173" s="90"/>
      <c r="G173" s="97"/>
      <c r="H173" s="90"/>
      <c r="I173" s="90"/>
      <c r="J173" s="90"/>
      <c r="K173" s="121"/>
      <c r="L173" s="121"/>
      <c r="M173" s="90"/>
      <c r="N173" s="81"/>
    </row>
    <row r="174" spans="2:14" ht="13.5" thickBot="1">
      <c r="B174" s="80"/>
      <c r="D174" s="160"/>
      <c r="N174" s="81"/>
    </row>
    <row r="175" spans="2:14">
      <c r="B175" s="76"/>
      <c r="C175" s="77"/>
      <c r="D175" s="195"/>
      <c r="E175" s="77"/>
      <c r="F175" s="77"/>
      <c r="G175" s="77"/>
      <c r="H175" s="77"/>
      <c r="I175" s="77"/>
      <c r="J175" s="77"/>
      <c r="K175" s="77"/>
      <c r="L175" s="77"/>
      <c r="M175" s="77"/>
      <c r="N175" s="79"/>
    </row>
    <row r="176" spans="2:14">
      <c r="B176" s="80"/>
      <c r="C176" s="90"/>
      <c r="D176" s="137"/>
      <c r="E176" s="90"/>
      <c r="F176" s="90"/>
      <c r="G176" s="90"/>
      <c r="H176" s="90"/>
      <c r="I176" s="90"/>
      <c r="J176" s="90"/>
      <c r="K176" s="90"/>
      <c r="L176" s="90"/>
      <c r="M176" s="90"/>
      <c r="N176" s="81"/>
    </row>
    <row r="177" spans="2:14" ht="15">
      <c r="B177" s="80"/>
      <c r="C177" s="90"/>
      <c r="D177" s="91" t="s">
        <v>468</v>
      </c>
      <c r="E177" s="90"/>
      <c r="F177" s="90"/>
      <c r="G177" s="90"/>
      <c r="H177" s="90"/>
      <c r="I177" s="90"/>
      <c r="J177" s="90"/>
      <c r="K177" s="90"/>
      <c r="L177" s="90"/>
      <c r="M177" s="90"/>
      <c r="N177" s="81"/>
    </row>
    <row r="178" spans="2:14">
      <c r="B178" s="80"/>
      <c r="C178" s="90"/>
      <c r="D178" s="137"/>
      <c r="E178" s="90"/>
      <c r="F178" s="90"/>
      <c r="G178" s="90"/>
      <c r="H178" s="90"/>
      <c r="I178" s="90"/>
      <c r="J178" s="90"/>
      <c r="K178" s="90"/>
      <c r="L178" s="90"/>
      <c r="M178" s="90"/>
      <c r="N178" s="81"/>
    </row>
    <row r="179" spans="2:14">
      <c r="B179" s="80"/>
      <c r="C179" s="90"/>
      <c r="D179" s="100" t="s">
        <v>455</v>
      </c>
      <c r="E179" s="90"/>
      <c r="F179" s="83">
        <v>40</v>
      </c>
      <c r="G179" s="90"/>
      <c r="H179" s="90"/>
      <c r="I179" s="90"/>
      <c r="J179" s="90"/>
      <c r="K179" s="90"/>
      <c r="L179" s="90"/>
      <c r="M179" s="90"/>
      <c r="N179" s="81"/>
    </row>
    <row r="180" spans="2:14">
      <c r="B180" s="80"/>
      <c r="C180" s="90"/>
      <c r="D180" s="137"/>
      <c r="E180" s="90"/>
      <c r="F180" s="90"/>
      <c r="G180" s="90"/>
      <c r="H180" s="92"/>
      <c r="I180" s="216"/>
      <c r="J180" s="201" t="s">
        <v>531</v>
      </c>
      <c r="K180" s="132" t="s">
        <v>79</v>
      </c>
      <c r="L180" s="90"/>
      <c r="M180" s="90"/>
      <c r="N180" s="81"/>
    </row>
    <row r="181" spans="2:14">
      <c r="B181" s="80"/>
      <c r="C181" s="90"/>
      <c r="D181" s="137"/>
      <c r="E181" s="90"/>
      <c r="F181" s="90"/>
      <c r="G181" s="90"/>
      <c r="H181" s="92"/>
      <c r="I181" s="97"/>
      <c r="J181" s="97"/>
      <c r="K181" s="90"/>
      <c r="L181" s="90"/>
      <c r="M181" s="90"/>
      <c r="N181" s="81"/>
    </row>
    <row r="182" spans="2:14">
      <c r="B182" s="80"/>
      <c r="C182" s="90"/>
      <c r="D182" s="137" t="s">
        <v>285</v>
      </c>
      <c r="E182" s="90"/>
      <c r="F182" s="90"/>
      <c r="G182" s="90"/>
      <c r="H182" s="83">
        <v>8</v>
      </c>
      <c r="I182" s="137"/>
      <c r="J182" s="123"/>
      <c r="K182" s="83">
        <v>0</v>
      </c>
      <c r="L182" s="90"/>
      <c r="M182" s="90"/>
      <c r="N182" s="81"/>
    </row>
    <row r="183" spans="2:14">
      <c r="B183" s="80"/>
      <c r="C183" s="90"/>
      <c r="D183" s="137" t="s">
        <v>286</v>
      </c>
      <c r="E183" s="90"/>
      <c r="F183" s="90"/>
      <c r="G183" s="90"/>
      <c r="H183" s="83">
        <v>0</v>
      </c>
      <c r="I183" s="137"/>
      <c r="J183" s="123"/>
      <c r="K183" s="83">
        <v>0</v>
      </c>
      <c r="L183" s="90"/>
      <c r="M183" s="90"/>
      <c r="N183" s="81"/>
    </row>
    <row r="184" spans="2:14">
      <c r="B184" s="80"/>
      <c r="C184" s="90"/>
      <c r="D184" s="137" t="s">
        <v>287</v>
      </c>
      <c r="E184" s="90"/>
      <c r="F184" s="90"/>
      <c r="G184" s="90"/>
      <c r="H184" s="83">
        <v>8</v>
      </c>
      <c r="I184" s="137"/>
      <c r="J184" s="123"/>
      <c r="K184" s="83">
        <v>0</v>
      </c>
      <c r="L184" s="90"/>
      <c r="M184" s="90"/>
      <c r="N184" s="81"/>
    </row>
    <row r="185" spans="2:14">
      <c r="B185" s="80"/>
      <c r="C185" s="90"/>
      <c r="D185" s="137" t="s">
        <v>288</v>
      </c>
      <c r="E185" s="90"/>
      <c r="F185" s="90"/>
      <c r="G185" s="90"/>
      <c r="H185" s="83">
        <v>4.5</v>
      </c>
      <c r="I185" s="137"/>
      <c r="J185" s="123"/>
      <c r="K185" s="83">
        <v>0</v>
      </c>
      <c r="L185" s="90"/>
      <c r="M185" s="90"/>
      <c r="N185" s="81"/>
    </row>
    <row r="186" spans="2:14">
      <c r="B186" s="80"/>
      <c r="C186" s="90"/>
      <c r="D186" s="137" t="s">
        <v>289</v>
      </c>
      <c r="E186" s="90"/>
      <c r="F186" s="90"/>
      <c r="G186" s="90"/>
      <c r="H186" s="83">
        <v>5</v>
      </c>
      <c r="I186" s="137"/>
      <c r="J186" s="123"/>
      <c r="K186" s="83">
        <v>0</v>
      </c>
      <c r="L186" s="90"/>
      <c r="M186" s="90"/>
      <c r="N186" s="81"/>
    </row>
    <row r="187" spans="2:14">
      <c r="B187" s="80"/>
      <c r="C187" s="90"/>
      <c r="D187" s="137" t="s">
        <v>295</v>
      </c>
      <c r="E187" s="90"/>
      <c r="F187" s="90"/>
      <c r="G187" s="175"/>
      <c r="H187" s="219">
        <f>SUM(H182:H186)</f>
        <v>25.5</v>
      </c>
      <c r="I187" s="97"/>
      <c r="J187" s="97"/>
      <c r="K187" s="130">
        <f>SUM(K182:K186)</f>
        <v>0</v>
      </c>
      <c r="L187" s="130">
        <f>+K187*F179</f>
        <v>0</v>
      </c>
      <c r="M187" s="90"/>
      <c r="N187" s="81"/>
    </row>
    <row r="188" spans="2:14">
      <c r="B188" s="80"/>
      <c r="C188" s="90"/>
      <c r="D188" s="137" t="s">
        <v>337</v>
      </c>
      <c r="E188" s="90"/>
      <c r="F188" s="90"/>
      <c r="G188" s="90"/>
      <c r="H188" s="107">
        <f>ROUND(H187*F179,0)</f>
        <v>1020</v>
      </c>
      <c r="I188" s="97"/>
      <c r="J188" s="97"/>
      <c r="K188" s="90"/>
      <c r="L188" s="90"/>
      <c r="M188" s="90"/>
      <c r="N188" s="81"/>
    </row>
    <row r="189" spans="2:14">
      <c r="B189" s="80"/>
      <c r="C189" s="90"/>
      <c r="D189" s="137"/>
      <c r="E189" s="97"/>
      <c r="F189" s="90"/>
      <c r="G189" s="90"/>
      <c r="H189" s="92"/>
      <c r="I189" s="97"/>
      <c r="J189" s="97"/>
      <c r="K189" s="90"/>
      <c r="L189" s="90"/>
      <c r="M189" s="90"/>
      <c r="N189" s="81"/>
    </row>
    <row r="190" spans="2:14">
      <c r="B190" s="80"/>
      <c r="D190" s="160"/>
      <c r="E190" s="85"/>
      <c r="H190" s="75"/>
      <c r="I190" s="85"/>
      <c r="J190" s="85"/>
      <c r="N190" s="81"/>
    </row>
    <row r="191" spans="2:14">
      <c r="B191" s="80"/>
      <c r="C191" s="90"/>
      <c r="D191" s="137"/>
      <c r="E191" s="97"/>
      <c r="F191" s="90"/>
      <c r="G191" s="90"/>
      <c r="H191" s="92"/>
      <c r="I191" s="97"/>
      <c r="J191" s="97"/>
      <c r="K191" s="90"/>
      <c r="L191" s="90"/>
      <c r="M191" s="90"/>
      <c r="N191" s="81"/>
    </row>
    <row r="192" spans="2:14">
      <c r="B192" s="80"/>
      <c r="C192" s="90"/>
      <c r="D192" s="100" t="s">
        <v>563</v>
      </c>
      <c r="E192" s="90"/>
      <c r="F192" s="83">
        <v>0</v>
      </c>
      <c r="G192" s="90"/>
      <c r="H192" s="90"/>
      <c r="I192" s="97"/>
      <c r="J192" s="97"/>
      <c r="K192" s="90"/>
      <c r="L192" s="90"/>
      <c r="M192" s="90"/>
      <c r="N192" s="81"/>
    </row>
    <row r="193" spans="2:14">
      <c r="B193" s="80"/>
      <c r="C193" s="90"/>
      <c r="D193" s="137"/>
      <c r="E193" s="90"/>
      <c r="F193" s="90"/>
      <c r="G193" s="90"/>
      <c r="H193" s="92"/>
      <c r="I193" s="216"/>
      <c r="J193" s="201" t="s">
        <v>531</v>
      </c>
      <c r="K193" s="132" t="s">
        <v>79</v>
      </c>
      <c r="L193" s="90"/>
      <c r="M193" s="90"/>
      <c r="N193" s="81"/>
    </row>
    <row r="194" spans="2:14">
      <c r="B194" s="80"/>
      <c r="C194" s="90"/>
      <c r="D194" s="137"/>
      <c r="E194" s="90"/>
      <c r="F194" s="90"/>
      <c r="G194" s="90"/>
      <c r="H194" s="92"/>
      <c r="I194" s="97"/>
      <c r="J194" s="97"/>
      <c r="K194" s="90"/>
      <c r="L194" s="90"/>
      <c r="M194" s="90"/>
      <c r="N194" s="81"/>
    </row>
    <row r="195" spans="2:14">
      <c r="B195" s="80"/>
      <c r="C195" s="90"/>
      <c r="D195" s="137" t="s">
        <v>285</v>
      </c>
      <c r="E195" s="90"/>
      <c r="F195" s="90"/>
      <c r="G195" s="90"/>
      <c r="H195" s="84">
        <v>0</v>
      </c>
      <c r="I195" s="137"/>
      <c r="J195" s="123"/>
      <c r="K195" s="83"/>
      <c r="L195" s="90"/>
      <c r="M195" s="90"/>
      <c r="N195" s="81"/>
    </row>
    <row r="196" spans="2:14">
      <c r="B196" s="80"/>
      <c r="C196" s="90"/>
      <c r="D196" s="137" t="s">
        <v>286</v>
      </c>
      <c r="E196" s="90"/>
      <c r="F196" s="90"/>
      <c r="G196" s="90"/>
      <c r="H196" s="84">
        <v>0</v>
      </c>
      <c r="I196" s="137"/>
      <c r="J196" s="123"/>
      <c r="K196" s="83"/>
      <c r="L196" s="90"/>
      <c r="M196" s="90"/>
      <c r="N196" s="81"/>
    </row>
    <row r="197" spans="2:14">
      <c r="B197" s="80"/>
      <c r="C197" s="90"/>
      <c r="D197" s="137" t="s">
        <v>287</v>
      </c>
      <c r="E197" s="90"/>
      <c r="F197" s="90"/>
      <c r="G197" s="90"/>
      <c r="H197" s="84">
        <v>0</v>
      </c>
      <c r="I197" s="137"/>
      <c r="J197" s="123"/>
      <c r="K197" s="83"/>
      <c r="L197" s="90"/>
      <c r="M197" s="90"/>
      <c r="N197" s="81"/>
    </row>
    <row r="198" spans="2:14">
      <c r="B198" s="80"/>
      <c r="C198" s="90"/>
      <c r="D198" s="137" t="s">
        <v>288</v>
      </c>
      <c r="E198" s="90"/>
      <c r="F198" s="90"/>
      <c r="G198" s="90"/>
      <c r="H198" s="84">
        <v>0</v>
      </c>
      <c r="I198" s="137"/>
      <c r="J198" s="123"/>
      <c r="K198" s="83"/>
      <c r="L198" s="90"/>
      <c r="M198" s="90"/>
      <c r="N198" s="81"/>
    </row>
    <row r="199" spans="2:14">
      <c r="B199" s="80"/>
      <c r="C199" s="90"/>
      <c r="D199" s="137" t="s">
        <v>289</v>
      </c>
      <c r="E199" s="90"/>
      <c r="F199" s="90"/>
      <c r="G199" s="90"/>
      <c r="H199" s="84">
        <v>0</v>
      </c>
      <c r="I199" s="137"/>
      <c r="J199" s="123"/>
      <c r="K199" s="83"/>
      <c r="L199" s="90"/>
      <c r="M199" s="90"/>
      <c r="N199" s="81"/>
    </row>
    <row r="200" spans="2:14">
      <c r="B200" s="80"/>
      <c r="C200" s="90"/>
      <c r="D200" s="137" t="s">
        <v>295</v>
      </c>
      <c r="E200" s="90"/>
      <c r="F200" s="90"/>
      <c r="G200" s="90"/>
      <c r="H200" s="171">
        <f>SUM(H195:H199)</f>
        <v>0</v>
      </c>
      <c r="I200" s="97"/>
      <c r="J200" s="97"/>
      <c r="K200" s="130">
        <f>SUM(K195:K199)</f>
        <v>0</v>
      </c>
      <c r="L200" s="130">
        <f>+K200*F192</f>
        <v>0</v>
      </c>
      <c r="M200" s="90"/>
      <c r="N200" s="81"/>
    </row>
    <row r="201" spans="2:14">
      <c r="B201" s="80"/>
      <c r="C201" s="90"/>
      <c r="D201" s="137" t="s">
        <v>337</v>
      </c>
      <c r="E201" s="90"/>
      <c r="F201" s="90"/>
      <c r="G201" s="90"/>
      <c r="H201" s="107">
        <f>ROUND(H200*F192,0)</f>
        <v>0</v>
      </c>
      <c r="I201" s="97"/>
      <c r="J201" s="97"/>
      <c r="K201" s="90"/>
      <c r="L201" s="90"/>
      <c r="M201" s="90"/>
      <c r="N201" s="81"/>
    </row>
    <row r="202" spans="2:14">
      <c r="B202" s="80"/>
      <c r="C202" s="90"/>
      <c r="D202" s="137"/>
      <c r="E202" s="97"/>
      <c r="F202" s="90"/>
      <c r="G202" s="90"/>
      <c r="H202" s="92"/>
      <c r="I202" s="97"/>
      <c r="J202" s="97"/>
      <c r="K202" s="90"/>
      <c r="L202" s="90"/>
      <c r="M202" s="90"/>
      <c r="N202" s="81"/>
    </row>
    <row r="203" spans="2:14">
      <c r="B203" s="80"/>
      <c r="D203" s="160"/>
      <c r="E203" s="85"/>
      <c r="H203" s="75"/>
      <c r="I203" s="85"/>
      <c r="J203" s="85"/>
      <c r="N203" s="81"/>
    </row>
    <row r="204" spans="2:14">
      <c r="B204" s="80"/>
      <c r="C204" s="90"/>
      <c r="D204" s="137"/>
      <c r="E204" s="97"/>
      <c r="F204" s="90"/>
      <c r="G204" s="90"/>
      <c r="H204" s="92"/>
      <c r="I204" s="97"/>
      <c r="J204" s="97"/>
      <c r="K204" s="90"/>
      <c r="L204" s="90"/>
      <c r="M204" s="90"/>
      <c r="N204" s="81"/>
    </row>
    <row r="205" spans="2:14">
      <c r="B205" s="80"/>
      <c r="C205" s="90"/>
      <c r="D205" s="100" t="s">
        <v>564</v>
      </c>
      <c r="E205" s="97"/>
      <c r="F205" s="83">
        <v>0</v>
      </c>
      <c r="G205" s="90"/>
      <c r="H205" s="90"/>
      <c r="I205" s="97"/>
      <c r="J205" s="97"/>
      <c r="K205" s="90"/>
      <c r="L205" s="90"/>
      <c r="M205" s="90"/>
      <c r="N205" s="81"/>
    </row>
    <row r="206" spans="2:14">
      <c r="B206" s="80"/>
      <c r="C206" s="90"/>
      <c r="D206" s="137"/>
      <c r="E206" s="90"/>
      <c r="F206" s="90"/>
      <c r="G206" s="90"/>
      <c r="H206" s="92"/>
      <c r="I206" s="216"/>
      <c r="J206" s="201" t="s">
        <v>531</v>
      </c>
      <c r="K206" s="132" t="s">
        <v>79</v>
      </c>
      <c r="L206" s="90"/>
      <c r="M206" s="90"/>
      <c r="N206" s="81"/>
    </row>
    <row r="207" spans="2:14">
      <c r="B207" s="80"/>
      <c r="C207" s="90"/>
      <c r="D207" s="137"/>
      <c r="E207" s="90"/>
      <c r="F207" s="90"/>
      <c r="G207" s="90"/>
      <c r="H207" s="92"/>
      <c r="I207" s="97"/>
      <c r="J207" s="97"/>
      <c r="K207" s="90"/>
      <c r="L207" s="90"/>
      <c r="M207" s="90"/>
      <c r="N207" s="81"/>
    </row>
    <row r="208" spans="2:14">
      <c r="B208" s="80"/>
      <c r="C208" s="90"/>
      <c r="D208" s="137" t="s">
        <v>285</v>
      </c>
      <c r="E208" s="90"/>
      <c r="F208" s="90"/>
      <c r="G208" s="90"/>
      <c r="H208" s="84">
        <v>0</v>
      </c>
      <c r="I208" s="137"/>
      <c r="J208" s="123"/>
      <c r="K208" s="83"/>
      <c r="L208" s="90"/>
      <c r="M208" s="90"/>
      <c r="N208" s="81"/>
    </row>
    <row r="209" spans="2:14">
      <c r="B209" s="80"/>
      <c r="C209" s="90"/>
      <c r="D209" s="137" t="s">
        <v>286</v>
      </c>
      <c r="E209" s="90"/>
      <c r="F209" s="90"/>
      <c r="G209" s="90"/>
      <c r="H209" s="84">
        <v>0</v>
      </c>
      <c r="I209" s="137"/>
      <c r="J209" s="123"/>
      <c r="K209" s="83"/>
      <c r="L209" s="90"/>
      <c r="M209" s="90"/>
      <c r="N209" s="81"/>
    </row>
    <row r="210" spans="2:14">
      <c r="B210" s="80"/>
      <c r="C210" s="90"/>
      <c r="D210" s="137" t="s">
        <v>287</v>
      </c>
      <c r="E210" s="90"/>
      <c r="F210" s="90"/>
      <c r="G210" s="90"/>
      <c r="H210" s="84">
        <v>0</v>
      </c>
      <c r="I210" s="137"/>
      <c r="J210" s="123"/>
      <c r="K210" s="83"/>
      <c r="L210" s="90"/>
      <c r="M210" s="90"/>
      <c r="N210" s="81"/>
    </row>
    <row r="211" spans="2:14">
      <c r="B211" s="80"/>
      <c r="C211" s="90"/>
      <c r="D211" s="137" t="s">
        <v>288</v>
      </c>
      <c r="E211" s="90"/>
      <c r="F211" s="90"/>
      <c r="G211" s="90"/>
      <c r="H211" s="84">
        <v>0</v>
      </c>
      <c r="I211" s="137"/>
      <c r="J211" s="123"/>
      <c r="K211" s="83"/>
      <c r="L211" s="90"/>
      <c r="M211" s="90"/>
      <c r="N211" s="81"/>
    </row>
    <row r="212" spans="2:14">
      <c r="B212" s="80"/>
      <c r="C212" s="90"/>
      <c r="D212" s="137" t="s">
        <v>289</v>
      </c>
      <c r="E212" s="90"/>
      <c r="F212" s="90"/>
      <c r="G212" s="90"/>
      <c r="H212" s="84">
        <v>0</v>
      </c>
      <c r="I212" s="137"/>
      <c r="J212" s="123"/>
      <c r="K212" s="83"/>
      <c r="L212" s="90"/>
      <c r="M212" s="90"/>
      <c r="N212" s="81"/>
    </row>
    <row r="213" spans="2:14">
      <c r="B213" s="80"/>
      <c r="C213" s="90"/>
      <c r="D213" s="137" t="s">
        <v>295</v>
      </c>
      <c r="E213" s="90"/>
      <c r="F213" s="90"/>
      <c r="G213" s="90"/>
      <c r="H213" s="171">
        <f>SUM(H208:H212)</f>
        <v>0</v>
      </c>
      <c r="I213" s="97"/>
      <c r="J213" s="97"/>
      <c r="K213" s="130">
        <f>SUM(K208:K212)</f>
        <v>0</v>
      </c>
      <c r="L213" s="130">
        <f>+K213*F205</f>
        <v>0</v>
      </c>
      <c r="M213" s="90"/>
      <c r="N213" s="81"/>
    </row>
    <row r="214" spans="2:14">
      <c r="B214" s="80"/>
      <c r="C214" s="90"/>
      <c r="D214" s="137" t="s">
        <v>337</v>
      </c>
      <c r="E214" s="90"/>
      <c r="F214" s="90"/>
      <c r="G214" s="90"/>
      <c r="H214" s="107">
        <f>ROUND(H213*F205,0)</f>
        <v>0</v>
      </c>
      <c r="I214" s="97"/>
      <c r="J214" s="97"/>
      <c r="K214" s="90"/>
      <c r="L214" s="90"/>
      <c r="M214" s="90"/>
      <c r="N214" s="81"/>
    </row>
    <row r="215" spans="2:14">
      <c r="B215" s="80"/>
      <c r="C215" s="90"/>
      <c r="D215" s="137"/>
      <c r="E215" s="97"/>
      <c r="F215" s="90"/>
      <c r="G215" s="90"/>
      <c r="H215" s="92"/>
      <c r="I215" s="97"/>
      <c r="J215" s="97"/>
      <c r="K215" s="90"/>
      <c r="L215" s="90"/>
      <c r="M215" s="90"/>
      <c r="N215" s="81"/>
    </row>
    <row r="216" spans="2:14">
      <c r="B216" s="80"/>
      <c r="D216" s="160"/>
      <c r="E216" s="85"/>
      <c r="H216" s="75"/>
      <c r="I216" s="85"/>
      <c r="J216" s="85"/>
      <c r="N216" s="81"/>
    </row>
    <row r="217" spans="2:14">
      <c r="B217" s="80"/>
      <c r="C217" s="90"/>
      <c r="D217" s="137"/>
      <c r="E217" s="97"/>
      <c r="F217" s="90"/>
      <c r="G217" s="90"/>
      <c r="H217" s="92"/>
      <c r="I217" s="97"/>
      <c r="J217" s="97"/>
      <c r="K217" s="90"/>
      <c r="L217" s="90"/>
      <c r="M217" s="90"/>
      <c r="N217" s="81"/>
    </row>
    <row r="218" spans="2:14">
      <c r="B218" s="80"/>
      <c r="C218" s="90"/>
      <c r="D218" s="100" t="s">
        <v>565</v>
      </c>
      <c r="E218" s="90"/>
      <c r="F218" s="83">
        <v>0</v>
      </c>
      <c r="G218" s="90"/>
      <c r="H218" s="90"/>
      <c r="I218" s="97"/>
      <c r="J218" s="97"/>
      <c r="K218" s="90"/>
      <c r="L218" s="90"/>
      <c r="M218" s="90"/>
      <c r="N218" s="81"/>
    </row>
    <row r="219" spans="2:14">
      <c r="B219" s="80"/>
      <c r="C219" s="90"/>
      <c r="D219" s="137"/>
      <c r="E219" s="90"/>
      <c r="F219" s="90"/>
      <c r="G219" s="90"/>
      <c r="H219" s="92"/>
      <c r="I219" s="216"/>
      <c r="J219" s="201" t="s">
        <v>531</v>
      </c>
      <c r="K219" s="132" t="s">
        <v>79</v>
      </c>
      <c r="L219" s="90"/>
      <c r="M219" s="90"/>
      <c r="N219" s="81"/>
    </row>
    <row r="220" spans="2:14">
      <c r="B220" s="80"/>
      <c r="C220" s="90"/>
      <c r="D220" s="137"/>
      <c r="E220" s="90"/>
      <c r="F220" s="90"/>
      <c r="G220" s="90"/>
      <c r="H220" s="92"/>
      <c r="I220" s="97"/>
      <c r="J220" s="97"/>
      <c r="K220" s="90"/>
      <c r="L220" s="90"/>
      <c r="M220" s="90"/>
      <c r="N220" s="81"/>
    </row>
    <row r="221" spans="2:14">
      <c r="B221" s="80"/>
      <c r="C221" s="90"/>
      <c r="D221" s="137" t="s">
        <v>285</v>
      </c>
      <c r="E221" s="90"/>
      <c r="F221" s="90"/>
      <c r="G221" s="90"/>
      <c r="H221" s="84">
        <v>0</v>
      </c>
      <c r="I221" s="137"/>
      <c r="J221" s="123"/>
      <c r="K221" s="83"/>
      <c r="L221" s="90"/>
      <c r="M221" s="90"/>
      <c r="N221" s="81"/>
    </row>
    <row r="222" spans="2:14">
      <c r="B222" s="80"/>
      <c r="C222" s="90"/>
      <c r="D222" s="137" t="s">
        <v>286</v>
      </c>
      <c r="E222" s="90"/>
      <c r="F222" s="90"/>
      <c r="G222" s="90"/>
      <c r="H222" s="84">
        <v>0</v>
      </c>
      <c r="I222" s="137"/>
      <c r="J222" s="123"/>
      <c r="K222" s="83"/>
      <c r="L222" s="90"/>
      <c r="M222" s="90"/>
      <c r="N222" s="81"/>
    </row>
    <row r="223" spans="2:14">
      <c r="B223" s="80"/>
      <c r="C223" s="90"/>
      <c r="D223" s="137" t="s">
        <v>287</v>
      </c>
      <c r="E223" s="90"/>
      <c r="F223" s="90"/>
      <c r="G223" s="90"/>
      <c r="H223" s="84">
        <v>0</v>
      </c>
      <c r="I223" s="137"/>
      <c r="J223" s="123"/>
      <c r="K223" s="83"/>
      <c r="L223" s="90"/>
      <c r="M223" s="90"/>
      <c r="N223" s="81"/>
    </row>
    <row r="224" spans="2:14">
      <c r="B224" s="80"/>
      <c r="C224" s="90"/>
      <c r="D224" s="137" t="s">
        <v>288</v>
      </c>
      <c r="E224" s="90"/>
      <c r="F224" s="90"/>
      <c r="G224" s="90"/>
      <c r="H224" s="84">
        <v>0</v>
      </c>
      <c r="I224" s="137"/>
      <c r="J224" s="123"/>
      <c r="K224" s="83"/>
      <c r="L224" s="90"/>
      <c r="M224" s="90"/>
      <c r="N224" s="81"/>
    </row>
    <row r="225" spans="2:14">
      <c r="B225" s="80"/>
      <c r="C225" s="90"/>
      <c r="D225" s="137" t="s">
        <v>289</v>
      </c>
      <c r="E225" s="90"/>
      <c r="F225" s="90"/>
      <c r="G225" s="90"/>
      <c r="H225" s="84">
        <v>0</v>
      </c>
      <c r="I225" s="137"/>
      <c r="J225" s="123"/>
      <c r="K225" s="83"/>
      <c r="L225" s="90"/>
      <c r="M225" s="90"/>
      <c r="N225" s="81"/>
    </row>
    <row r="226" spans="2:14">
      <c r="B226" s="80"/>
      <c r="C226" s="90"/>
      <c r="D226" s="137" t="s">
        <v>295</v>
      </c>
      <c r="E226" s="90"/>
      <c r="F226" s="90"/>
      <c r="G226" s="90"/>
      <c r="H226" s="171">
        <f>SUM(H221:H225)</f>
        <v>0</v>
      </c>
      <c r="I226" s="97"/>
      <c r="J226" s="97"/>
      <c r="K226" s="130">
        <f>SUM(K221:K225)</f>
        <v>0</v>
      </c>
      <c r="L226" s="130">
        <f>+K226*F218</f>
        <v>0</v>
      </c>
      <c r="M226" s="90"/>
      <c r="N226" s="81"/>
    </row>
    <row r="227" spans="2:14">
      <c r="B227" s="80"/>
      <c r="C227" s="90"/>
      <c r="D227" s="137" t="s">
        <v>337</v>
      </c>
      <c r="E227" s="90"/>
      <c r="F227" s="90"/>
      <c r="G227" s="90"/>
      <c r="H227" s="107">
        <f>ROUND(H226*F218,0)</f>
        <v>0</v>
      </c>
      <c r="I227" s="97"/>
      <c r="J227" s="97"/>
      <c r="K227" s="90"/>
      <c r="L227" s="90"/>
      <c r="M227" s="90"/>
      <c r="N227" s="81"/>
    </row>
    <row r="228" spans="2:14">
      <c r="B228" s="80"/>
      <c r="C228" s="90"/>
      <c r="D228" s="90"/>
      <c r="E228" s="90"/>
      <c r="F228" s="90"/>
      <c r="G228" s="90"/>
      <c r="H228" s="90"/>
      <c r="I228" s="90"/>
      <c r="J228" s="90"/>
      <c r="K228" s="90"/>
      <c r="L228" s="90"/>
      <c r="M228" s="90"/>
      <c r="N228" s="81"/>
    </row>
    <row r="229" spans="2:14">
      <c r="B229" s="80"/>
      <c r="N229" s="81"/>
    </row>
    <row r="230" spans="2:14">
      <c r="B230" s="80"/>
      <c r="C230" s="90"/>
      <c r="D230" s="90"/>
      <c r="E230" s="90"/>
      <c r="F230" s="90"/>
      <c r="G230" s="90"/>
      <c r="H230" s="90"/>
      <c r="I230" s="90"/>
      <c r="J230" s="90"/>
      <c r="K230" s="90"/>
      <c r="L230" s="90"/>
      <c r="M230" s="90"/>
      <c r="N230" s="81"/>
    </row>
    <row r="231" spans="2:14">
      <c r="B231" s="80"/>
      <c r="C231" s="90"/>
      <c r="D231" s="93" t="s">
        <v>338</v>
      </c>
      <c r="E231" s="90"/>
      <c r="F231" s="90"/>
      <c r="G231" s="90"/>
      <c r="H231" s="145">
        <f>+H188+H201+H214+H227</f>
        <v>1020</v>
      </c>
      <c r="I231" s="90"/>
      <c r="J231" s="90"/>
      <c r="K231" s="150" t="s">
        <v>84</v>
      </c>
      <c r="L231" s="122">
        <f>+L187+L200+L213+L226</f>
        <v>0</v>
      </c>
      <c r="M231" s="90"/>
      <c r="N231" s="81"/>
    </row>
    <row r="232" spans="2:14">
      <c r="B232" s="80"/>
      <c r="C232" s="90"/>
      <c r="D232" s="90"/>
      <c r="E232" s="90"/>
      <c r="F232" s="90"/>
      <c r="G232" s="90"/>
      <c r="H232" s="90"/>
      <c r="I232" s="90"/>
      <c r="J232" s="90"/>
      <c r="K232" s="90"/>
      <c r="L232" s="90"/>
      <c r="M232" s="90"/>
      <c r="N232" s="81"/>
    </row>
    <row r="233" spans="2:14">
      <c r="B233" s="80"/>
      <c r="N233" s="81"/>
    </row>
    <row r="234" spans="2:14">
      <c r="B234" s="80"/>
      <c r="N234" s="81"/>
    </row>
    <row r="235" spans="2:14">
      <c r="B235" s="80"/>
      <c r="N235" s="81"/>
    </row>
    <row r="236" spans="2:14">
      <c r="B236" s="80"/>
      <c r="C236" s="90"/>
      <c r="D236" s="90"/>
      <c r="E236" s="90"/>
      <c r="F236" s="90"/>
      <c r="G236" s="90"/>
      <c r="H236" s="90"/>
      <c r="I236" s="90"/>
      <c r="J236" s="90"/>
      <c r="K236" s="90"/>
      <c r="L236" s="90"/>
      <c r="M236" s="90"/>
      <c r="N236" s="81"/>
    </row>
    <row r="237" spans="2:14">
      <c r="B237" s="80"/>
      <c r="C237" s="90"/>
      <c r="D237" s="93" t="s">
        <v>299</v>
      </c>
      <c r="E237" s="90"/>
      <c r="F237" s="90"/>
      <c r="G237" s="90"/>
      <c r="H237" s="90"/>
      <c r="I237" s="90"/>
      <c r="J237" s="90"/>
      <c r="K237" s="90"/>
      <c r="L237" s="90"/>
      <c r="M237" s="90"/>
      <c r="N237" s="81"/>
    </row>
    <row r="238" spans="2:14">
      <c r="B238" s="80"/>
      <c r="C238" s="90"/>
      <c r="D238" s="122"/>
      <c r="E238" s="90"/>
      <c r="F238" s="90"/>
      <c r="G238" s="90"/>
      <c r="H238" s="90"/>
      <c r="I238" s="90"/>
      <c r="J238" s="90"/>
      <c r="K238" s="90"/>
      <c r="L238" s="90"/>
      <c r="M238" s="90"/>
      <c r="N238" s="81"/>
    </row>
    <row r="239" spans="2:14">
      <c r="B239" s="80"/>
      <c r="C239" s="90"/>
      <c r="D239" s="132" t="s">
        <v>292</v>
      </c>
      <c r="E239" s="132"/>
      <c r="F239" s="132" t="s">
        <v>304</v>
      </c>
      <c r="G239" s="132"/>
      <c r="H239" s="132" t="s">
        <v>300</v>
      </c>
      <c r="I239" s="90"/>
      <c r="J239" s="90"/>
      <c r="K239" s="90"/>
      <c r="L239" s="90"/>
      <c r="M239" s="90"/>
      <c r="N239" s="81"/>
    </row>
    <row r="240" spans="2:14">
      <c r="B240" s="80"/>
      <c r="C240" s="90"/>
      <c r="D240" s="132"/>
      <c r="E240" s="132"/>
      <c r="F240" s="132"/>
      <c r="G240" s="132"/>
      <c r="H240" s="132"/>
      <c r="I240" s="90"/>
      <c r="J240" s="90"/>
      <c r="K240" s="90"/>
      <c r="L240" s="90"/>
      <c r="M240" s="90"/>
      <c r="N240" s="81"/>
    </row>
    <row r="241" spans="2:14">
      <c r="B241" s="80"/>
      <c r="C241" s="90"/>
      <c r="D241" s="94" t="s">
        <v>303</v>
      </c>
      <c r="E241" s="94"/>
      <c r="F241" s="144">
        <v>0.35</v>
      </c>
      <c r="G241" s="90"/>
      <c r="H241" s="264">
        <f>ROUND(+H172*F241,0)</f>
        <v>124</v>
      </c>
      <c r="I241" s="90"/>
      <c r="J241" s="90"/>
      <c r="K241" s="90"/>
      <c r="L241" s="90"/>
      <c r="M241" s="90"/>
      <c r="N241" s="81"/>
    </row>
    <row r="242" spans="2:14">
      <c r="B242" s="80"/>
      <c r="C242" s="90"/>
      <c r="D242" s="112"/>
      <c r="E242" s="94"/>
      <c r="F242" s="90"/>
      <c r="G242" s="90"/>
      <c r="H242" s="83">
        <v>0</v>
      </c>
      <c r="I242" s="90"/>
      <c r="J242" s="90"/>
      <c r="K242" s="90"/>
      <c r="L242" s="90"/>
      <c r="M242" s="90"/>
      <c r="N242" s="81"/>
    </row>
    <row r="243" spans="2:14">
      <c r="B243" s="80"/>
      <c r="C243" s="90"/>
      <c r="D243" s="112"/>
      <c r="E243" s="94"/>
      <c r="F243" s="90"/>
      <c r="G243" s="90"/>
      <c r="H243" s="83">
        <v>0</v>
      </c>
      <c r="I243" s="90"/>
      <c r="J243" s="90"/>
      <c r="K243" s="90"/>
      <c r="L243" s="90"/>
      <c r="M243" s="90"/>
      <c r="N243" s="81"/>
    </row>
    <row r="244" spans="2:14">
      <c r="B244" s="80"/>
      <c r="C244" s="90"/>
      <c r="D244" s="112"/>
      <c r="E244" s="94"/>
      <c r="F244" s="90"/>
      <c r="G244" s="90"/>
      <c r="H244" s="83">
        <v>0</v>
      </c>
      <c r="I244" s="90"/>
      <c r="J244" s="90"/>
      <c r="K244" s="90"/>
      <c r="L244" s="90"/>
      <c r="M244" s="90"/>
      <c r="N244" s="81"/>
    </row>
    <row r="245" spans="2:14">
      <c r="B245" s="80"/>
      <c r="C245" s="90"/>
      <c r="D245" s="112"/>
      <c r="E245" s="94"/>
      <c r="F245" s="90"/>
      <c r="G245" s="90"/>
      <c r="H245" s="83">
        <v>0</v>
      </c>
      <c r="I245" s="90"/>
      <c r="J245" s="90"/>
      <c r="K245" s="90"/>
      <c r="L245" s="90"/>
      <c r="M245" s="90"/>
      <c r="N245" s="81"/>
    </row>
    <row r="246" spans="2:14">
      <c r="B246" s="80"/>
      <c r="C246" s="90"/>
      <c r="D246" s="93" t="s">
        <v>301</v>
      </c>
      <c r="E246" s="90"/>
      <c r="F246" s="90"/>
      <c r="G246" s="90"/>
      <c r="H246" s="145">
        <f>SUM(H241:H245)</f>
        <v>124</v>
      </c>
      <c r="I246" s="119"/>
      <c r="J246" s="90"/>
      <c r="K246" s="90"/>
      <c r="L246" s="90"/>
      <c r="M246" s="90"/>
      <c r="N246" s="81"/>
    </row>
    <row r="247" spans="2:14">
      <c r="B247" s="80"/>
      <c r="C247" s="90"/>
      <c r="D247" s="90"/>
      <c r="E247" s="90"/>
      <c r="F247" s="90"/>
      <c r="G247" s="90"/>
      <c r="H247" s="92"/>
      <c r="I247" s="90"/>
      <c r="J247" s="90"/>
      <c r="K247" s="90"/>
      <c r="L247" s="90"/>
      <c r="M247" s="90"/>
      <c r="N247" s="81"/>
    </row>
    <row r="248" spans="2:14">
      <c r="B248" s="80"/>
      <c r="H248" s="75"/>
      <c r="N248" s="81"/>
    </row>
    <row r="249" spans="2:14">
      <c r="B249" s="80"/>
      <c r="H249" s="75"/>
      <c r="N249" s="81"/>
    </row>
    <row r="250" spans="2:14">
      <c r="B250" s="80"/>
      <c r="C250" s="90"/>
      <c r="D250" s="90"/>
      <c r="E250" s="90"/>
      <c r="F250" s="90"/>
      <c r="G250" s="90"/>
      <c r="H250" s="92"/>
      <c r="I250" s="90"/>
      <c r="J250" s="90"/>
      <c r="K250" s="90"/>
      <c r="L250" s="90"/>
      <c r="M250" s="90"/>
      <c r="N250" s="81"/>
    </row>
    <row r="251" spans="2:14">
      <c r="B251" s="80"/>
      <c r="C251" s="90"/>
      <c r="D251" s="93" t="s">
        <v>85</v>
      </c>
      <c r="E251" s="90"/>
      <c r="F251" s="90"/>
      <c r="G251" s="90"/>
      <c r="H251" s="139">
        <f>+H172+H246</f>
        <v>477</v>
      </c>
      <c r="I251" s="119"/>
      <c r="J251" s="90"/>
      <c r="K251" s="90"/>
      <c r="L251" s="90"/>
      <c r="M251" s="90"/>
      <c r="N251" s="81"/>
    </row>
    <row r="252" spans="2:14">
      <c r="B252" s="80"/>
      <c r="C252" s="90"/>
      <c r="D252" s="93" t="s">
        <v>470</v>
      </c>
      <c r="E252" s="90"/>
      <c r="F252" s="90"/>
      <c r="G252" s="90"/>
      <c r="H252" s="139">
        <f>+H231</f>
        <v>1020</v>
      </c>
      <c r="I252" s="119"/>
      <c r="J252" s="176"/>
      <c r="K252" s="90"/>
      <c r="L252" s="90"/>
      <c r="M252" s="90"/>
      <c r="N252" s="81"/>
    </row>
    <row r="253" spans="2:14">
      <c r="B253" s="80"/>
      <c r="C253" s="90"/>
      <c r="D253" s="93" t="s">
        <v>343</v>
      </c>
      <c r="E253" s="90"/>
      <c r="F253" s="90"/>
      <c r="G253" s="90"/>
      <c r="H253" s="139">
        <f>+H100</f>
        <v>0</v>
      </c>
      <c r="I253" s="119"/>
      <c r="J253" s="90"/>
      <c r="K253" s="90"/>
      <c r="L253" s="90"/>
      <c r="M253" s="90"/>
      <c r="N253" s="81"/>
    </row>
    <row r="254" spans="2:14">
      <c r="B254" s="80"/>
      <c r="C254" s="90"/>
      <c r="D254" s="93" t="s">
        <v>293</v>
      </c>
      <c r="E254" s="90"/>
      <c r="F254" s="90"/>
      <c r="G254" s="90"/>
      <c r="H254" s="101">
        <f>+H105</f>
        <v>166</v>
      </c>
      <c r="I254" s="93"/>
      <c r="J254" s="90"/>
      <c r="K254" s="90"/>
      <c r="L254" s="90"/>
      <c r="M254" s="90"/>
      <c r="N254" s="81"/>
    </row>
    <row r="255" spans="2:14">
      <c r="B255" s="80"/>
      <c r="C255" s="90"/>
      <c r="D255" s="90"/>
      <c r="E255" s="90"/>
      <c r="F255" s="90"/>
      <c r="G255" s="90"/>
      <c r="H255" s="92"/>
      <c r="I255" s="90"/>
      <c r="J255" s="90"/>
      <c r="K255" s="90"/>
      <c r="L255" s="90"/>
      <c r="M255" s="90"/>
      <c r="N255" s="81"/>
    </row>
    <row r="256" spans="2:14">
      <c r="B256" s="80"/>
      <c r="C256" s="90"/>
      <c r="D256" s="93" t="s">
        <v>294</v>
      </c>
      <c r="E256" s="90"/>
      <c r="F256" s="90"/>
      <c r="G256" s="90"/>
      <c r="H256" s="145">
        <f>+H251+H252+H253+H254</f>
        <v>1663</v>
      </c>
      <c r="I256" s="119"/>
      <c r="J256" s="90"/>
      <c r="K256" s="90"/>
      <c r="L256" s="90"/>
      <c r="M256" s="90"/>
      <c r="N256" s="81"/>
    </row>
    <row r="257" spans="2:14">
      <c r="B257" s="80"/>
      <c r="C257" s="90"/>
      <c r="D257" s="122" t="s">
        <v>348</v>
      </c>
      <c r="E257" s="122"/>
      <c r="F257" s="122"/>
      <c r="G257" s="122"/>
      <c r="H257" s="149">
        <f>+H91</f>
        <v>1659</v>
      </c>
      <c r="I257" s="176"/>
      <c r="J257" s="90"/>
      <c r="K257" s="90"/>
      <c r="L257" s="90"/>
      <c r="M257" s="90"/>
      <c r="N257" s="81"/>
    </row>
    <row r="258" spans="2:14">
      <c r="B258" s="80"/>
      <c r="C258" s="122"/>
      <c r="D258" s="122" t="s">
        <v>351</v>
      </c>
      <c r="E258" s="122"/>
      <c r="F258" s="122"/>
      <c r="G258" s="90"/>
      <c r="H258" s="148">
        <f>+H256-H257</f>
        <v>4</v>
      </c>
      <c r="I258" s="176"/>
      <c r="J258" s="90"/>
      <c r="K258" s="90"/>
      <c r="L258" s="90"/>
      <c r="M258" s="90"/>
      <c r="N258" s="81"/>
    </row>
    <row r="259" spans="2:14">
      <c r="B259" s="80"/>
      <c r="C259" s="90"/>
      <c r="D259" s="90"/>
      <c r="E259" s="90"/>
      <c r="F259" s="90"/>
      <c r="G259" s="90"/>
      <c r="H259" s="92"/>
      <c r="I259" s="90"/>
      <c r="J259" s="90"/>
      <c r="K259" s="90"/>
      <c r="L259" s="90"/>
      <c r="M259" s="90"/>
      <c r="N259" s="81"/>
    </row>
    <row r="260" spans="2:14">
      <c r="B260" s="80"/>
      <c r="N260" s="81"/>
    </row>
    <row r="261" spans="2:14" ht="13.5" thickBot="1">
      <c r="B261" s="86"/>
      <c r="C261" s="87"/>
      <c r="D261" s="87"/>
      <c r="E261" s="87"/>
      <c r="F261" s="87"/>
      <c r="G261" s="87"/>
      <c r="H261" s="87"/>
      <c r="I261" s="87"/>
      <c r="J261" s="87"/>
      <c r="K261" s="87"/>
      <c r="L261" s="87"/>
      <c r="M261" s="87"/>
      <c r="N261" s="89"/>
    </row>
  </sheetData>
  <sheetProtection password="DE55" sheet="1" objects="1" scenarios="1"/>
  <phoneticPr fontId="0" type="noConversion"/>
  <dataValidations count="3">
    <dataValidation type="decimal" allowBlank="1" showInputMessage="1" showErrorMessage="1" error="De door u ingevoerde waarde aan PABO uren is niet beschikbaar" sqref="H100">
      <formula1>0</formula1>
      <formula2>X47</formula2>
    </dataValidation>
    <dataValidation type="list" allowBlank="1" showInputMessage="1" showErrorMessage="1" sqref="F11">
      <formula1>"Directeur,Adjunct-directeur,Lokatieleider"</formula1>
    </dataValidation>
    <dataValidation type="list" allowBlank="1" showInputMessage="1" showErrorMessage="1" sqref="F21">
      <formula1>$R$12:$R$22</formula1>
    </dataValidation>
  </dataValidations>
  <printOptions gridLines="1"/>
  <pageMargins left="0.75" right="0.75" top="1" bottom="1" header="0.5" footer="0.5"/>
  <pageSetup paperSize="9" scale="49" orientation="portrait" verticalDpi="0" r:id="rId1"/>
  <headerFooter alignWithMargins="0">
    <oddHeader>&amp;L&amp;"Arial,Vet"&amp;F&amp;C&amp;"Arial,Vet"&amp;A&amp;R&amp;"Arial,Vet"&amp;D</oddHeader>
    <oddFooter>&amp;L&amp;"Arial,Vet"VOS/ABB&amp;C&amp;"Arial,Vet"&amp;P&amp;R&amp;"Arial,Vet"Toolbox</oddFooter>
  </headerFooter>
  <rowBreaks count="2" manualBreakCount="2">
    <brk id="110" min="1" max="13" man="1"/>
    <brk id="174" min="1" max="13" man="1"/>
  </rowBreaks>
  <drawing r:id="rId2"/>
  <legacyDrawing r:id="rId3"/>
</worksheet>
</file>

<file path=xl/worksheets/sheet8.xml><?xml version="1.0" encoding="utf-8"?>
<worksheet xmlns="http://schemas.openxmlformats.org/spreadsheetml/2006/main" xmlns:r="http://schemas.openxmlformats.org/officeDocument/2006/relationships">
  <dimension ref="B1:AY256"/>
  <sheetViews>
    <sheetView zoomScale="85" zoomScaleNormal="85" workbookViewId="0">
      <selection activeCell="B2" sqref="B2"/>
    </sheetView>
  </sheetViews>
  <sheetFormatPr defaultRowHeight="12.75"/>
  <cols>
    <col min="1" max="1" width="5.7109375" style="71" customWidth="1"/>
    <col min="2" max="3" width="2.7109375" style="71" customWidth="1"/>
    <col min="4" max="4" width="45.7109375" style="71" customWidth="1"/>
    <col min="5" max="5" width="2.7109375" style="71" customWidth="1"/>
    <col min="6" max="8" width="14.85546875" style="71" customWidth="1"/>
    <col min="9" max="9" width="1.7109375" style="71" customWidth="1"/>
    <col min="10" max="11" width="14.85546875" style="71" customWidth="1"/>
    <col min="12" max="12" width="10.28515625" style="71" customWidth="1"/>
    <col min="13" max="14" width="2.5703125" style="71" customWidth="1"/>
    <col min="15" max="15" width="14" style="71" customWidth="1"/>
    <col min="16" max="16" width="9.42578125" style="71" bestFit="1" customWidth="1"/>
    <col min="17" max="17" width="10.7109375" style="71" hidden="1" customWidth="1"/>
    <col min="18" max="19" width="9.140625" style="71" hidden="1" customWidth="1"/>
    <col min="20" max="20" width="10.7109375" style="71" hidden="1" customWidth="1"/>
    <col min="21" max="21" width="9.140625" style="71" hidden="1" customWidth="1"/>
    <col min="22" max="22" width="8.85546875" style="71" hidden="1" customWidth="1"/>
    <col min="23" max="23" width="9" style="71" hidden="1" customWidth="1"/>
    <col min="24" max="31" width="9.140625" style="71" hidden="1" customWidth="1"/>
    <col min="32" max="16384" width="9.140625" style="71"/>
  </cols>
  <sheetData>
    <row r="1" spans="2:24" ht="13.5" thickBot="1"/>
    <row r="2" spans="2:24">
      <c r="B2" s="76"/>
      <c r="C2" s="77"/>
      <c r="D2" s="77"/>
      <c r="E2" s="77"/>
      <c r="F2" s="77"/>
      <c r="G2" s="77"/>
      <c r="H2" s="77"/>
      <c r="I2" s="77"/>
      <c r="J2" s="77"/>
      <c r="K2" s="77"/>
      <c r="L2" s="77"/>
      <c r="M2" s="77"/>
      <c r="N2" s="79"/>
    </row>
    <row r="3" spans="2:24">
      <c r="B3" s="80"/>
      <c r="N3" s="81"/>
    </row>
    <row r="4" spans="2:24" ht="18">
      <c r="B4" s="80"/>
      <c r="C4" s="69" t="s">
        <v>87</v>
      </c>
      <c r="E4" s="67"/>
      <c r="G4" s="68"/>
      <c r="H4" s="68"/>
      <c r="N4" s="81"/>
    </row>
    <row r="5" spans="2:24">
      <c r="B5" s="80"/>
      <c r="D5" s="67"/>
      <c r="E5" s="67"/>
      <c r="N5" s="81"/>
    </row>
    <row r="6" spans="2:24">
      <c r="B6" s="80"/>
      <c r="C6" s="90"/>
      <c r="D6" s="93"/>
      <c r="E6" s="93"/>
      <c r="F6" s="90"/>
      <c r="G6" s="90"/>
      <c r="H6" s="90"/>
      <c r="I6" s="90"/>
      <c r="J6" s="90"/>
      <c r="K6" s="90"/>
      <c r="L6" s="90"/>
      <c r="M6" s="90"/>
      <c r="N6" s="81"/>
    </row>
    <row r="7" spans="2:24">
      <c r="B7" s="80"/>
      <c r="C7" s="90"/>
      <c r="D7" s="93" t="s">
        <v>282</v>
      </c>
      <c r="E7" s="90"/>
      <c r="F7" s="100" t="str">
        <f>+'wtf op en inzet (1)'!F8</f>
        <v>2013-2014</v>
      </c>
      <c r="G7" s="90"/>
      <c r="H7" s="90"/>
      <c r="I7" s="90"/>
      <c r="J7" s="90"/>
      <c r="K7" s="90"/>
      <c r="L7" s="90"/>
      <c r="M7" s="90"/>
      <c r="N7" s="81"/>
    </row>
    <row r="8" spans="2:24">
      <c r="B8" s="80"/>
      <c r="C8" s="90"/>
      <c r="D8" s="93"/>
      <c r="E8" s="93"/>
      <c r="F8" s="90"/>
      <c r="G8" s="90"/>
      <c r="H8" s="90"/>
      <c r="I8" s="90"/>
      <c r="J8" s="90"/>
      <c r="K8" s="90"/>
      <c r="L8" s="90"/>
      <c r="M8" s="90"/>
      <c r="N8" s="81"/>
    </row>
    <row r="9" spans="2:24">
      <c r="B9" s="80"/>
      <c r="C9" s="90"/>
      <c r="D9" s="90" t="s">
        <v>296</v>
      </c>
      <c r="E9" s="90"/>
      <c r="F9" s="123" t="s">
        <v>308</v>
      </c>
      <c r="G9" s="114"/>
      <c r="H9" s="112"/>
      <c r="I9" s="112"/>
      <c r="J9" s="112"/>
      <c r="K9" s="94"/>
      <c r="L9" s="94"/>
      <c r="M9" s="90"/>
      <c r="N9" s="81"/>
    </row>
    <row r="10" spans="2:24">
      <c r="B10" s="80"/>
      <c r="C10" s="90"/>
      <c r="D10" s="90" t="s">
        <v>297</v>
      </c>
      <c r="E10" s="90"/>
      <c r="F10" s="123" t="s">
        <v>604</v>
      </c>
      <c r="G10" s="114"/>
      <c r="H10" s="112"/>
      <c r="I10" s="112"/>
      <c r="J10" s="112"/>
      <c r="K10" s="94"/>
      <c r="L10" s="94"/>
      <c r="M10" s="90"/>
      <c r="N10" s="81"/>
      <c r="R10" s="71">
        <f>YEAR(F14-F12)</f>
        <v>1945</v>
      </c>
      <c r="T10" s="71">
        <f>+R10-1900</f>
        <v>45</v>
      </c>
    </row>
    <row r="11" spans="2:24">
      <c r="B11" s="80"/>
      <c r="C11" s="90"/>
      <c r="D11" s="90" t="s">
        <v>298</v>
      </c>
      <c r="E11" s="90"/>
      <c r="F11" s="123" t="s">
        <v>309</v>
      </c>
      <c r="G11" s="114"/>
      <c r="H11" s="112"/>
      <c r="I11" s="112"/>
      <c r="J11" s="112"/>
      <c r="K11" s="94"/>
      <c r="L11" s="94"/>
      <c r="M11" s="90"/>
      <c r="N11" s="81"/>
    </row>
    <row r="12" spans="2:24">
      <c r="B12" s="80"/>
      <c r="C12" s="90"/>
      <c r="D12" s="90" t="s">
        <v>322</v>
      </c>
      <c r="E12" s="90"/>
      <c r="F12" s="124">
        <v>25001</v>
      </c>
      <c r="G12" s="114"/>
      <c r="H12" s="112"/>
      <c r="I12" s="112"/>
      <c r="J12" s="114"/>
      <c r="K12" s="170"/>
      <c r="L12" s="90"/>
      <c r="M12" s="90"/>
      <c r="N12" s="81"/>
      <c r="R12" s="75" t="s">
        <v>396</v>
      </c>
      <c r="S12" s="75"/>
    </row>
    <row r="13" spans="2:24">
      <c r="B13" s="80"/>
      <c r="C13" s="90"/>
      <c r="D13" s="94" t="s">
        <v>315</v>
      </c>
      <c r="E13" s="94"/>
      <c r="F13" s="126">
        <f>+T10</f>
        <v>45</v>
      </c>
      <c r="G13" s="128"/>
      <c r="H13" s="125"/>
      <c r="I13" s="94"/>
      <c r="J13" s="94"/>
      <c r="K13" s="90"/>
      <c r="L13" s="94"/>
      <c r="M13" s="90"/>
      <c r="N13" s="81"/>
      <c r="R13" s="75" t="s">
        <v>397</v>
      </c>
      <c r="S13" s="75"/>
      <c r="T13" s="162">
        <v>40390</v>
      </c>
      <c r="U13" s="85"/>
      <c r="V13" s="163">
        <f>YEAR(T13-F12)</f>
        <v>1942</v>
      </c>
      <c r="W13" s="163"/>
      <c r="X13" s="71">
        <f>+V13-1900</f>
        <v>42</v>
      </c>
    </row>
    <row r="14" spans="2:24">
      <c r="B14" s="80"/>
      <c r="C14" s="90"/>
      <c r="D14" s="122" t="s">
        <v>323</v>
      </c>
      <c r="E14" s="122"/>
      <c r="F14" s="169">
        <f>+'wtf op en inzet (1)'!F15</f>
        <v>41487</v>
      </c>
      <c r="G14" s="90"/>
      <c r="H14" s="90"/>
      <c r="I14" s="90"/>
      <c r="J14" s="90"/>
      <c r="K14" s="94"/>
      <c r="L14" s="90"/>
      <c r="M14" s="90"/>
      <c r="N14" s="81"/>
      <c r="R14" s="75" t="s">
        <v>398</v>
      </c>
      <c r="S14" s="75"/>
      <c r="T14" s="115">
        <f>+F14</f>
        <v>41487</v>
      </c>
      <c r="U14" s="71">
        <f>YEAR(T14)</f>
        <v>2013</v>
      </c>
      <c r="V14" s="71">
        <f>YEAR(T14-F12)</f>
        <v>1945</v>
      </c>
      <c r="X14" s="71">
        <f>+V14-1900</f>
        <v>45</v>
      </c>
    </row>
    <row r="15" spans="2:24">
      <c r="B15" s="80"/>
      <c r="C15" s="90"/>
      <c r="D15" s="90"/>
      <c r="E15" s="90"/>
      <c r="F15" s="90"/>
      <c r="G15" s="90"/>
      <c r="H15" s="90"/>
      <c r="I15" s="90"/>
      <c r="J15" s="90"/>
      <c r="K15" s="90"/>
      <c r="L15" s="90"/>
      <c r="M15" s="90"/>
      <c r="N15" s="81"/>
      <c r="R15" s="75">
        <v>1</v>
      </c>
      <c r="S15" s="75"/>
      <c r="T15" s="115">
        <f>DATE(YEAR($T14)+1,MONTH($T14),DAY($T14))</f>
        <v>41852</v>
      </c>
      <c r="U15" s="71">
        <f>YEAR(T15)</f>
        <v>2014</v>
      </c>
      <c r="V15" s="71">
        <f>YEAR(T15-F12)</f>
        <v>1946</v>
      </c>
      <c r="X15" s="71">
        <f>+V15-1900</f>
        <v>46</v>
      </c>
    </row>
    <row r="16" spans="2:24">
      <c r="B16" s="80"/>
      <c r="N16" s="81"/>
      <c r="R16" s="75">
        <v>2</v>
      </c>
      <c r="S16" s="75"/>
    </row>
    <row r="17" spans="2:21">
      <c r="B17" s="80"/>
      <c r="C17" s="90"/>
      <c r="D17" s="90"/>
      <c r="E17" s="90"/>
      <c r="F17" s="90"/>
      <c r="G17" s="90"/>
      <c r="H17" s="90"/>
      <c r="I17" s="90"/>
      <c r="J17" s="90"/>
      <c r="K17" s="90"/>
      <c r="L17" s="90"/>
      <c r="M17" s="90"/>
      <c r="N17" s="81"/>
      <c r="R17" s="75">
        <v>3</v>
      </c>
      <c r="S17" s="75"/>
    </row>
    <row r="18" spans="2:21">
      <c r="B18" s="80"/>
      <c r="C18" s="90"/>
      <c r="D18" s="93" t="s">
        <v>463</v>
      </c>
      <c r="E18" s="93"/>
      <c r="F18" s="90"/>
      <c r="G18" s="90"/>
      <c r="H18" s="90"/>
      <c r="I18" s="90"/>
      <c r="J18" s="90"/>
      <c r="K18" s="90"/>
      <c r="L18" s="90"/>
      <c r="M18" s="90"/>
      <c r="N18" s="81"/>
      <c r="R18" s="75">
        <v>4</v>
      </c>
      <c r="S18" s="75"/>
    </row>
    <row r="19" spans="2:21">
      <c r="B19" s="80"/>
      <c r="C19" s="90"/>
      <c r="D19" s="93"/>
      <c r="E19" s="93"/>
      <c r="F19" s="90"/>
      <c r="G19" s="90"/>
      <c r="H19" s="90"/>
      <c r="I19" s="90"/>
      <c r="J19" s="90"/>
      <c r="K19" s="90"/>
      <c r="L19" s="90"/>
      <c r="M19" s="90"/>
      <c r="N19" s="81"/>
      <c r="R19" s="75">
        <v>5</v>
      </c>
      <c r="S19" s="75"/>
    </row>
    <row r="20" spans="2:21">
      <c r="B20" s="80"/>
      <c r="C20" s="90"/>
      <c r="D20" s="93" t="s">
        <v>536</v>
      </c>
      <c r="E20" s="93"/>
      <c r="F20" s="131" t="s">
        <v>396</v>
      </c>
      <c r="G20" s="104"/>
      <c r="H20" s="90"/>
      <c r="I20" s="90"/>
      <c r="J20" s="90"/>
      <c r="K20" s="90"/>
      <c r="L20" s="90"/>
      <c r="M20" s="90"/>
      <c r="N20" s="81"/>
      <c r="R20" s="75">
        <v>6</v>
      </c>
      <c r="S20" s="75"/>
    </row>
    <row r="21" spans="2:21">
      <c r="B21" s="80"/>
      <c r="C21" s="90"/>
      <c r="D21" s="93" t="s">
        <v>370</v>
      </c>
      <c r="E21" s="93"/>
      <c r="F21" s="107">
        <f>IF($F$20="1&amp;2",rooster!G13,IF($F$20="3&amp;4",rooster!G28,IF($F$20="5&amp;8",rooster!G43,rooster!G148)))</f>
        <v>40</v>
      </c>
      <c r="G21" s="90"/>
      <c r="H21" s="90"/>
      <c r="I21" s="90"/>
      <c r="J21" s="90"/>
      <c r="K21" s="90"/>
      <c r="L21" s="90"/>
      <c r="M21" s="90"/>
      <c r="N21" s="81"/>
      <c r="R21" s="75">
        <v>7</v>
      </c>
      <c r="S21" s="75"/>
    </row>
    <row r="22" spans="2:21">
      <c r="B22" s="80"/>
      <c r="C22" s="90"/>
      <c r="D22" s="93"/>
      <c r="E22" s="93"/>
      <c r="F22" s="93"/>
      <c r="G22" s="90"/>
      <c r="H22" s="90"/>
      <c r="I22" s="90"/>
      <c r="J22" s="90"/>
      <c r="K22" s="90"/>
      <c r="L22" s="90"/>
      <c r="M22" s="90"/>
      <c r="N22" s="81"/>
      <c r="R22" s="75">
        <v>8</v>
      </c>
      <c r="S22" s="75"/>
    </row>
    <row r="23" spans="2:21">
      <c r="B23" s="80"/>
      <c r="C23" s="90"/>
      <c r="D23" s="122" t="s">
        <v>364</v>
      </c>
      <c r="E23" s="90"/>
      <c r="F23" s="103" t="s">
        <v>365</v>
      </c>
      <c r="G23" s="103" t="s">
        <v>366</v>
      </c>
      <c r="H23" s="103" t="s">
        <v>321</v>
      </c>
      <c r="I23" s="103"/>
      <c r="J23" s="90"/>
      <c r="K23" s="90"/>
      <c r="L23" s="90"/>
      <c r="M23" s="90"/>
      <c r="N23" s="81"/>
      <c r="U23" s="71" t="s">
        <v>444</v>
      </c>
    </row>
    <row r="24" spans="2:21">
      <c r="B24" s="80"/>
      <c r="C24" s="90"/>
      <c r="D24" s="90"/>
      <c r="E24" s="90"/>
      <c r="F24" s="90"/>
      <c r="G24" s="90"/>
      <c r="H24" s="90"/>
      <c r="I24" s="90"/>
      <c r="J24" s="90"/>
      <c r="K24" s="90"/>
      <c r="L24" s="90"/>
      <c r="M24" s="90"/>
      <c r="N24" s="81"/>
      <c r="U24" s="71" t="s">
        <v>445</v>
      </c>
    </row>
    <row r="25" spans="2:21">
      <c r="B25" s="80"/>
      <c r="C25" s="90"/>
      <c r="D25" s="90" t="s">
        <v>285</v>
      </c>
      <c r="E25" s="90"/>
      <c r="F25" s="101">
        <f>IF($F$20="1&amp;2",rooster!G18,IF($F$20="3&amp;4",rooster!G33,IF($F$20="5&amp;8",rooster!G48,rooster!G153)))</f>
        <v>3.5</v>
      </c>
      <c r="G25" s="101">
        <f>IF($F$20="1&amp;2",rooster!H18,IF($F$20="3&amp;4",rooster!H33,IF($F$20="5&amp;8",rooster!H48,rooster!H153)))</f>
        <v>2</v>
      </c>
      <c r="H25" s="153">
        <f>SUM(F25:G25)</f>
        <v>5.5</v>
      </c>
      <c r="I25" s="99"/>
      <c r="J25" s="90"/>
      <c r="K25" s="90"/>
      <c r="L25" s="90"/>
      <c r="M25" s="90"/>
      <c r="N25" s="81"/>
    </row>
    <row r="26" spans="2:21">
      <c r="B26" s="80"/>
      <c r="C26" s="90"/>
      <c r="D26" s="90" t="s">
        <v>286</v>
      </c>
      <c r="E26" s="90"/>
      <c r="F26" s="101">
        <f>IF($F$20="1&amp;2",rooster!G19,IF($F$20="3&amp;4",rooster!G34,IF($F$20="5&amp;8",rooster!G49,rooster!G154)))</f>
        <v>3.5</v>
      </c>
      <c r="G26" s="101">
        <f>IF($F$20="1&amp;2",rooster!H19,IF($F$20="3&amp;4",rooster!H34,IF($F$20="5&amp;8",rooster!H49,rooster!H154)))</f>
        <v>2</v>
      </c>
      <c r="H26" s="153">
        <f>SUM(F26:G26)</f>
        <v>5.5</v>
      </c>
      <c r="I26" s="99"/>
      <c r="J26" s="90"/>
      <c r="K26" s="90"/>
      <c r="L26" s="90"/>
      <c r="M26" s="90"/>
      <c r="N26" s="81"/>
    </row>
    <row r="27" spans="2:21">
      <c r="B27" s="80"/>
      <c r="C27" s="90"/>
      <c r="D27" s="90" t="s">
        <v>287</v>
      </c>
      <c r="E27" s="90"/>
      <c r="F27" s="101">
        <f>IF($F$20="1&amp;2",rooster!G20,IF($F$20="3&amp;4",rooster!G35,IF($F$20="5&amp;8",rooster!G50,rooster!G155)))</f>
        <v>3.5</v>
      </c>
      <c r="G27" s="101">
        <f>IF($F$20="1&amp;2",rooster!H20,IF($F$20="3&amp;4",rooster!H35,IF($F$20="5&amp;8",rooster!H50,rooster!H155)))</f>
        <v>0</v>
      </c>
      <c r="H27" s="153">
        <f>SUM(F27:G27)</f>
        <v>3.5</v>
      </c>
      <c r="I27" s="99"/>
      <c r="J27" s="90"/>
      <c r="K27" s="90"/>
      <c r="L27" s="90"/>
      <c r="M27" s="90"/>
      <c r="N27" s="81"/>
    </row>
    <row r="28" spans="2:21">
      <c r="B28" s="80"/>
      <c r="C28" s="90"/>
      <c r="D28" s="90" t="s">
        <v>288</v>
      </c>
      <c r="E28" s="90"/>
      <c r="F28" s="101">
        <f>IF($F$20="1&amp;2",rooster!G21,IF($F$20="3&amp;4",rooster!G36,IF($F$20="5&amp;8",rooster!G51,rooster!G156)))</f>
        <v>3.5</v>
      </c>
      <c r="G28" s="101">
        <f>IF($F$20="1&amp;2",rooster!H21,IF($F$20="3&amp;4",rooster!H36,IF($F$20="5&amp;8",rooster!H51,rooster!H156)))</f>
        <v>2</v>
      </c>
      <c r="H28" s="153">
        <f>SUM(F28:G28)</f>
        <v>5.5</v>
      </c>
      <c r="I28" s="99"/>
      <c r="J28" s="90"/>
      <c r="K28" s="90"/>
      <c r="L28" s="90"/>
      <c r="M28" s="90"/>
      <c r="N28" s="81"/>
    </row>
    <row r="29" spans="2:21">
      <c r="B29" s="80"/>
      <c r="C29" s="90"/>
      <c r="D29" s="90" t="s">
        <v>289</v>
      </c>
      <c r="E29" s="90"/>
      <c r="F29" s="101">
        <f>IF($F$20="1&amp;2",rooster!G22,IF($F$20="3&amp;4",rooster!G37,IF($F$20="5&amp;8",rooster!G52,rooster!G157)))</f>
        <v>3.5</v>
      </c>
      <c r="G29" s="101">
        <f>IF($F$20="1&amp;2",rooster!H22,IF($F$20="3&amp;4",rooster!H37,IF($F$20="5&amp;8",rooster!H52,rooster!H157)))</f>
        <v>0</v>
      </c>
      <c r="H29" s="153">
        <f>SUM(F29:G29)</f>
        <v>3.5</v>
      </c>
      <c r="I29" s="99"/>
      <c r="J29" s="90"/>
      <c r="K29" s="90"/>
      <c r="L29" s="90"/>
      <c r="M29" s="90"/>
      <c r="N29" s="81"/>
      <c r="R29" s="71" t="s">
        <v>469</v>
      </c>
    </row>
    <row r="30" spans="2:21">
      <c r="B30" s="80"/>
      <c r="C30" s="90"/>
      <c r="D30" s="137" t="s">
        <v>295</v>
      </c>
      <c r="E30" s="90"/>
      <c r="F30" s="92"/>
      <c r="G30" s="92"/>
      <c r="H30" s="171">
        <f>SUM(H25:H29)</f>
        <v>23.5</v>
      </c>
      <c r="I30" s="99"/>
      <c r="J30" s="90"/>
      <c r="K30" s="90"/>
      <c r="L30" s="90"/>
      <c r="M30" s="90"/>
      <c r="N30" s="81"/>
      <c r="R30" s="71">
        <f>ROUND(+H44*1659/930,1)</f>
        <v>16.100000000000001</v>
      </c>
    </row>
    <row r="31" spans="2:21">
      <c r="B31" s="80"/>
      <c r="C31" s="90"/>
      <c r="D31" s="137" t="s">
        <v>367</v>
      </c>
      <c r="E31" s="90"/>
      <c r="F31" s="92"/>
      <c r="G31" s="92"/>
      <c r="H31" s="107">
        <f>ROUND(H30*F21,0)</f>
        <v>940</v>
      </c>
      <c r="I31" s="92"/>
      <c r="J31" s="90"/>
      <c r="K31" s="90"/>
      <c r="L31" s="90"/>
      <c r="M31" s="90"/>
      <c r="N31" s="81"/>
      <c r="R31" s="71">
        <f>ROUND(+H45*1659/930,0)</f>
        <v>642</v>
      </c>
    </row>
    <row r="32" spans="2:21">
      <c r="B32" s="80"/>
      <c r="C32" s="90"/>
      <c r="D32" s="90"/>
      <c r="E32" s="90"/>
      <c r="F32" s="90"/>
      <c r="G32" s="90"/>
      <c r="H32" s="90"/>
      <c r="I32" s="90"/>
      <c r="J32" s="90"/>
      <c r="K32" s="90"/>
      <c r="L32" s="90"/>
      <c r="M32" s="90"/>
      <c r="N32" s="81"/>
      <c r="R32" s="71">
        <f>ROUND(+H46*1659/930,0)</f>
        <v>0</v>
      </c>
    </row>
    <row r="33" spans="2:28">
      <c r="B33" s="80"/>
      <c r="N33" s="81"/>
      <c r="R33" s="71">
        <f>ROUND(+H47*1659/930,0)</f>
        <v>642</v>
      </c>
    </row>
    <row r="34" spans="2:28">
      <c r="B34" s="80"/>
      <c r="C34" s="90"/>
      <c r="D34" s="90"/>
      <c r="E34" s="90"/>
      <c r="F34" s="90"/>
      <c r="G34" s="90"/>
      <c r="H34" s="90"/>
      <c r="I34" s="90"/>
      <c r="J34" s="90"/>
      <c r="K34" s="90"/>
      <c r="L34" s="90"/>
      <c r="M34" s="90"/>
      <c r="N34" s="81"/>
    </row>
    <row r="35" spans="2:28">
      <c r="B35" s="80"/>
      <c r="C35" s="90"/>
      <c r="D35" s="93" t="s">
        <v>567</v>
      </c>
      <c r="E35" s="93"/>
      <c r="F35" s="90"/>
      <c r="G35" s="90"/>
      <c r="H35" s="90"/>
      <c r="I35" s="90"/>
      <c r="J35" s="90"/>
      <c r="K35" s="90"/>
      <c r="L35" s="90"/>
      <c r="M35" s="90"/>
      <c r="N35" s="81"/>
    </row>
    <row r="36" spans="2:28">
      <c r="B36" s="80"/>
      <c r="C36" s="90"/>
      <c r="D36" s="93"/>
      <c r="E36" s="93"/>
      <c r="F36" s="90"/>
      <c r="G36" s="90"/>
      <c r="H36" s="90"/>
      <c r="I36" s="90"/>
      <c r="J36" s="90"/>
      <c r="K36" s="90"/>
      <c r="L36" s="90"/>
      <c r="M36" s="90"/>
      <c r="N36" s="81"/>
    </row>
    <row r="37" spans="2:28">
      <c r="B37" s="80"/>
      <c r="C37" s="90"/>
      <c r="D37" s="122" t="s">
        <v>364</v>
      </c>
      <c r="E37" s="90"/>
      <c r="F37" s="132" t="s">
        <v>365</v>
      </c>
      <c r="G37" s="132" t="s">
        <v>366</v>
      </c>
      <c r="H37" s="132" t="s">
        <v>321</v>
      </c>
      <c r="I37" s="132"/>
      <c r="J37" s="90"/>
      <c r="K37" s="90"/>
      <c r="L37" s="90"/>
      <c r="M37" s="90"/>
      <c r="N37" s="81"/>
    </row>
    <row r="38" spans="2:28">
      <c r="B38" s="80"/>
      <c r="C38" s="90"/>
      <c r="D38" s="90"/>
      <c r="E38" s="90"/>
      <c r="F38" s="90"/>
      <c r="G38" s="90"/>
      <c r="H38" s="90"/>
      <c r="I38" s="90"/>
      <c r="J38" s="90"/>
      <c r="K38" s="90"/>
      <c r="L38" s="90"/>
      <c r="M38" s="90"/>
      <c r="N38" s="81"/>
    </row>
    <row r="39" spans="2:28">
      <c r="B39" s="80"/>
      <c r="C39" s="90"/>
      <c r="D39" s="90" t="s">
        <v>285</v>
      </c>
      <c r="E39" s="90"/>
      <c r="F39" s="84">
        <v>0</v>
      </c>
      <c r="G39" s="84">
        <v>0</v>
      </c>
      <c r="H39" s="101">
        <f>SUM(F39:G39)</f>
        <v>0</v>
      </c>
      <c r="I39" s="92"/>
      <c r="J39" s="90"/>
      <c r="K39" s="90"/>
      <c r="L39" s="90"/>
      <c r="M39" s="90"/>
      <c r="N39" s="81"/>
    </row>
    <row r="40" spans="2:28">
      <c r="B40" s="80"/>
      <c r="C40" s="90"/>
      <c r="D40" s="90" t="s">
        <v>286</v>
      </c>
      <c r="E40" s="90"/>
      <c r="F40" s="84">
        <v>3.5</v>
      </c>
      <c r="G40" s="84">
        <v>2</v>
      </c>
      <c r="H40" s="101">
        <f>SUM(F40:G40)</f>
        <v>5.5</v>
      </c>
      <c r="I40" s="92"/>
      <c r="J40" s="90"/>
      <c r="K40" s="90"/>
      <c r="L40" s="90"/>
      <c r="M40" s="90"/>
      <c r="N40" s="81"/>
    </row>
    <row r="41" spans="2:28">
      <c r="B41" s="80"/>
      <c r="C41" s="90"/>
      <c r="D41" s="90" t="s">
        <v>287</v>
      </c>
      <c r="E41" s="90"/>
      <c r="F41" s="84">
        <v>0</v>
      </c>
      <c r="G41" s="84">
        <v>0</v>
      </c>
      <c r="H41" s="101">
        <f>SUM(F41:G41)</f>
        <v>0</v>
      </c>
      <c r="I41" s="92"/>
      <c r="J41" s="90"/>
      <c r="K41" s="90"/>
      <c r="L41" s="90"/>
      <c r="M41" s="90"/>
      <c r="N41" s="81"/>
    </row>
    <row r="42" spans="2:28">
      <c r="B42" s="80"/>
      <c r="C42" s="90"/>
      <c r="D42" s="90" t="s">
        <v>288</v>
      </c>
      <c r="E42" s="90"/>
      <c r="F42" s="84">
        <v>3.5</v>
      </c>
      <c r="G42" s="84">
        <v>0</v>
      </c>
      <c r="H42" s="101">
        <f>SUM(F42:G42)</f>
        <v>3.5</v>
      </c>
      <c r="I42" s="92"/>
      <c r="J42" s="90"/>
      <c r="K42" s="90"/>
      <c r="L42" s="90"/>
      <c r="M42" s="90"/>
      <c r="N42" s="81"/>
    </row>
    <row r="43" spans="2:28">
      <c r="B43" s="80"/>
      <c r="C43" s="90"/>
      <c r="D43" s="90" t="s">
        <v>289</v>
      </c>
      <c r="E43" s="90"/>
      <c r="F43" s="84">
        <v>0</v>
      </c>
      <c r="G43" s="84">
        <v>0</v>
      </c>
      <c r="H43" s="101">
        <f>SUM(F43:G43)</f>
        <v>0</v>
      </c>
      <c r="I43" s="92"/>
      <c r="J43" s="90"/>
      <c r="K43" s="90"/>
      <c r="L43" s="90"/>
      <c r="M43" s="90"/>
      <c r="N43" s="81"/>
    </row>
    <row r="44" spans="2:28">
      <c r="B44" s="80"/>
      <c r="C44" s="90"/>
      <c r="D44" s="90" t="s">
        <v>295</v>
      </c>
      <c r="E44" s="90"/>
      <c r="F44" s="172"/>
      <c r="G44" s="172"/>
      <c r="H44" s="171">
        <f>SUM(H39:H43)</f>
        <v>9</v>
      </c>
      <c r="I44" s="99"/>
      <c r="J44" s="90"/>
      <c r="K44" s="90"/>
      <c r="L44" s="90"/>
      <c r="M44" s="90"/>
      <c r="N44" s="81"/>
    </row>
    <row r="45" spans="2:28">
      <c r="B45" s="80"/>
      <c r="C45" s="90"/>
      <c r="D45" s="90" t="s">
        <v>367</v>
      </c>
      <c r="E45" s="90"/>
      <c r="F45" s="92"/>
      <c r="G45" s="92"/>
      <c r="H45" s="107">
        <f>ROUND(+H44*F21,0)</f>
        <v>360</v>
      </c>
      <c r="I45" s="92"/>
      <c r="J45" s="90"/>
      <c r="K45" s="90"/>
      <c r="L45" s="90"/>
      <c r="M45" s="90"/>
      <c r="N45" s="81"/>
    </row>
    <row r="46" spans="2:28">
      <c r="B46" s="80"/>
      <c r="C46" s="90"/>
      <c r="D46" s="90" t="s">
        <v>74</v>
      </c>
      <c r="E46" s="90"/>
      <c r="F46" s="92"/>
      <c r="G46" s="92"/>
      <c r="H46" s="131">
        <v>0</v>
      </c>
      <c r="I46" s="92"/>
      <c r="J46" s="90"/>
      <c r="K46" s="90"/>
      <c r="L46" s="90"/>
      <c r="M46" s="90"/>
      <c r="N46" s="81"/>
      <c r="Q46" s="71">
        <v>40</v>
      </c>
      <c r="R46" s="71">
        <v>427</v>
      </c>
      <c r="V46" s="67" t="s">
        <v>357</v>
      </c>
      <c r="W46" s="67"/>
      <c r="Y46" s="85" t="s">
        <v>559</v>
      </c>
      <c r="Z46" s="71" t="s">
        <v>560</v>
      </c>
      <c r="AB46" s="71" t="s">
        <v>20</v>
      </c>
    </row>
    <row r="47" spans="2:28">
      <c r="B47" s="80"/>
      <c r="C47" s="90"/>
      <c r="D47" s="90" t="s">
        <v>373</v>
      </c>
      <c r="E47" s="90"/>
      <c r="F47" s="92"/>
      <c r="G47" s="92"/>
      <c r="H47" s="107">
        <f>+H45-H46</f>
        <v>360</v>
      </c>
      <c r="I47" s="92"/>
      <c r="J47" s="90"/>
      <c r="K47" s="90"/>
      <c r="L47" s="90"/>
      <c r="M47" s="90"/>
      <c r="N47" s="81"/>
      <c r="Q47" s="71">
        <v>38</v>
      </c>
      <c r="R47" s="71">
        <v>322</v>
      </c>
      <c r="S47" s="165"/>
      <c r="T47" s="165">
        <f>+tab!O36</f>
        <v>2896</v>
      </c>
      <c r="V47" s="71" t="s">
        <v>355</v>
      </c>
      <c r="X47" s="71">
        <v>1659</v>
      </c>
      <c r="Y47" s="71">
        <f>+X47</f>
        <v>1659</v>
      </c>
      <c r="Z47" s="167">
        <f>+X47-H96</f>
        <v>1659</v>
      </c>
      <c r="AB47" s="71">
        <f>+H87*0.5</f>
        <v>829.5</v>
      </c>
    </row>
    <row r="48" spans="2:28">
      <c r="B48" s="80"/>
      <c r="C48" s="90"/>
      <c r="D48" s="90"/>
      <c r="E48" s="90"/>
      <c r="F48" s="90"/>
      <c r="G48" s="90"/>
      <c r="H48" s="90"/>
      <c r="I48" s="90"/>
      <c r="J48" s="90"/>
      <c r="K48" s="90"/>
      <c r="L48" s="90"/>
      <c r="M48" s="90"/>
      <c r="N48" s="81"/>
      <c r="Q48" s="71">
        <v>36</v>
      </c>
      <c r="R48" s="71">
        <v>218</v>
      </c>
      <c r="V48" s="71" t="s">
        <v>356</v>
      </c>
      <c r="X48" s="71">
        <v>930</v>
      </c>
      <c r="Y48" s="71">
        <f>+X48</f>
        <v>930</v>
      </c>
    </row>
    <row r="49" spans="2:26">
      <c r="B49" s="80"/>
      <c r="N49" s="81"/>
      <c r="Q49" s="71">
        <v>36.86</v>
      </c>
      <c r="R49" s="71">
        <v>263</v>
      </c>
      <c r="V49" s="160" t="s">
        <v>284</v>
      </c>
      <c r="W49" s="85"/>
      <c r="X49" s="71">
        <v>166</v>
      </c>
      <c r="Y49" s="71">
        <f>+X49</f>
        <v>166</v>
      </c>
      <c r="Z49" s="71">
        <f>ROUND(Z47*10%,0)</f>
        <v>166</v>
      </c>
    </row>
    <row r="50" spans="2:26">
      <c r="B50" s="80"/>
      <c r="C50" s="90"/>
      <c r="D50" s="90"/>
      <c r="E50" s="90"/>
      <c r="F50" s="90"/>
      <c r="G50" s="90"/>
      <c r="H50" s="90"/>
      <c r="I50" s="90"/>
      <c r="J50" s="90"/>
      <c r="K50" s="90"/>
      <c r="L50" s="90"/>
      <c r="M50" s="90"/>
      <c r="N50" s="81"/>
      <c r="V50" s="160" t="s">
        <v>360</v>
      </c>
      <c r="W50" s="85"/>
      <c r="X50" s="71">
        <f>+X49-X51</f>
        <v>83</v>
      </c>
    </row>
    <row r="51" spans="2:26">
      <c r="B51" s="80"/>
      <c r="C51" s="90"/>
      <c r="D51" s="93" t="s">
        <v>568</v>
      </c>
      <c r="E51" s="93"/>
      <c r="F51" s="90"/>
      <c r="G51" s="90"/>
      <c r="H51" s="90"/>
      <c r="I51" s="90"/>
      <c r="J51" s="90"/>
      <c r="K51" s="90"/>
      <c r="L51" s="90"/>
      <c r="M51" s="90"/>
      <c r="N51" s="81"/>
      <c r="V51" s="160" t="s">
        <v>361</v>
      </c>
      <c r="W51" s="161">
        <v>0.5</v>
      </c>
      <c r="X51" s="71">
        <f>ROUND(+X49*W51,0)</f>
        <v>83</v>
      </c>
    </row>
    <row r="52" spans="2:26">
      <c r="B52" s="80"/>
      <c r="C52" s="90"/>
      <c r="D52" s="93"/>
      <c r="E52" s="93"/>
      <c r="F52" s="90"/>
      <c r="G52" s="90"/>
      <c r="H52" s="90"/>
      <c r="I52" s="90"/>
      <c r="J52" s="90"/>
      <c r="K52" s="90"/>
      <c r="L52" s="90"/>
      <c r="M52" s="90"/>
      <c r="N52" s="81"/>
      <c r="V52" s="160" t="s">
        <v>362</v>
      </c>
      <c r="X52" s="71">
        <f>+X47-X48-X49</f>
        <v>563</v>
      </c>
      <c r="Y52" s="71">
        <f>+X52</f>
        <v>563</v>
      </c>
    </row>
    <row r="53" spans="2:26">
      <c r="B53" s="80"/>
      <c r="C53" s="90"/>
      <c r="D53" s="93" t="s">
        <v>399</v>
      </c>
      <c r="E53" s="93"/>
      <c r="F53" s="90"/>
      <c r="G53" s="90"/>
      <c r="H53" s="101">
        <v>1659</v>
      </c>
      <c r="I53" s="92"/>
      <c r="J53" s="143" t="s">
        <v>400</v>
      </c>
      <c r="K53" s="90"/>
      <c r="L53" s="90"/>
      <c r="M53" s="90"/>
      <c r="N53" s="81"/>
    </row>
    <row r="54" spans="2:26">
      <c r="B54" s="80"/>
      <c r="C54" s="90"/>
      <c r="D54" s="90"/>
      <c r="E54" s="90"/>
      <c r="F54" s="90"/>
      <c r="G54" s="90"/>
      <c r="H54" s="92"/>
      <c r="I54" s="92"/>
      <c r="J54" s="90"/>
      <c r="K54" s="90"/>
      <c r="L54" s="90"/>
      <c r="M54" s="90"/>
      <c r="N54" s="81"/>
    </row>
    <row r="55" spans="2:26">
      <c r="B55" s="80"/>
      <c r="C55" s="90"/>
      <c r="D55" s="93" t="s">
        <v>402</v>
      </c>
      <c r="E55" s="90"/>
      <c r="F55" s="90"/>
      <c r="G55" s="90"/>
      <c r="H55" s="92"/>
      <c r="I55" s="92"/>
      <c r="J55" s="90"/>
      <c r="K55" s="90"/>
      <c r="L55" s="90"/>
      <c r="M55" s="90"/>
      <c r="N55" s="81"/>
    </row>
    <row r="56" spans="2:26">
      <c r="B56" s="80"/>
      <c r="C56" s="90"/>
      <c r="D56" s="90" t="s">
        <v>285</v>
      </c>
      <c r="E56" s="90"/>
      <c r="F56" s="90"/>
      <c r="G56" s="90"/>
      <c r="H56" s="83">
        <v>9</v>
      </c>
      <c r="I56" s="92"/>
      <c r="J56" s="90"/>
      <c r="K56" s="90"/>
      <c r="L56" s="90"/>
      <c r="M56" s="90"/>
      <c r="N56" s="81"/>
      <c r="R56" s="178"/>
      <c r="T56" s="71" t="s">
        <v>406</v>
      </c>
      <c r="U56" s="71" t="s">
        <v>407</v>
      </c>
    </row>
    <row r="57" spans="2:26">
      <c r="B57" s="80"/>
      <c r="C57" s="90"/>
      <c r="D57" s="90" t="s">
        <v>286</v>
      </c>
      <c r="E57" s="90"/>
      <c r="F57" s="90"/>
      <c r="G57" s="90"/>
      <c r="H57" s="83">
        <v>0</v>
      </c>
      <c r="I57" s="92"/>
      <c r="J57" s="90"/>
      <c r="K57" s="90"/>
      <c r="L57" s="90"/>
      <c r="M57" s="90"/>
      <c r="N57" s="81"/>
      <c r="R57" s="178"/>
      <c r="T57" s="178" t="s">
        <v>420</v>
      </c>
      <c r="U57" s="71">
        <v>13</v>
      </c>
    </row>
    <row r="58" spans="2:26">
      <c r="B58" s="80"/>
      <c r="C58" s="90"/>
      <c r="D58" s="90" t="s">
        <v>287</v>
      </c>
      <c r="E58" s="90"/>
      <c r="F58" s="90"/>
      <c r="G58" s="90"/>
      <c r="H58" s="83">
        <v>8</v>
      </c>
      <c r="I58" s="92"/>
      <c r="J58" s="90"/>
      <c r="K58" s="90"/>
      <c r="L58" s="90"/>
      <c r="M58" s="90"/>
      <c r="N58" s="81"/>
      <c r="R58" s="178"/>
      <c r="T58" s="178" t="s">
        <v>421</v>
      </c>
      <c r="U58" s="71">
        <v>15</v>
      </c>
    </row>
    <row r="59" spans="2:26">
      <c r="B59" s="80"/>
      <c r="C59" s="90"/>
      <c r="D59" s="90" t="s">
        <v>288</v>
      </c>
      <c r="E59" s="90"/>
      <c r="F59" s="90"/>
      <c r="G59" s="90"/>
      <c r="H59" s="83">
        <v>2</v>
      </c>
      <c r="I59" s="92"/>
      <c r="J59" s="90"/>
      <c r="K59" s="90"/>
      <c r="L59" s="90"/>
      <c r="M59" s="90"/>
      <c r="N59" s="81"/>
      <c r="T59" s="178" t="s">
        <v>422</v>
      </c>
      <c r="U59" s="71">
        <v>17</v>
      </c>
    </row>
    <row r="60" spans="2:26">
      <c r="B60" s="80"/>
      <c r="C60" s="90"/>
      <c r="D60" s="90" t="s">
        <v>289</v>
      </c>
      <c r="E60" s="90"/>
      <c r="F60" s="90"/>
      <c r="G60" s="90"/>
      <c r="H60" s="83">
        <v>6</v>
      </c>
      <c r="I60" s="92"/>
      <c r="J60" s="90"/>
      <c r="K60" s="90"/>
      <c r="L60" s="90"/>
      <c r="M60" s="90"/>
      <c r="N60" s="81"/>
      <c r="T60" s="178" t="s">
        <v>423</v>
      </c>
      <c r="U60" s="71">
        <v>16</v>
      </c>
    </row>
    <row r="61" spans="2:26">
      <c r="B61" s="80"/>
      <c r="C61" s="90"/>
      <c r="D61" s="90" t="s">
        <v>321</v>
      </c>
      <c r="E61" s="90"/>
      <c r="F61" s="90"/>
      <c r="G61" s="90"/>
      <c r="H61" s="107">
        <f>SUM(H56:H60)</f>
        <v>25</v>
      </c>
      <c r="I61" s="92"/>
      <c r="J61" s="90"/>
      <c r="K61" s="90"/>
      <c r="L61" s="90"/>
      <c r="M61" s="90"/>
      <c r="N61" s="81"/>
      <c r="S61" s="115"/>
      <c r="T61" s="178" t="s">
        <v>424</v>
      </c>
      <c r="U61" s="165">
        <v>18</v>
      </c>
    </row>
    <row r="62" spans="2:26">
      <c r="B62" s="80"/>
      <c r="C62" s="90"/>
      <c r="D62" s="90"/>
      <c r="E62" s="90"/>
      <c r="F62" s="90"/>
      <c r="G62" s="90"/>
      <c r="H62" s="92"/>
      <c r="I62" s="92"/>
      <c r="J62" s="90"/>
      <c r="K62" s="90"/>
      <c r="L62" s="90"/>
      <c r="M62" s="90"/>
      <c r="N62" s="81"/>
      <c r="S62" s="115"/>
      <c r="T62" s="178" t="s">
        <v>425</v>
      </c>
      <c r="U62" s="165">
        <v>18</v>
      </c>
    </row>
    <row r="63" spans="2:26">
      <c r="B63" s="80"/>
      <c r="C63" s="90"/>
      <c r="D63" s="93" t="s">
        <v>582</v>
      </c>
      <c r="E63" s="93"/>
      <c r="F63" s="90"/>
      <c r="G63" s="90"/>
      <c r="H63" s="83">
        <v>40</v>
      </c>
      <c r="I63" s="92"/>
      <c r="J63" s="90"/>
      <c r="K63" s="90"/>
      <c r="L63" s="90"/>
      <c r="M63" s="90"/>
      <c r="N63" s="81"/>
      <c r="S63" s="115"/>
      <c r="T63" s="178" t="s">
        <v>426</v>
      </c>
      <c r="U63" s="165">
        <v>18</v>
      </c>
    </row>
    <row r="64" spans="2:26">
      <c r="B64" s="80"/>
      <c r="C64" s="90"/>
      <c r="D64" s="90"/>
      <c r="E64" s="90"/>
      <c r="F64" s="90"/>
      <c r="G64" s="90"/>
      <c r="H64" s="92"/>
      <c r="I64" s="92"/>
      <c r="J64" s="90"/>
      <c r="K64" s="90"/>
      <c r="L64" s="90"/>
      <c r="M64" s="90"/>
      <c r="N64" s="81"/>
      <c r="S64" s="115"/>
      <c r="T64" s="178" t="s">
        <v>427</v>
      </c>
      <c r="U64" s="165">
        <v>11</v>
      </c>
    </row>
    <row r="65" spans="2:31">
      <c r="B65" s="80"/>
      <c r="C65" s="90"/>
      <c r="D65" s="90" t="s">
        <v>583</v>
      </c>
      <c r="E65" s="93"/>
      <c r="F65" s="122">
        <f>+H61*H63</f>
        <v>1000</v>
      </c>
      <c r="G65" s="122" t="s">
        <v>90</v>
      </c>
      <c r="H65" s="153">
        <f>ROUND(+H61*H63/H53,4)</f>
        <v>0.6028</v>
      </c>
      <c r="I65" s="99"/>
      <c r="J65" s="90"/>
      <c r="K65" s="90"/>
      <c r="L65" s="90"/>
      <c r="M65" s="90"/>
      <c r="N65" s="81"/>
      <c r="T65" s="178" t="s">
        <v>428</v>
      </c>
      <c r="U65" s="165">
        <v>13</v>
      </c>
    </row>
    <row r="66" spans="2:31">
      <c r="B66" s="80"/>
      <c r="C66" s="90"/>
      <c r="D66" s="90" t="s">
        <v>584</v>
      </c>
      <c r="E66" s="93"/>
      <c r="F66" s="90"/>
      <c r="G66" s="90"/>
      <c r="H66" s="153">
        <f>ROUND(+H47/930,4)</f>
        <v>0.3871</v>
      </c>
      <c r="I66" s="99"/>
      <c r="J66" s="90"/>
      <c r="K66" s="90"/>
      <c r="L66" s="90"/>
      <c r="M66" s="90"/>
      <c r="N66" s="81"/>
      <c r="T66" s="178" t="s">
        <v>429</v>
      </c>
      <c r="U66" s="165">
        <v>18</v>
      </c>
    </row>
    <row r="67" spans="2:31">
      <c r="B67" s="80"/>
      <c r="C67" s="90"/>
      <c r="D67" s="90" t="s">
        <v>585</v>
      </c>
      <c r="E67" s="93"/>
      <c r="F67" s="90"/>
      <c r="G67" s="90"/>
      <c r="H67" s="171">
        <f>+H65+H66</f>
        <v>0.9899</v>
      </c>
      <c r="I67" s="99"/>
      <c r="J67" s="90"/>
      <c r="K67" s="90"/>
      <c r="L67" s="90"/>
      <c r="M67" s="90"/>
      <c r="N67" s="81"/>
      <c r="T67" s="178" t="s">
        <v>430</v>
      </c>
      <c r="U67" s="165">
        <v>20</v>
      </c>
      <c r="X67" s="178"/>
      <c r="Y67" s="165"/>
    </row>
    <row r="68" spans="2:31">
      <c r="B68" s="80"/>
      <c r="C68" s="90"/>
      <c r="D68" s="90"/>
      <c r="E68" s="90"/>
      <c r="F68" s="90"/>
      <c r="G68" s="90"/>
      <c r="H68" s="92"/>
      <c r="I68" s="92"/>
      <c r="J68" s="90"/>
      <c r="K68" s="90"/>
      <c r="L68" s="90"/>
      <c r="M68" s="90"/>
      <c r="N68" s="81"/>
      <c r="T68" s="178" t="s">
        <v>431</v>
      </c>
      <c r="U68" s="165">
        <v>19</v>
      </c>
      <c r="X68" s="85"/>
      <c r="Y68" s="165"/>
    </row>
    <row r="69" spans="2:31">
      <c r="B69" s="80"/>
      <c r="C69" s="90"/>
      <c r="D69" s="93" t="s">
        <v>462</v>
      </c>
      <c r="E69" s="93"/>
      <c r="F69" s="90"/>
      <c r="G69" s="90"/>
      <c r="H69" s="173">
        <v>1</v>
      </c>
      <c r="I69" s="180"/>
      <c r="J69" s="90"/>
      <c r="K69" s="90"/>
      <c r="L69" s="90"/>
      <c r="M69" s="90"/>
      <c r="N69" s="140"/>
      <c r="T69" s="115"/>
      <c r="W69" s="85"/>
      <c r="X69" s="165"/>
    </row>
    <row r="70" spans="2:31">
      <c r="B70" s="80"/>
      <c r="C70" s="90"/>
      <c r="D70" s="90"/>
      <c r="E70" s="90"/>
      <c r="F70" s="90"/>
      <c r="G70" s="90"/>
      <c r="H70" s="90"/>
      <c r="I70" s="90"/>
      <c r="J70" s="90"/>
      <c r="K70" s="90"/>
      <c r="L70" s="90"/>
      <c r="M70" s="90"/>
      <c r="N70" s="140"/>
      <c r="T70" s="115"/>
      <c r="W70" s="85"/>
      <c r="X70" s="165"/>
    </row>
    <row r="71" spans="2:31">
      <c r="B71" s="80"/>
      <c r="N71" s="140"/>
      <c r="T71" s="115"/>
      <c r="W71" s="85"/>
      <c r="X71" s="165"/>
    </row>
    <row r="72" spans="2:31" ht="18">
      <c r="B72" s="73"/>
      <c r="C72" s="69" t="s">
        <v>569</v>
      </c>
      <c r="D72" s="68"/>
      <c r="E72" s="69"/>
      <c r="F72" s="68"/>
      <c r="G72" s="68"/>
      <c r="H72" s="68"/>
      <c r="I72" s="68"/>
      <c r="J72" s="68"/>
      <c r="K72" s="68"/>
      <c r="L72" s="68"/>
      <c r="M72" s="68"/>
      <c r="N72" s="74"/>
      <c r="U72" s="71">
        <v>52</v>
      </c>
      <c r="V72" s="71">
        <v>56</v>
      </c>
      <c r="AA72" s="115"/>
    </row>
    <row r="73" spans="2:31">
      <c r="B73" s="80"/>
      <c r="D73" s="67"/>
      <c r="E73" s="67"/>
      <c r="N73" s="140"/>
      <c r="T73" s="85" t="s">
        <v>375</v>
      </c>
      <c r="U73" s="164">
        <f>DATE(YEAR($F12)+52,MONTH($F12),DAY($F12))</f>
        <v>43994</v>
      </c>
      <c r="V73" s="164">
        <f>DATE(YEAR($F12)+56,MONTH($F12),DAY($F12))</f>
        <v>45455</v>
      </c>
      <c r="W73" s="71">
        <f>MONTH(U73)</f>
        <v>6</v>
      </c>
      <c r="X73" s="71">
        <f>MONTH(V73)</f>
        <v>6</v>
      </c>
    </row>
    <row r="74" spans="2:31">
      <c r="B74" s="80"/>
      <c r="C74" s="90"/>
      <c r="D74" s="90"/>
      <c r="E74" s="90"/>
      <c r="F74" s="90"/>
      <c r="G74" s="90"/>
      <c r="H74" s="90"/>
      <c r="I74" s="90"/>
      <c r="J74" s="90"/>
      <c r="K74" s="90"/>
      <c r="L74" s="90"/>
      <c r="M74" s="90"/>
      <c r="N74" s="140"/>
      <c r="T74" s="85" t="s">
        <v>380</v>
      </c>
      <c r="U74" s="71">
        <f>+W73+1</f>
        <v>7</v>
      </c>
      <c r="V74" s="71">
        <f>+X73+1</f>
        <v>7</v>
      </c>
      <c r="W74" s="71">
        <f>YEAR(U73)</f>
        <v>2020</v>
      </c>
      <c r="X74" s="71">
        <f>YEAR(V73)</f>
        <v>2024</v>
      </c>
      <c r="Z74" s="115"/>
    </row>
    <row r="75" spans="2:31">
      <c r="B75" s="80"/>
      <c r="C75" s="90"/>
      <c r="D75" s="93" t="s">
        <v>81</v>
      </c>
      <c r="E75" s="90"/>
      <c r="F75" s="90"/>
      <c r="G75" s="90"/>
      <c r="H75" s="90"/>
      <c r="I75" s="90"/>
      <c r="J75" s="90"/>
      <c r="K75" s="90"/>
      <c r="L75" s="90"/>
      <c r="M75" s="90"/>
      <c r="N75" s="140"/>
      <c r="T75" s="85" t="s">
        <v>451</v>
      </c>
      <c r="U75" s="85">
        <f>IF(W75=12,12,IF((8-U74)&lt;0,(12-U74+8),(8-U74)))</f>
        <v>1</v>
      </c>
      <c r="V75" s="85">
        <f>IF(X75=12,12,IF((8-V74)&lt;0,(12-V74+8),(8-V74)))</f>
        <v>1</v>
      </c>
      <c r="W75" s="71">
        <f>IF($T14&gt;U73,12,IF((AND($T14&lt;=U73,U73&lt;=$T15)),U74,0))</f>
        <v>0</v>
      </c>
      <c r="X75" s="71">
        <f>IF($T14&gt;V73,12,IF((AND($T14&lt;=V73,V73&lt;=$T15)),V74,0))</f>
        <v>0</v>
      </c>
    </row>
    <row r="76" spans="2:31">
      <c r="B76" s="80"/>
      <c r="C76" s="90"/>
      <c r="D76" s="90"/>
      <c r="E76" s="90"/>
      <c r="F76" s="90"/>
      <c r="G76" s="90"/>
      <c r="H76" s="90"/>
      <c r="I76" s="90"/>
      <c r="J76" s="90"/>
      <c r="K76" s="90"/>
      <c r="L76" s="90"/>
      <c r="M76" s="90"/>
      <c r="N76" s="140"/>
    </row>
    <row r="77" spans="2:31">
      <c r="B77" s="80"/>
      <c r="C77" s="90"/>
      <c r="D77" s="90" t="s">
        <v>472</v>
      </c>
      <c r="E77" s="90"/>
      <c r="F77" s="90"/>
      <c r="G77" s="90"/>
      <c r="H77" s="139">
        <f>+H246</f>
        <v>566</v>
      </c>
      <c r="I77" s="90"/>
      <c r="J77" s="90"/>
      <c r="K77" s="90"/>
      <c r="L77" s="90"/>
      <c r="M77" s="90"/>
      <c r="N77" s="140"/>
    </row>
    <row r="78" spans="2:31">
      <c r="B78" s="80"/>
      <c r="C78" s="90"/>
      <c r="D78" s="90" t="s">
        <v>457</v>
      </c>
      <c r="E78" s="90"/>
      <c r="F78" s="90"/>
      <c r="G78" s="90"/>
      <c r="H78" s="139">
        <f>+H227</f>
        <v>920</v>
      </c>
      <c r="I78" s="90"/>
      <c r="J78" s="90"/>
      <c r="K78" s="90"/>
      <c r="L78" s="90"/>
      <c r="M78" s="90"/>
      <c r="N78" s="140"/>
      <c r="AD78" s="71">
        <v>0</v>
      </c>
      <c r="AE78" s="71">
        <v>0</v>
      </c>
    </row>
    <row r="79" spans="2:31">
      <c r="B79" s="80"/>
      <c r="C79" s="90"/>
      <c r="D79" s="90" t="s">
        <v>458</v>
      </c>
      <c r="E79" s="90"/>
      <c r="F79" s="90"/>
      <c r="G79" s="90"/>
      <c r="H79" s="139">
        <f>+H248</f>
        <v>0</v>
      </c>
      <c r="I79" s="90"/>
      <c r="J79" s="90"/>
      <c r="K79" s="90"/>
      <c r="L79" s="90"/>
      <c r="M79" s="90"/>
      <c r="N79" s="140"/>
      <c r="AD79" s="71">
        <v>52</v>
      </c>
      <c r="AE79" s="71">
        <v>170</v>
      </c>
    </row>
    <row r="80" spans="2:31">
      <c r="B80" s="80"/>
      <c r="C80" s="90"/>
      <c r="D80" s="90" t="s">
        <v>319</v>
      </c>
      <c r="E80" s="90"/>
      <c r="F80" s="90"/>
      <c r="G80" s="90"/>
      <c r="H80" s="101">
        <f>+H101</f>
        <v>166</v>
      </c>
      <c r="I80" s="90"/>
      <c r="J80" s="90"/>
      <c r="K80" s="90"/>
      <c r="L80" s="90"/>
      <c r="M80" s="90"/>
      <c r="N80" s="140"/>
      <c r="AD80" s="71">
        <v>56</v>
      </c>
      <c r="AE80" s="71">
        <v>340</v>
      </c>
    </row>
    <row r="81" spans="2:51" s="68" customFormat="1" ht="18">
      <c r="B81" s="80"/>
      <c r="C81" s="90"/>
      <c r="D81" s="90" t="s">
        <v>321</v>
      </c>
      <c r="E81" s="90"/>
      <c r="F81" s="90"/>
      <c r="G81" s="90"/>
      <c r="H81" s="139">
        <f>SUM(H77:H80)</f>
        <v>1652</v>
      </c>
      <c r="I81" s="90"/>
      <c r="J81" s="90"/>
      <c r="K81" s="90"/>
      <c r="L81" s="90"/>
      <c r="M81" s="90"/>
      <c r="N81" s="140"/>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row>
    <row r="82" spans="2:51">
      <c r="B82" s="80"/>
      <c r="C82" s="90"/>
      <c r="D82" s="159" t="s">
        <v>374</v>
      </c>
      <c r="E82" s="90"/>
      <c r="F82" s="90"/>
      <c r="G82" s="90"/>
      <c r="H82" s="139">
        <f>-H253</f>
        <v>7</v>
      </c>
      <c r="I82" s="90"/>
      <c r="J82" s="90"/>
      <c r="K82" s="90"/>
      <c r="L82" s="90"/>
      <c r="M82" s="90"/>
      <c r="N82" s="140"/>
    </row>
    <row r="83" spans="2:51">
      <c r="B83" s="80"/>
      <c r="C83" s="90"/>
      <c r="D83" s="90"/>
      <c r="E83" s="90"/>
      <c r="F83" s="90"/>
      <c r="G83" s="90"/>
      <c r="H83" s="90"/>
      <c r="I83" s="90"/>
      <c r="J83" s="90"/>
      <c r="K83" s="90"/>
      <c r="L83" s="90"/>
      <c r="M83" s="90"/>
      <c r="N83" s="140"/>
    </row>
    <row r="84" spans="2:51">
      <c r="B84" s="80"/>
      <c r="N84" s="140"/>
    </row>
    <row r="85" spans="2:51">
      <c r="B85" s="80"/>
      <c r="C85" s="90"/>
      <c r="D85" s="90"/>
      <c r="E85" s="90"/>
      <c r="F85" s="90"/>
      <c r="G85" s="90"/>
      <c r="H85" s="90"/>
      <c r="I85" s="90"/>
      <c r="J85" s="90"/>
      <c r="K85" s="90"/>
      <c r="L85" s="90"/>
      <c r="M85" s="90"/>
      <c r="N85" s="140"/>
    </row>
    <row r="86" spans="2:51">
      <c r="B86" s="80"/>
      <c r="C86" s="90"/>
      <c r="D86" s="93" t="s">
        <v>283</v>
      </c>
      <c r="E86" s="93"/>
      <c r="F86" s="137"/>
      <c r="G86" s="90"/>
      <c r="H86" s="171">
        <f>+H69</f>
        <v>1</v>
      </c>
      <c r="I86" s="137"/>
      <c r="J86" s="134"/>
      <c r="K86" s="90"/>
      <c r="L86" s="90"/>
      <c r="M86" s="90"/>
      <c r="N86" s="81"/>
    </row>
    <row r="87" spans="2:51">
      <c r="B87" s="80"/>
      <c r="C87" s="90"/>
      <c r="D87" s="90" t="s">
        <v>382</v>
      </c>
      <c r="E87" s="90"/>
      <c r="F87" s="137"/>
      <c r="G87" s="90"/>
      <c r="H87" s="101">
        <f>ROUND(+H53*H86,0)</f>
        <v>1659</v>
      </c>
      <c r="I87" s="210" t="s">
        <v>302</v>
      </c>
      <c r="J87" s="90"/>
      <c r="K87" s="90"/>
      <c r="L87" s="90"/>
      <c r="M87" s="90"/>
      <c r="N87" s="81"/>
    </row>
    <row r="88" spans="2:51">
      <c r="B88" s="80"/>
      <c r="C88" s="90"/>
      <c r="D88" s="90"/>
      <c r="E88" s="90"/>
      <c r="F88" s="137"/>
      <c r="G88" s="90"/>
      <c r="H88" s="92"/>
      <c r="I88" s="210"/>
      <c r="J88" s="90"/>
      <c r="K88" s="90"/>
      <c r="L88" s="90"/>
      <c r="M88" s="90"/>
      <c r="N88" s="81"/>
    </row>
    <row r="89" spans="2:51">
      <c r="B89" s="80"/>
      <c r="C89" s="90"/>
      <c r="D89" s="137" t="s">
        <v>378</v>
      </c>
      <c r="E89" s="97"/>
      <c r="F89" s="137"/>
      <c r="G89" s="90"/>
      <c r="H89" s="259">
        <f>DATE(YEAR($F12)+52,MONTH($F12),DAY($F12))</f>
        <v>43994</v>
      </c>
      <c r="I89" s="210"/>
      <c r="J89" s="90"/>
      <c r="K89" s="90"/>
      <c r="L89" s="90"/>
      <c r="M89" s="90"/>
      <c r="N89" s="81"/>
    </row>
    <row r="90" spans="2:51">
      <c r="B90" s="80"/>
      <c r="C90" s="90"/>
      <c r="D90" s="137" t="s">
        <v>377</v>
      </c>
      <c r="E90" s="97"/>
      <c r="F90" s="137" t="str">
        <f>IF((AND($T14&lt;=H89,H89&lt;=$T15)),"ja",IF(H89&gt;T15,"later","eerder"))</f>
        <v>later</v>
      </c>
      <c r="G90" s="90"/>
      <c r="H90" s="101">
        <f>IF(F90="ja",+U75,IF(H89&lt;T15,12,0))</f>
        <v>0</v>
      </c>
      <c r="I90" s="210" t="s">
        <v>376</v>
      </c>
      <c r="J90" s="90"/>
      <c r="K90" s="90"/>
      <c r="L90" s="90"/>
      <c r="M90" s="90"/>
      <c r="N90" s="81"/>
    </row>
    <row r="91" spans="2:51">
      <c r="B91" s="80"/>
      <c r="C91" s="90"/>
      <c r="D91" s="137" t="s">
        <v>450</v>
      </c>
      <c r="E91" s="97"/>
      <c r="F91" s="137"/>
      <c r="G91" s="90"/>
      <c r="H91" s="259">
        <f>DATE(YEAR($F12)+56,MONTH($F12),DAY($F12))</f>
        <v>45455</v>
      </c>
      <c r="I91" s="210"/>
      <c r="J91" s="90"/>
      <c r="K91" s="90"/>
      <c r="L91" s="90"/>
      <c r="M91" s="90"/>
      <c r="N91" s="81"/>
    </row>
    <row r="92" spans="2:51">
      <c r="B92" s="80"/>
      <c r="C92" s="90"/>
      <c r="D92" s="137" t="s">
        <v>379</v>
      </c>
      <c r="E92" s="97"/>
      <c r="F92" s="137" t="str">
        <f>IF((AND($T14&lt;=H91,H91&lt;=$T15)),"ja",IF(H91&gt;T15,"later","eerder"))</f>
        <v>later</v>
      </c>
      <c r="G92" s="90"/>
      <c r="H92" s="101">
        <f>IF(F92="ja",+V75,IF(H91&lt;T15,12,0))</f>
        <v>0</v>
      </c>
      <c r="I92" s="210" t="s">
        <v>376</v>
      </c>
      <c r="J92" s="90"/>
      <c r="K92" s="90"/>
      <c r="L92" s="90"/>
      <c r="M92" s="90"/>
      <c r="N92" s="81"/>
    </row>
    <row r="93" spans="2:51">
      <c r="B93" s="80"/>
      <c r="C93" s="90"/>
      <c r="D93" s="97"/>
      <c r="E93" s="97"/>
      <c r="F93" s="92"/>
      <c r="G93" s="90"/>
      <c r="H93" s="90"/>
      <c r="I93" s="210"/>
      <c r="J93" s="90"/>
      <c r="K93" s="90"/>
      <c r="L93" s="90"/>
      <c r="M93" s="90"/>
      <c r="N93" s="81"/>
    </row>
    <row r="94" spans="2:51">
      <c r="B94" s="80"/>
      <c r="C94" s="90"/>
      <c r="D94" s="100"/>
      <c r="E94" s="90"/>
      <c r="F94" s="90"/>
      <c r="G94" s="90"/>
      <c r="H94" s="103" t="s">
        <v>302</v>
      </c>
      <c r="I94" s="122"/>
      <c r="J94" s="122"/>
      <c r="K94" s="216" t="s">
        <v>19</v>
      </c>
      <c r="L94" s="90"/>
      <c r="M94" s="90"/>
      <c r="N94" s="81"/>
    </row>
    <row r="95" spans="2:51">
      <c r="B95" s="80"/>
      <c r="C95" s="90"/>
      <c r="D95" s="100"/>
      <c r="E95" s="90"/>
      <c r="F95" s="90"/>
      <c r="G95" s="90"/>
      <c r="H95" s="92"/>
      <c r="I95" s="210"/>
      <c r="J95" s="90"/>
      <c r="K95" s="90"/>
      <c r="L95" s="90"/>
      <c r="M95" s="90"/>
      <c r="N95" s="81"/>
      <c r="O95" s="67"/>
    </row>
    <row r="96" spans="2:51">
      <c r="B96" s="80"/>
      <c r="C96" s="90"/>
      <c r="D96" s="100" t="s">
        <v>454</v>
      </c>
      <c r="E96" s="90"/>
      <c r="F96" s="90"/>
      <c r="G96" s="90"/>
      <c r="H96" s="156">
        <v>0</v>
      </c>
      <c r="I96" s="210"/>
      <c r="J96" s="136"/>
      <c r="K96" s="289">
        <f>ROUND(+H96/H87,4)</f>
        <v>0</v>
      </c>
      <c r="L96" s="90"/>
      <c r="M96" s="90"/>
      <c r="N96" s="81"/>
      <c r="O96" s="67"/>
    </row>
    <row r="97" spans="2:15">
      <c r="B97" s="80"/>
      <c r="C97" s="90"/>
      <c r="D97" s="137" t="s">
        <v>452</v>
      </c>
      <c r="E97" s="90"/>
      <c r="F97" s="90"/>
      <c r="G97" s="90"/>
      <c r="H97" s="177">
        <f>ROUND(ROUND(170*IF(H86&gt;1,1,H86)*((H90+H92)/12),1)/0.5,0)*0.5</f>
        <v>0</v>
      </c>
      <c r="I97" s="210"/>
      <c r="J97" s="90"/>
      <c r="K97" s="90"/>
      <c r="L97" s="90"/>
      <c r="M97" s="90"/>
      <c r="N97" s="81"/>
      <c r="O97" s="67"/>
    </row>
    <row r="98" spans="2:15">
      <c r="B98" s="80"/>
      <c r="C98" s="90"/>
      <c r="D98" s="137" t="s">
        <v>371</v>
      </c>
      <c r="E98" s="90"/>
      <c r="F98" s="90"/>
      <c r="G98" s="90"/>
      <c r="H98" s="83">
        <v>0</v>
      </c>
      <c r="I98" s="210"/>
      <c r="J98" s="136"/>
      <c r="K98" s="90"/>
      <c r="L98" s="90"/>
      <c r="M98" s="90"/>
      <c r="N98" s="81"/>
      <c r="O98" s="67"/>
    </row>
    <row r="99" spans="2:15">
      <c r="B99" s="80"/>
      <c r="C99" s="239"/>
      <c r="D99" s="246" t="s">
        <v>70</v>
      </c>
      <c r="E99" s="239"/>
      <c r="F99" s="239"/>
      <c r="G99" s="239"/>
      <c r="H99" s="248">
        <f>IF(X13&gt;=52,+H97+H98-H96,IF(X14&gt;55,0,+H97+H98-H96))</f>
        <v>0</v>
      </c>
      <c r="I99" s="257"/>
      <c r="J99" s="176" t="str">
        <f>IF(H99&lt;0,"Er mag niet meer BAPO worden opgenomen als beschikbaar is","")</f>
        <v/>
      </c>
      <c r="K99" s="239"/>
      <c r="L99" s="239"/>
      <c r="M99" s="239"/>
      <c r="N99" s="81"/>
      <c r="O99" s="67"/>
    </row>
    <row r="100" spans="2:15">
      <c r="B100" s="80"/>
      <c r="C100" s="90"/>
      <c r="D100" s="90"/>
      <c r="E100" s="90"/>
      <c r="F100" s="92"/>
      <c r="G100" s="90"/>
      <c r="H100" s="95"/>
      <c r="I100" s="214"/>
      <c r="J100" s="176"/>
      <c r="K100" s="90"/>
      <c r="L100" s="90"/>
      <c r="M100" s="90"/>
      <c r="N100" s="81"/>
      <c r="O100" s="67"/>
    </row>
    <row r="101" spans="2:15">
      <c r="B101" s="80"/>
      <c r="C101" s="90"/>
      <c r="D101" s="100" t="s">
        <v>319</v>
      </c>
      <c r="E101" s="90"/>
      <c r="F101" s="92"/>
      <c r="G101" s="90"/>
      <c r="H101" s="101">
        <f>ROUND(Z49*H86,0)</f>
        <v>166</v>
      </c>
      <c r="I101" s="210"/>
      <c r="J101" s="90"/>
      <c r="K101" s="90"/>
      <c r="L101" s="90"/>
      <c r="M101" s="90"/>
      <c r="N101" s="81"/>
      <c r="O101" s="67"/>
    </row>
    <row r="102" spans="2:15">
      <c r="B102" s="80"/>
      <c r="C102" s="90"/>
      <c r="D102" s="137" t="s">
        <v>587</v>
      </c>
      <c r="E102" s="97"/>
      <c r="F102" s="92"/>
      <c r="G102" s="90"/>
      <c r="H102" s="101">
        <f>+H101-H103</f>
        <v>83</v>
      </c>
      <c r="I102" s="210"/>
      <c r="J102" s="90"/>
      <c r="K102" s="90"/>
      <c r="L102" s="90"/>
      <c r="M102" s="90"/>
      <c r="N102" s="81"/>
      <c r="O102" s="67"/>
    </row>
    <row r="103" spans="2:15">
      <c r="B103" s="80"/>
      <c r="C103" s="90"/>
      <c r="D103" s="137" t="s">
        <v>588</v>
      </c>
      <c r="E103" s="97"/>
      <c r="F103" s="144">
        <v>0.5</v>
      </c>
      <c r="G103" s="90"/>
      <c r="H103" s="101">
        <f>ROUND(+H101*F103,0)</f>
        <v>83</v>
      </c>
      <c r="I103" s="210"/>
      <c r="J103" s="90"/>
      <c r="K103" s="90"/>
      <c r="L103" s="90"/>
      <c r="M103" s="90"/>
      <c r="N103" s="81"/>
      <c r="O103" s="67"/>
    </row>
    <row r="104" spans="2:15">
      <c r="B104" s="80"/>
      <c r="C104" s="90"/>
      <c r="D104" s="97"/>
      <c r="E104" s="97"/>
      <c r="F104" s="92"/>
      <c r="G104" s="90"/>
      <c r="H104" s="215"/>
      <c r="I104" s="218"/>
      <c r="J104" s="90"/>
      <c r="K104" s="137"/>
      <c r="L104" s="137"/>
      <c r="M104" s="90"/>
      <c r="N104" s="221"/>
      <c r="O104" s="67"/>
    </row>
    <row r="105" spans="2:15">
      <c r="B105" s="80"/>
      <c r="C105" s="90"/>
      <c r="D105" s="97"/>
      <c r="E105" s="97"/>
      <c r="F105" s="92"/>
      <c r="G105" s="90"/>
      <c r="H105" s="90"/>
      <c r="I105" s="90"/>
      <c r="J105" s="90"/>
      <c r="K105" s="137"/>
      <c r="L105" s="137"/>
      <c r="M105" s="90"/>
      <c r="N105" s="221"/>
      <c r="O105" s="67"/>
    </row>
    <row r="106" spans="2:15" ht="13.5" thickBot="1">
      <c r="B106" s="86"/>
      <c r="C106" s="87"/>
      <c r="D106" s="198"/>
      <c r="E106" s="198"/>
      <c r="F106" s="88"/>
      <c r="G106" s="87"/>
      <c r="H106" s="87"/>
      <c r="I106" s="87"/>
      <c r="J106" s="87"/>
      <c r="K106" s="196"/>
      <c r="L106" s="196"/>
      <c r="M106" s="87"/>
      <c r="N106" s="249"/>
      <c r="O106" s="67"/>
    </row>
    <row r="107" spans="2:15">
      <c r="B107" s="76"/>
      <c r="C107" s="77"/>
      <c r="D107" s="197"/>
      <c r="E107" s="197"/>
      <c r="F107" s="78"/>
      <c r="G107" s="77"/>
      <c r="H107" s="77"/>
      <c r="I107" s="77"/>
      <c r="J107" s="77"/>
      <c r="K107" s="195"/>
      <c r="L107" s="195"/>
      <c r="M107" s="77"/>
      <c r="N107" s="250"/>
      <c r="O107" s="67"/>
    </row>
    <row r="108" spans="2:15">
      <c r="B108" s="80"/>
      <c r="C108" s="90"/>
      <c r="D108" s="97"/>
      <c r="E108" s="97"/>
      <c r="F108" s="92"/>
      <c r="G108" s="90"/>
      <c r="H108" s="90"/>
      <c r="I108" s="90"/>
      <c r="J108" s="90"/>
      <c r="K108" s="137"/>
      <c r="L108" s="137"/>
      <c r="M108" s="90"/>
      <c r="N108" s="221"/>
      <c r="O108" s="67"/>
    </row>
    <row r="109" spans="2:15" ht="15">
      <c r="B109" s="80"/>
      <c r="C109" s="90"/>
      <c r="D109" s="91" t="s">
        <v>473</v>
      </c>
      <c r="E109" s="93"/>
      <c r="F109" s="90"/>
      <c r="G109" s="90"/>
      <c r="H109" s="90"/>
      <c r="I109" s="90"/>
      <c r="J109" s="90"/>
      <c r="K109" s="90"/>
      <c r="L109" s="90"/>
      <c r="M109" s="90"/>
      <c r="N109" s="81"/>
      <c r="O109" s="67"/>
    </row>
    <row r="110" spans="2:15">
      <c r="B110" s="80"/>
      <c r="C110" s="90"/>
      <c r="D110" s="93"/>
      <c r="E110" s="93"/>
      <c r="F110" s="90"/>
      <c r="G110" s="90"/>
      <c r="H110" s="90"/>
      <c r="I110" s="90"/>
      <c r="J110" s="90"/>
      <c r="K110" s="90"/>
      <c r="L110" s="90"/>
      <c r="M110" s="90"/>
      <c r="N110" s="81"/>
    </row>
    <row r="111" spans="2:15">
      <c r="B111" s="80"/>
      <c r="C111" s="90"/>
      <c r="D111" s="93"/>
      <c r="E111" s="93"/>
      <c r="F111" s="90"/>
      <c r="G111" s="90"/>
      <c r="H111" s="90"/>
      <c r="I111" s="90"/>
      <c r="J111" s="90"/>
      <c r="K111" s="90"/>
      <c r="L111" s="90"/>
      <c r="M111" s="90"/>
      <c r="N111" s="81"/>
    </row>
    <row r="112" spans="2:15">
      <c r="B112" s="80"/>
      <c r="C112" s="93"/>
      <c r="D112" s="93" t="s">
        <v>391</v>
      </c>
      <c r="E112" s="90"/>
      <c r="F112" s="83">
        <v>40</v>
      </c>
      <c r="G112" s="90"/>
      <c r="H112" s="90"/>
      <c r="I112" s="90"/>
      <c r="J112" s="90"/>
      <c r="K112" s="90"/>
      <c r="L112" s="90"/>
      <c r="M112" s="90"/>
      <c r="N112" s="81"/>
    </row>
    <row r="113" spans="2:14">
      <c r="B113" s="80"/>
      <c r="C113" s="93"/>
      <c r="D113" s="90"/>
      <c r="E113" s="90"/>
      <c r="F113" s="90"/>
      <c r="G113" s="90"/>
      <c r="H113" s="90"/>
      <c r="I113" s="90"/>
      <c r="J113" s="90"/>
      <c r="K113" s="90"/>
      <c r="L113" s="90"/>
      <c r="M113" s="90"/>
      <c r="N113" s="81"/>
    </row>
    <row r="114" spans="2:14">
      <c r="B114" s="80"/>
      <c r="C114" s="90"/>
      <c r="D114" s="90"/>
      <c r="E114" s="90"/>
      <c r="F114" s="103" t="s">
        <v>290</v>
      </c>
      <c r="G114" s="103" t="s">
        <v>291</v>
      </c>
      <c r="H114" s="103" t="s">
        <v>533</v>
      </c>
      <c r="I114" s="132"/>
      <c r="J114" s="103" t="s">
        <v>531</v>
      </c>
      <c r="K114" s="132"/>
      <c r="L114" s="132"/>
      <c r="M114" s="90"/>
      <c r="N114" s="81"/>
    </row>
    <row r="115" spans="2:14">
      <c r="B115" s="80"/>
      <c r="C115" s="90"/>
      <c r="D115" s="90"/>
      <c r="E115" s="90"/>
      <c r="F115" s="90"/>
      <c r="G115" s="90"/>
      <c r="H115" s="90"/>
      <c r="I115" s="90"/>
      <c r="J115" s="90"/>
      <c r="K115" s="90"/>
      <c r="L115" s="90"/>
      <c r="M115" s="90"/>
      <c r="N115" s="81"/>
    </row>
    <row r="116" spans="2:14">
      <c r="B116" s="80"/>
      <c r="C116" s="90"/>
      <c r="D116" s="90" t="s">
        <v>285</v>
      </c>
      <c r="E116" s="90"/>
      <c r="F116" s="84">
        <v>0</v>
      </c>
      <c r="G116" s="84">
        <v>0</v>
      </c>
      <c r="H116" s="101">
        <f>SUM(F116:G116)</f>
        <v>0</v>
      </c>
      <c r="I116" s="92"/>
      <c r="J116" s="123"/>
      <c r="K116" s="123"/>
      <c r="L116" s="137"/>
      <c r="M116" s="90"/>
      <c r="N116" s="81"/>
    </row>
    <row r="117" spans="2:14">
      <c r="B117" s="80"/>
      <c r="C117" s="90"/>
      <c r="D117" s="90" t="s">
        <v>286</v>
      </c>
      <c r="E117" s="90"/>
      <c r="F117" s="84">
        <v>3.5</v>
      </c>
      <c r="G117" s="84">
        <v>2</v>
      </c>
      <c r="H117" s="101">
        <f>SUM(F117:G117)</f>
        <v>5.5</v>
      </c>
      <c r="I117" s="92"/>
      <c r="J117" s="123"/>
      <c r="K117" s="123"/>
      <c r="L117" s="137"/>
      <c r="M117" s="90"/>
      <c r="N117" s="81"/>
    </row>
    <row r="118" spans="2:14">
      <c r="B118" s="80"/>
      <c r="C118" s="90"/>
      <c r="D118" s="90" t="s">
        <v>287</v>
      </c>
      <c r="E118" s="90"/>
      <c r="F118" s="84">
        <v>0</v>
      </c>
      <c r="G118" s="84">
        <v>0</v>
      </c>
      <c r="H118" s="101">
        <f>SUM(F118:G118)</f>
        <v>0</v>
      </c>
      <c r="I118" s="92"/>
      <c r="J118" s="123"/>
      <c r="K118" s="123"/>
      <c r="L118" s="137"/>
      <c r="M118" s="90"/>
      <c r="N118" s="81"/>
    </row>
    <row r="119" spans="2:14">
      <c r="B119" s="80"/>
      <c r="C119" s="90"/>
      <c r="D119" s="90" t="s">
        <v>288</v>
      </c>
      <c r="E119" s="90"/>
      <c r="F119" s="84">
        <v>3.5</v>
      </c>
      <c r="G119" s="84">
        <v>0</v>
      </c>
      <c r="H119" s="101">
        <f>SUM(F119:G119)</f>
        <v>3.5</v>
      </c>
      <c r="I119" s="92"/>
      <c r="J119" s="123"/>
      <c r="K119" s="123"/>
      <c r="L119" s="137"/>
      <c r="M119" s="90"/>
      <c r="N119" s="81"/>
    </row>
    <row r="120" spans="2:14">
      <c r="B120" s="80"/>
      <c r="C120" s="90"/>
      <c r="D120" s="90" t="s">
        <v>289</v>
      </c>
      <c r="E120" s="90"/>
      <c r="F120" s="84">
        <v>0</v>
      </c>
      <c r="G120" s="84">
        <v>0</v>
      </c>
      <c r="H120" s="101">
        <f>SUM(F120:G120)</f>
        <v>0</v>
      </c>
      <c r="I120" s="92"/>
      <c r="J120" s="123"/>
      <c r="K120" s="123"/>
      <c r="L120" s="137"/>
      <c r="M120" s="90"/>
      <c r="N120" s="81"/>
    </row>
    <row r="121" spans="2:14">
      <c r="B121" s="80"/>
      <c r="C121" s="90"/>
      <c r="D121" s="137" t="s">
        <v>295</v>
      </c>
      <c r="E121" s="97"/>
      <c r="F121" s="92"/>
      <c r="G121" s="92"/>
      <c r="H121" s="107">
        <f>SUM(H116:H120)</f>
        <v>9</v>
      </c>
      <c r="I121" s="92"/>
      <c r="J121" s="90"/>
      <c r="K121" s="97"/>
      <c r="L121" s="97"/>
      <c r="M121" s="90"/>
      <c r="N121" s="81"/>
    </row>
    <row r="122" spans="2:14">
      <c r="B122" s="80"/>
      <c r="C122" s="90"/>
      <c r="D122" s="137" t="s">
        <v>337</v>
      </c>
      <c r="E122" s="97"/>
      <c r="F122" s="92"/>
      <c r="G122" s="92"/>
      <c r="H122" s="107">
        <f>ROUND(H121*F112,0)</f>
        <v>360</v>
      </c>
      <c r="I122" s="92"/>
      <c r="J122" s="90"/>
      <c r="K122" s="97"/>
      <c r="L122" s="97"/>
      <c r="M122" s="90"/>
      <c r="N122" s="81"/>
    </row>
    <row r="123" spans="2:14">
      <c r="B123" s="80"/>
      <c r="C123" s="90"/>
      <c r="D123" s="137"/>
      <c r="E123" s="90"/>
      <c r="F123" s="90"/>
      <c r="G123" s="90"/>
      <c r="H123" s="90"/>
      <c r="I123" s="90"/>
      <c r="J123" s="90"/>
      <c r="K123" s="97"/>
      <c r="L123" s="97"/>
      <c r="M123" s="90"/>
      <c r="N123" s="81"/>
    </row>
    <row r="124" spans="2:14">
      <c r="B124" s="80"/>
      <c r="D124" s="160"/>
      <c r="K124" s="85"/>
      <c r="L124" s="85"/>
      <c r="N124" s="81"/>
    </row>
    <row r="125" spans="2:14">
      <c r="B125" s="80"/>
      <c r="C125" s="90"/>
      <c r="D125" s="137"/>
      <c r="E125" s="90"/>
      <c r="F125" s="90"/>
      <c r="G125" s="90"/>
      <c r="H125" s="90"/>
      <c r="I125" s="90"/>
      <c r="J125" s="90"/>
      <c r="K125" s="97"/>
      <c r="L125" s="97"/>
      <c r="M125" s="90"/>
      <c r="N125" s="81"/>
    </row>
    <row r="126" spans="2:14">
      <c r="B126" s="80"/>
      <c r="C126" s="90"/>
      <c r="D126" s="93" t="s">
        <v>392</v>
      </c>
      <c r="E126" s="90"/>
      <c r="F126" s="83">
        <v>0</v>
      </c>
      <c r="G126" s="90"/>
      <c r="H126" s="90"/>
      <c r="I126" s="90"/>
      <c r="J126" s="90"/>
      <c r="K126" s="97"/>
      <c r="L126" s="97"/>
      <c r="M126" s="90"/>
      <c r="N126" s="81"/>
    </row>
    <row r="127" spans="2:14">
      <c r="B127" s="80"/>
      <c r="C127" s="93"/>
      <c r="D127" s="137"/>
      <c r="E127" s="90"/>
      <c r="F127" s="90"/>
      <c r="G127" s="90"/>
      <c r="H127" s="90"/>
      <c r="I127" s="90"/>
      <c r="J127" s="90"/>
      <c r="K127" s="97"/>
      <c r="L127" s="97"/>
      <c r="M127" s="90"/>
      <c r="N127" s="81"/>
    </row>
    <row r="128" spans="2:14">
      <c r="B128" s="80"/>
      <c r="C128" s="90"/>
      <c r="D128" s="137"/>
      <c r="E128" s="90"/>
      <c r="F128" s="103" t="s">
        <v>290</v>
      </c>
      <c r="G128" s="103" t="s">
        <v>291</v>
      </c>
      <c r="H128" s="103" t="s">
        <v>533</v>
      </c>
      <c r="I128" s="132"/>
      <c r="J128" s="103" t="s">
        <v>531</v>
      </c>
      <c r="K128" s="97"/>
      <c r="L128" s="97"/>
      <c r="M128" s="90"/>
      <c r="N128" s="81"/>
    </row>
    <row r="129" spans="2:15">
      <c r="B129" s="80"/>
      <c r="C129" s="90"/>
      <c r="D129" s="137"/>
      <c r="E129" s="90"/>
      <c r="F129" s="90"/>
      <c r="G129" s="90"/>
      <c r="H129" s="90"/>
      <c r="I129" s="90"/>
      <c r="J129" s="90"/>
      <c r="K129" s="97"/>
      <c r="L129" s="97"/>
      <c r="M129" s="90"/>
      <c r="N129" s="81"/>
    </row>
    <row r="130" spans="2:15">
      <c r="B130" s="80"/>
      <c r="C130" s="90"/>
      <c r="D130" s="137" t="s">
        <v>285</v>
      </c>
      <c r="E130" s="90"/>
      <c r="F130" s="84">
        <v>0</v>
      </c>
      <c r="G130" s="84">
        <v>0</v>
      </c>
      <c r="H130" s="101">
        <f>SUM(F130:G130)</f>
        <v>0</v>
      </c>
      <c r="I130" s="90"/>
      <c r="J130" s="123"/>
      <c r="K130" s="123"/>
      <c r="L130" s="137"/>
      <c r="M130" s="90"/>
      <c r="N130" s="81"/>
    </row>
    <row r="131" spans="2:15">
      <c r="B131" s="80"/>
      <c r="C131" s="90"/>
      <c r="D131" s="137" t="s">
        <v>286</v>
      </c>
      <c r="E131" s="90"/>
      <c r="F131" s="84">
        <v>0</v>
      </c>
      <c r="G131" s="84">
        <v>0</v>
      </c>
      <c r="H131" s="101">
        <f>SUM(F131:G131)</f>
        <v>0</v>
      </c>
      <c r="I131" s="90"/>
      <c r="J131" s="123"/>
      <c r="K131" s="123"/>
      <c r="L131" s="137"/>
      <c r="M131" s="90"/>
      <c r="N131" s="81"/>
    </row>
    <row r="132" spans="2:15">
      <c r="B132" s="80"/>
      <c r="C132" s="90"/>
      <c r="D132" s="137" t="s">
        <v>287</v>
      </c>
      <c r="E132" s="90"/>
      <c r="F132" s="84">
        <v>0</v>
      </c>
      <c r="G132" s="84">
        <v>0</v>
      </c>
      <c r="H132" s="101">
        <f>SUM(F132:G132)</f>
        <v>0</v>
      </c>
      <c r="I132" s="90"/>
      <c r="J132" s="123"/>
      <c r="K132" s="123"/>
      <c r="L132" s="137"/>
      <c r="M132" s="90"/>
      <c r="N132" s="81"/>
    </row>
    <row r="133" spans="2:15">
      <c r="B133" s="80"/>
      <c r="C133" s="90"/>
      <c r="D133" s="137" t="s">
        <v>288</v>
      </c>
      <c r="E133" s="90"/>
      <c r="F133" s="84">
        <v>0</v>
      </c>
      <c r="G133" s="84">
        <v>0</v>
      </c>
      <c r="H133" s="101">
        <f>SUM(F133:G133)</f>
        <v>0</v>
      </c>
      <c r="I133" s="90"/>
      <c r="J133" s="123"/>
      <c r="K133" s="123"/>
      <c r="L133" s="137"/>
      <c r="M133" s="90"/>
      <c r="N133" s="81"/>
    </row>
    <row r="134" spans="2:15">
      <c r="B134" s="80"/>
      <c r="C134" s="90"/>
      <c r="D134" s="137" t="s">
        <v>289</v>
      </c>
      <c r="E134" s="90"/>
      <c r="F134" s="84">
        <v>0</v>
      </c>
      <c r="G134" s="84">
        <v>0</v>
      </c>
      <c r="H134" s="101">
        <f>SUM(F134:G134)</f>
        <v>0</v>
      </c>
      <c r="I134" s="90"/>
      <c r="J134" s="123"/>
      <c r="K134" s="123"/>
      <c r="L134" s="137"/>
      <c r="M134" s="90"/>
      <c r="N134" s="81"/>
    </row>
    <row r="135" spans="2:15">
      <c r="B135" s="80"/>
      <c r="C135" s="90"/>
      <c r="D135" s="137" t="s">
        <v>295</v>
      </c>
      <c r="E135" s="97"/>
      <c r="F135" s="92"/>
      <c r="G135" s="92"/>
      <c r="H135" s="107">
        <f>SUM(H130:H134)</f>
        <v>0</v>
      </c>
      <c r="I135" s="90"/>
      <c r="J135" s="90"/>
      <c r="K135" s="97"/>
      <c r="L135" s="97"/>
      <c r="M135" s="90"/>
      <c r="N135" s="81"/>
      <c r="O135" s="160"/>
    </row>
    <row r="136" spans="2:15">
      <c r="B136" s="80"/>
      <c r="C136" s="90"/>
      <c r="D136" s="137" t="s">
        <v>337</v>
      </c>
      <c r="E136" s="97"/>
      <c r="F136" s="92"/>
      <c r="G136" s="92"/>
      <c r="H136" s="107">
        <f>ROUND(H135*F126,0)</f>
        <v>0</v>
      </c>
      <c r="I136" s="90"/>
      <c r="J136" s="90"/>
      <c r="K136" s="97"/>
      <c r="L136" s="97"/>
      <c r="M136" s="90"/>
      <c r="N136" s="81"/>
      <c r="O136" s="160"/>
    </row>
    <row r="137" spans="2:15">
      <c r="B137" s="80"/>
      <c r="C137" s="90"/>
      <c r="D137" s="137"/>
      <c r="E137" s="97"/>
      <c r="F137" s="90"/>
      <c r="G137" s="90"/>
      <c r="H137" s="90"/>
      <c r="I137" s="90"/>
      <c r="J137" s="90"/>
      <c r="K137" s="97"/>
      <c r="L137" s="97"/>
      <c r="M137" s="90"/>
      <c r="N137" s="81"/>
      <c r="O137" s="160"/>
    </row>
    <row r="138" spans="2:15">
      <c r="B138" s="80"/>
      <c r="D138" s="160"/>
      <c r="E138" s="85"/>
      <c r="K138" s="85"/>
      <c r="L138" s="85"/>
      <c r="N138" s="81"/>
    </row>
    <row r="139" spans="2:15">
      <c r="B139" s="80"/>
      <c r="C139" s="90"/>
      <c r="D139" s="137"/>
      <c r="E139" s="97"/>
      <c r="F139" s="90"/>
      <c r="G139" s="90"/>
      <c r="H139" s="90"/>
      <c r="I139" s="90"/>
      <c r="J139" s="90"/>
      <c r="K139" s="97"/>
      <c r="L139" s="97"/>
      <c r="M139" s="90"/>
      <c r="N139" s="81"/>
    </row>
    <row r="140" spans="2:15">
      <c r="B140" s="80"/>
      <c r="C140" s="90"/>
      <c r="D140" s="93" t="s">
        <v>393</v>
      </c>
      <c r="E140" s="90"/>
      <c r="F140" s="83">
        <v>0</v>
      </c>
      <c r="G140" s="90"/>
      <c r="H140" s="90"/>
      <c r="I140" s="90"/>
      <c r="J140" s="90"/>
      <c r="K140" s="97"/>
      <c r="L140" s="97"/>
      <c r="M140" s="90"/>
      <c r="N140" s="81"/>
    </row>
    <row r="141" spans="2:15">
      <c r="B141" s="80"/>
      <c r="C141" s="93"/>
      <c r="D141" s="137"/>
      <c r="E141" s="90"/>
      <c r="F141" s="90"/>
      <c r="G141" s="90"/>
      <c r="H141" s="90"/>
      <c r="I141" s="90"/>
      <c r="J141" s="90"/>
      <c r="K141" s="97"/>
      <c r="L141" s="97"/>
      <c r="M141" s="90"/>
      <c r="N141" s="81"/>
    </row>
    <row r="142" spans="2:15">
      <c r="B142" s="80"/>
      <c r="C142" s="90"/>
      <c r="D142" s="137"/>
      <c r="E142" s="90"/>
      <c r="F142" s="103" t="s">
        <v>290</v>
      </c>
      <c r="G142" s="103" t="s">
        <v>291</v>
      </c>
      <c r="H142" s="103" t="s">
        <v>533</v>
      </c>
      <c r="I142" s="132"/>
      <c r="J142" s="103" t="s">
        <v>531</v>
      </c>
      <c r="K142" s="97"/>
      <c r="L142" s="97"/>
      <c r="M142" s="90"/>
      <c r="N142" s="81"/>
    </row>
    <row r="143" spans="2:15">
      <c r="B143" s="80"/>
      <c r="C143" s="90"/>
      <c r="D143" s="137"/>
      <c r="E143" s="90"/>
      <c r="F143" s="90"/>
      <c r="G143" s="90"/>
      <c r="H143" s="90"/>
      <c r="I143" s="90"/>
      <c r="J143" s="90"/>
      <c r="K143" s="97"/>
      <c r="L143" s="97"/>
      <c r="M143" s="90"/>
      <c r="N143" s="81"/>
    </row>
    <row r="144" spans="2:15">
      <c r="B144" s="80"/>
      <c r="C144" s="90"/>
      <c r="D144" s="137" t="s">
        <v>285</v>
      </c>
      <c r="E144" s="90"/>
      <c r="F144" s="84">
        <v>0</v>
      </c>
      <c r="G144" s="84">
        <v>0</v>
      </c>
      <c r="H144" s="101">
        <f>SUM(F144:G144)</f>
        <v>0</v>
      </c>
      <c r="I144" s="90"/>
      <c r="J144" s="123"/>
      <c r="K144" s="123"/>
      <c r="L144" s="137"/>
      <c r="M144" s="90"/>
      <c r="N144" s="81"/>
    </row>
    <row r="145" spans="2:14">
      <c r="B145" s="80"/>
      <c r="C145" s="90"/>
      <c r="D145" s="137" t="s">
        <v>286</v>
      </c>
      <c r="E145" s="90"/>
      <c r="F145" s="84">
        <v>0</v>
      </c>
      <c r="G145" s="84">
        <v>0</v>
      </c>
      <c r="H145" s="101">
        <f>SUM(F145:G145)</f>
        <v>0</v>
      </c>
      <c r="I145" s="90"/>
      <c r="J145" s="123"/>
      <c r="K145" s="123"/>
      <c r="L145" s="137"/>
      <c r="M145" s="90"/>
      <c r="N145" s="81"/>
    </row>
    <row r="146" spans="2:14">
      <c r="B146" s="80"/>
      <c r="C146" s="90"/>
      <c r="D146" s="137" t="s">
        <v>287</v>
      </c>
      <c r="E146" s="90"/>
      <c r="F146" s="84">
        <v>0</v>
      </c>
      <c r="G146" s="84">
        <v>0</v>
      </c>
      <c r="H146" s="101">
        <f>SUM(F146:G146)</f>
        <v>0</v>
      </c>
      <c r="I146" s="90"/>
      <c r="J146" s="123"/>
      <c r="K146" s="123"/>
      <c r="L146" s="137"/>
      <c r="M146" s="90"/>
      <c r="N146" s="81"/>
    </row>
    <row r="147" spans="2:14">
      <c r="B147" s="80"/>
      <c r="C147" s="90"/>
      <c r="D147" s="137" t="s">
        <v>288</v>
      </c>
      <c r="E147" s="90"/>
      <c r="F147" s="84">
        <v>0</v>
      </c>
      <c r="G147" s="84">
        <v>0</v>
      </c>
      <c r="H147" s="101">
        <f>SUM(F147:G147)</f>
        <v>0</v>
      </c>
      <c r="I147" s="90"/>
      <c r="J147" s="123"/>
      <c r="K147" s="123"/>
      <c r="L147" s="137"/>
      <c r="M147" s="90"/>
      <c r="N147" s="81"/>
    </row>
    <row r="148" spans="2:14">
      <c r="B148" s="80"/>
      <c r="C148" s="90"/>
      <c r="D148" s="137" t="s">
        <v>289</v>
      </c>
      <c r="E148" s="90"/>
      <c r="F148" s="84">
        <v>0</v>
      </c>
      <c r="G148" s="84">
        <v>0</v>
      </c>
      <c r="H148" s="101">
        <f>SUM(F148:G148)</f>
        <v>0</v>
      </c>
      <c r="I148" s="90"/>
      <c r="J148" s="123"/>
      <c r="K148" s="123"/>
      <c r="L148" s="137"/>
      <c r="M148" s="90"/>
      <c r="N148" s="81"/>
    </row>
    <row r="149" spans="2:14">
      <c r="B149" s="80"/>
      <c r="C149" s="90"/>
      <c r="D149" s="137" t="s">
        <v>295</v>
      </c>
      <c r="E149" s="97"/>
      <c r="F149" s="92"/>
      <c r="G149" s="92"/>
      <c r="H149" s="107">
        <f>SUM(H144:H148)</f>
        <v>0</v>
      </c>
      <c r="I149" s="90"/>
      <c r="J149" s="90"/>
      <c r="K149" s="97"/>
      <c r="L149" s="97"/>
      <c r="M149" s="90"/>
      <c r="N149" s="81"/>
    </row>
    <row r="150" spans="2:14">
      <c r="B150" s="80"/>
      <c r="C150" s="90"/>
      <c r="D150" s="137" t="s">
        <v>337</v>
      </c>
      <c r="E150" s="97"/>
      <c r="F150" s="92"/>
      <c r="G150" s="92"/>
      <c r="H150" s="107">
        <f>ROUND(H149*F140,0)</f>
        <v>0</v>
      </c>
      <c r="I150" s="90"/>
      <c r="J150" s="90"/>
      <c r="K150" s="97"/>
      <c r="L150" s="97"/>
      <c r="M150" s="90"/>
      <c r="N150" s="81"/>
    </row>
    <row r="151" spans="2:14">
      <c r="B151" s="80"/>
      <c r="C151" s="90"/>
      <c r="D151" s="137"/>
      <c r="E151" s="97"/>
      <c r="F151" s="90"/>
      <c r="G151" s="90"/>
      <c r="H151" s="90"/>
      <c r="I151" s="90"/>
      <c r="J151" s="90"/>
      <c r="K151" s="97"/>
      <c r="L151" s="97"/>
      <c r="M151" s="90"/>
      <c r="N151" s="81"/>
    </row>
    <row r="152" spans="2:14">
      <c r="B152" s="80"/>
      <c r="D152" s="160"/>
      <c r="E152" s="85"/>
      <c r="K152" s="85"/>
      <c r="L152" s="85"/>
      <c r="N152" s="81"/>
    </row>
    <row r="153" spans="2:14">
      <c r="B153" s="80"/>
      <c r="C153" s="90"/>
      <c r="D153" s="137"/>
      <c r="E153" s="90"/>
      <c r="F153" s="90"/>
      <c r="G153" s="90"/>
      <c r="H153" s="90"/>
      <c r="I153" s="90"/>
      <c r="J153" s="90"/>
      <c r="K153" s="97"/>
      <c r="L153" s="97"/>
      <c r="M153" s="90"/>
      <c r="N153" s="81"/>
    </row>
    <row r="154" spans="2:14">
      <c r="B154" s="80"/>
      <c r="C154" s="90"/>
      <c r="D154" s="93" t="s">
        <v>394</v>
      </c>
      <c r="E154" s="90"/>
      <c r="F154" s="83">
        <v>0</v>
      </c>
      <c r="G154" s="90"/>
      <c r="H154" s="90"/>
      <c r="I154" s="90"/>
      <c r="J154" s="90"/>
      <c r="K154" s="97"/>
      <c r="L154" s="97"/>
      <c r="M154" s="90"/>
      <c r="N154" s="81"/>
    </row>
    <row r="155" spans="2:14">
      <c r="B155" s="80"/>
      <c r="C155" s="93"/>
      <c r="D155" s="137"/>
      <c r="E155" s="90"/>
      <c r="F155" s="90"/>
      <c r="G155" s="90"/>
      <c r="H155" s="90"/>
      <c r="I155" s="90"/>
      <c r="J155" s="90"/>
      <c r="K155" s="97"/>
      <c r="L155" s="97"/>
      <c r="M155" s="90"/>
      <c r="N155" s="81"/>
    </row>
    <row r="156" spans="2:14">
      <c r="B156" s="80"/>
      <c r="C156" s="90"/>
      <c r="D156" s="137"/>
      <c r="E156" s="90"/>
      <c r="F156" s="103" t="s">
        <v>290</v>
      </c>
      <c r="G156" s="103" t="s">
        <v>291</v>
      </c>
      <c r="H156" s="103" t="s">
        <v>533</v>
      </c>
      <c r="I156" s="132"/>
      <c r="J156" s="103" t="s">
        <v>531</v>
      </c>
      <c r="K156" s="97"/>
      <c r="L156" s="97"/>
      <c r="M156" s="90"/>
      <c r="N156" s="81"/>
    </row>
    <row r="157" spans="2:14">
      <c r="B157" s="80"/>
      <c r="C157" s="90"/>
      <c r="D157" s="137"/>
      <c r="E157" s="90"/>
      <c r="F157" s="90"/>
      <c r="G157" s="90"/>
      <c r="H157" s="90"/>
      <c r="I157" s="90"/>
      <c r="J157" s="90"/>
      <c r="K157" s="97"/>
      <c r="L157" s="97"/>
      <c r="M157" s="90"/>
      <c r="N157" s="81"/>
    </row>
    <row r="158" spans="2:14">
      <c r="B158" s="80"/>
      <c r="C158" s="90"/>
      <c r="D158" s="137" t="s">
        <v>285</v>
      </c>
      <c r="E158" s="90"/>
      <c r="F158" s="84">
        <v>0</v>
      </c>
      <c r="G158" s="84">
        <v>0</v>
      </c>
      <c r="H158" s="101">
        <f>SUM(F158:G158)</f>
        <v>0</v>
      </c>
      <c r="I158" s="90"/>
      <c r="J158" s="123"/>
      <c r="K158" s="123"/>
      <c r="L158" s="137"/>
      <c r="M158" s="90"/>
      <c r="N158" s="81"/>
    </row>
    <row r="159" spans="2:14">
      <c r="B159" s="80"/>
      <c r="C159" s="90"/>
      <c r="D159" s="137" t="s">
        <v>286</v>
      </c>
      <c r="E159" s="90"/>
      <c r="F159" s="84">
        <v>0</v>
      </c>
      <c r="G159" s="84">
        <v>0</v>
      </c>
      <c r="H159" s="101">
        <f>SUM(F159:G159)</f>
        <v>0</v>
      </c>
      <c r="I159" s="90"/>
      <c r="J159" s="123"/>
      <c r="K159" s="123"/>
      <c r="L159" s="137"/>
      <c r="M159" s="90"/>
      <c r="N159" s="81"/>
    </row>
    <row r="160" spans="2:14">
      <c r="B160" s="80"/>
      <c r="C160" s="90"/>
      <c r="D160" s="137" t="s">
        <v>287</v>
      </c>
      <c r="E160" s="90"/>
      <c r="F160" s="84">
        <v>0</v>
      </c>
      <c r="G160" s="84">
        <v>0</v>
      </c>
      <c r="H160" s="101">
        <f>SUM(F160:G160)</f>
        <v>0</v>
      </c>
      <c r="I160" s="90"/>
      <c r="J160" s="123"/>
      <c r="K160" s="123"/>
      <c r="L160" s="137"/>
      <c r="M160" s="90"/>
      <c r="N160" s="81"/>
    </row>
    <row r="161" spans="2:14">
      <c r="B161" s="80"/>
      <c r="C161" s="90"/>
      <c r="D161" s="137" t="s">
        <v>288</v>
      </c>
      <c r="E161" s="90"/>
      <c r="F161" s="84">
        <v>0</v>
      </c>
      <c r="G161" s="84">
        <v>0</v>
      </c>
      <c r="H161" s="101">
        <f>SUM(F161:G161)</f>
        <v>0</v>
      </c>
      <c r="I161" s="90"/>
      <c r="J161" s="123"/>
      <c r="K161" s="123"/>
      <c r="L161" s="137"/>
      <c r="M161" s="90"/>
      <c r="N161" s="81"/>
    </row>
    <row r="162" spans="2:14">
      <c r="B162" s="80"/>
      <c r="C162" s="90"/>
      <c r="D162" s="137" t="s">
        <v>289</v>
      </c>
      <c r="E162" s="90"/>
      <c r="F162" s="84">
        <v>0</v>
      </c>
      <c r="G162" s="84">
        <v>0</v>
      </c>
      <c r="H162" s="101">
        <f>SUM(F162:G162)</f>
        <v>0</v>
      </c>
      <c r="I162" s="90"/>
      <c r="J162" s="123"/>
      <c r="K162" s="123"/>
      <c r="L162" s="137"/>
      <c r="M162" s="90"/>
      <c r="N162" s="81"/>
    </row>
    <row r="163" spans="2:14">
      <c r="B163" s="80"/>
      <c r="C163" s="90"/>
      <c r="D163" s="137" t="s">
        <v>295</v>
      </c>
      <c r="E163" s="97"/>
      <c r="F163" s="92"/>
      <c r="G163" s="92"/>
      <c r="H163" s="107">
        <f>SUM(H158:H162)</f>
        <v>0</v>
      </c>
      <c r="I163" s="90"/>
      <c r="J163" s="90"/>
      <c r="K163" s="97"/>
      <c r="L163" s="97"/>
      <c r="M163" s="90"/>
      <c r="N163" s="81"/>
    </row>
    <row r="164" spans="2:14">
      <c r="B164" s="80"/>
      <c r="C164" s="90"/>
      <c r="D164" s="137" t="s">
        <v>337</v>
      </c>
      <c r="E164" s="97"/>
      <c r="F164" s="92"/>
      <c r="G164" s="92"/>
      <c r="H164" s="107">
        <f>ROUND(H163*F154,0)</f>
        <v>0</v>
      </c>
      <c r="I164" s="90"/>
      <c r="J164" s="90"/>
      <c r="K164" s="97"/>
      <c r="L164" s="97"/>
      <c r="M164" s="90"/>
      <c r="N164" s="81"/>
    </row>
    <row r="165" spans="2:14">
      <c r="B165" s="80"/>
      <c r="C165" s="90"/>
      <c r="D165" s="137"/>
      <c r="E165" s="90"/>
      <c r="F165" s="90"/>
      <c r="G165" s="90"/>
      <c r="H165" s="90"/>
      <c r="I165" s="90"/>
      <c r="J165" s="90"/>
      <c r="K165" s="90"/>
      <c r="L165" s="90"/>
      <c r="M165" s="90"/>
      <c r="N165" s="81"/>
    </row>
    <row r="166" spans="2:14">
      <c r="B166" s="80"/>
      <c r="D166" s="160"/>
      <c r="N166" s="81"/>
    </row>
    <row r="167" spans="2:14">
      <c r="B167" s="80"/>
      <c r="C167" s="90"/>
      <c r="D167" s="90"/>
      <c r="E167" s="90"/>
      <c r="F167" s="90"/>
      <c r="G167" s="90"/>
      <c r="H167" s="90"/>
      <c r="I167" s="90"/>
      <c r="J167" s="90"/>
      <c r="K167" s="90"/>
      <c r="L167" s="90"/>
      <c r="M167" s="90"/>
      <c r="N167" s="81"/>
    </row>
    <row r="168" spans="2:14">
      <c r="B168" s="80"/>
      <c r="C168" s="90"/>
      <c r="D168" s="93" t="s">
        <v>338</v>
      </c>
      <c r="E168" s="90"/>
      <c r="F168" s="90"/>
      <c r="G168" s="90"/>
      <c r="H168" s="145">
        <f>+H122+H136+H150+H164</f>
        <v>360</v>
      </c>
      <c r="I168" s="119"/>
      <c r="J168" s="90"/>
      <c r="K168" s="90"/>
      <c r="L168" s="90"/>
      <c r="M168" s="90"/>
      <c r="N168" s="81"/>
    </row>
    <row r="169" spans="2:14">
      <c r="B169" s="80"/>
      <c r="C169" s="90"/>
      <c r="D169" s="90"/>
      <c r="E169" s="90"/>
      <c r="F169" s="90"/>
      <c r="G169" s="97"/>
      <c r="H169" s="90"/>
      <c r="I169" s="90"/>
      <c r="J169" s="90"/>
      <c r="K169" s="121"/>
      <c r="L169" s="121"/>
      <c r="M169" s="90"/>
      <c r="N169" s="81"/>
    </row>
    <row r="170" spans="2:14" ht="13.5" thickBot="1">
      <c r="B170" s="86"/>
      <c r="C170" s="87"/>
      <c r="D170" s="196"/>
      <c r="E170" s="87"/>
      <c r="F170" s="87"/>
      <c r="G170" s="87"/>
      <c r="H170" s="87"/>
      <c r="I170" s="87"/>
      <c r="J170" s="87"/>
      <c r="K170" s="87"/>
      <c r="L170" s="87"/>
      <c r="M170" s="87"/>
      <c r="N170" s="89"/>
    </row>
    <row r="171" spans="2:14">
      <c r="B171" s="76"/>
      <c r="C171" s="77"/>
      <c r="D171" s="195"/>
      <c r="E171" s="77"/>
      <c r="F171" s="77"/>
      <c r="G171" s="77"/>
      <c r="H171" s="77"/>
      <c r="I171" s="77"/>
      <c r="J171" s="77"/>
      <c r="K171" s="77"/>
      <c r="L171" s="77"/>
      <c r="M171" s="77"/>
      <c r="N171" s="79"/>
    </row>
    <row r="172" spans="2:14">
      <c r="B172" s="80"/>
      <c r="C172" s="90"/>
      <c r="D172" s="137"/>
      <c r="E172" s="90"/>
      <c r="F172" s="90"/>
      <c r="G172" s="90"/>
      <c r="H172" s="90"/>
      <c r="I172" s="90"/>
      <c r="J172" s="90"/>
      <c r="K172" s="90"/>
      <c r="L172" s="90"/>
      <c r="M172" s="90"/>
      <c r="N172" s="81"/>
    </row>
    <row r="173" spans="2:14" ht="15">
      <c r="B173" s="80"/>
      <c r="C173" s="90"/>
      <c r="D173" s="91" t="s">
        <v>570</v>
      </c>
      <c r="E173" s="90"/>
      <c r="F173" s="90"/>
      <c r="G173" s="90"/>
      <c r="H173" s="90"/>
      <c r="I173" s="90"/>
      <c r="J173" s="90"/>
      <c r="K173" s="90"/>
      <c r="L173" s="90"/>
      <c r="M173" s="90"/>
      <c r="N173" s="81"/>
    </row>
    <row r="174" spans="2:14">
      <c r="B174" s="80"/>
      <c r="C174" s="90"/>
      <c r="D174" s="137"/>
      <c r="E174" s="90"/>
      <c r="F174" s="90"/>
      <c r="G174" s="90"/>
      <c r="H174" s="90"/>
      <c r="I174" s="90"/>
      <c r="J174" s="90"/>
      <c r="K174" s="90"/>
      <c r="L174" s="90"/>
      <c r="M174" s="90"/>
      <c r="N174" s="81"/>
    </row>
    <row r="175" spans="2:14">
      <c r="B175" s="80"/>
      <c r="C175" s="90"/>
      <c r="D175" s="100" t="s">
        <v>455</v>
      </c>
      <c r="E175" s="90"/>
      <c r="F175" s="83">
        <v>40</v>
      </c>
      <c r="G175" s="90"/>
      <c r="H175" s="90"/>
      <c r="I175" s="90"/>
      <c r="J175" s="90"/>
      <c r="K175" s="90"/>
      <c r="L175" s="90"/>
      <c r="M175" s="90"/>
      <c r="N175" s="81"/>
    </row>
    <row r="176" spans="2:14">
      <c r="B176" s="80"/>
      <c r="C176" s="90"/>
      <c r="D176" s="137"/>
      <c r="E176" s="90"/>
      <c r="F176" s="90"/>
      <c r="G176" s="90"/>
      <c r="H176" s="92"/>
      <c r="I176" s="216"/>
      <c r="J176" s="201" t="s">
        <v>531</v>
      </c>
      <c r="K176" s="132" t="s">
        <v>79</v>
      </c>
      <c r="L176" s="90"/>
      <c r="M176" s="90"/>
      <c r="N176" s="81"/>
    </row>
    <row r="177" spans="2:14">
      <c r="B177" s="80"/>
      <c r="C177" s="90"/>
      <c r="D177" s="137"/>
      <c r="E177" s="90"/>
      <c r="F177" s="90"/>
      <c r="G177" s="90"/>
      <c r="H177" s="92"/>
      <c r="I177" s="97"/>
      <c r="J177" s="97"/>
      <c r="K177" s="90"/>
      <c r="L177" s="90"/>
      <c r="M177" s="90"/>
      <c r="N177" s="81"/>
    </row>
    <row r="178" spans="2:14">
      <c r="B178" s="80"/>
      <c r="C178" s="90"/>
      <c r="D178" s="137" t="s">
        <v>285</v>
      </c>
      <c r="E178" s="90"/>
      <c r="F178" s="90"/>
      <c r="G178" s="90"/>
      <c r="H178" s="156">
        <v>9</v>
      </c>
      <c r="I178" s="137"/>
      <c r="J178" s="123"/>
      <c r="K178" s="83"/>
      <c r="L178" s="90"/>
      <c r="M178" s="90"/>
      <c r="N178" s="81"/>
    </row>
    <row r="179" spans="2:14">
      <c r="B179" s="80"/>
      <c r="C179" s="90"/>
      <c r="D179" s="137" t="s">
        <v>286</v>
      </c>
      <c r="E179" s="90"/>
      <c r="F179" s="90"/>
      <c r="G179" s="90"/>
      <c r="H179" s="156">
        <v>0</v>
      </c>
      <c r="I179" s="137"/>
      <c r="J179" s="123"/>
      <c r="K179" s="83"/>
      <c r="L179" s="90"/>
      <c r="M179" s="90"/>
      <c r="N179" s="81"/>
    </row>
    <row r="180" spans="2:14">
      <c r="B180" s="80"/>
      <c r="C180" s="90"/>
      <c r="D180" s="137" t="s">
        <v>287</v>
      </c>
      <c r="E180" s="90"/>
      <c r="F180" s="90"/>
      <c r="G180" s="90"/>
      <c r="H180" s="156">
        <v>8</v>
      </c>
      <c r="I180" s="137"/>
      <c r="J180" s="123"/>
      <c r="K180" s="83"/>
      <c r="L180" s="90"/>
      <c r="M180" s="90"/>
      <c r="N180" s="81"/>
    </row>
    <row r="181" spans="2:14">
      <c r="B181" s="80"/>
      <c r="C181" s="90"/>
      <c r="D181" s="137" t="s">
        <v>288</v>
      </c>
      <c r="E181" s="90"/>
      <c r="F181" s="90"/>
      <c r="G181" s="90"/>
      <c r="H181" s="156">
        <v>2</v>
      </c>
      <c r="I181" s="137"/>
      <c r="J181" s="123"/>
      <c r="K181" s="83"/>
      <c r="L181" s="90"/>
      <c r="M181" s="90"/>
      <c r="N181" s="81"/>
    </row>
    <row r="182" spans="2:14">
      <c r="B182" s="80"/>
      <c r="C182" s="90"/>
      <c r="D182" s="137" t="s">
        <v>289</v>
      </c>
      <c r="E182" s="90"/>
      <c r="F182" s="90"/>
      <c r="G182" s="90"/>
      <c r="H182" s="156">
        <v>4</v>
      </c>
      <c r="I182" s="137"/>
      <c r="J182" s="123" t="s">
        <v>591</v>
      </c>
      <c r="K182" s="83"/>
      <c r="L182" s="90"/>
      <c r="M182" s="90"/>
      <c r="N182" s="81"/>
    </row>
    <row r="183" spans="2:14">
      <c r="B183" s="80"/>
      <c r="C183" s="90"/>
      <c r="D183" s="137" t="s">
        <v>295</v>
      </c>
      <c r="E183" s="90"/>
      <c r="F183" s="90"/>
      <c r="G183" s="175"/>
      <c r="H183" s="219">
        <f>SUM(H178:H182)</f>
        <v>23</v>
      </c>
      <c r="I183" s="97"/>
      <c r="J183" s="97"/>
      <c r="K183" s="130">
        <f>SUM(K178:K182)</f>
        <v>0</v>
      </c>
      <c r="L183" s="130">
        <f>+K183*F175</f>
        <v>0</v>
      </c>
      <c r="M183" s="90"/>
      <c r="N183" s="81"/>
    </row>
    <row r="184" spans="2:14">
      <c r="B184" s="80"/>
      <c r="C184" s="90"/>
      <c r="D184" s="137" t="s">
        <v>337</v>
      </c>
      <c r="E184" s="90"/>
      <c r="F184" s="90"/>
      <c r="G184" s="90"/>
      <c r="H184" s="107">
        <f>ROUND(H183*F175,0)</f>
        <v>920</v>
      </c>
      <c r="I184" s="97"/>
      <c r="J184" s="97"/>
      <c r="K184" s="90"/>
      <c r="L184" s="90"/>
      <c r="M184" s="90"/>
      <c r="N184" s="81"/>
    </row>
    <row r="185" spans="2:14">
      <c r="B185" s="80"/>
      <c r="C185" s="90"/>
      <c r="D185" s="137"/>
      <c r="E185" s="97"/>
      <c r="F185" s="90"/>
      <c r="G185" s="90"/>
      <c r="H185" s="92"/>
      <c r="I185" s="97"/>
      <c r="J185" s="97"/>
      <c r="K185" s="90"/>
      <c r="L185" s="90"/>
      <c r="M185" s="90"/>
      <c r="N185" s="81"/>
    </row>
    <row r="186" spans="2:14">
      <c r="B186" s="80"/>
      <c r="D186" s="160"/>
      <c r="E186" s="85"/>
      <c r="H186" s="75"/>
      <c r="I186" s="85"/>
      <c r="J186" s="85"/>
      <c r="N186" s="81"/>
    </row>
    <row r="187" spans="2:14">
      <c r="B187" s="80"/>
      <c r="C187" s="90"/>
      <c r="D187" s="137"/>
      <c r="E187" s="97"/>
      <c r="F187" s="90"/>
      <c r="G187" s="90"/>
      <c r="H187" s="92"/>
      <c r="I187" s="97"/>
      <c r="J187" s="97"/>
      <c r="K187" s="90"/>
      <c r="L187" s="90"/>
      <c r="M187" s="90"/>
      <c r="N187" s="81"/>
    </row>
    <row r="188" spans="2:14">
      <c r="B188" s="80"/>
      <c r="C188" s="90"/>
      <c r="D188" s="100" t="s">
        <v>563</v>
      </c>
      <c r="E188" s="90"/>
      <c r="F188" s="83">
        <v>0</v>
      </c>
      <c r="G188" s="90"/>
      <c r="H188" s="90"/>
      <c r="I188" s="97"/>
      <c r="J188" s="97"/>
      <c r="K188" s="90"/>
      <c r="L188" s="90"/>
      <c r="M188" s="90"/>
      <c r="N188" s="81"/>
    </row>
    <row r="189" spans="2:14">
      <c r="B189" s="80"/>
      <c r="C189" s="90"/>
      <c r="D189" s="137"/>
      <c r="E189" s="90"/>
      <c r="F189" s="90"/>
      <c r="G189" s="90"/>
      <c r="H189" s="92"/>
      <c r="I189" s="216"/>
      <c r="J189" s="201" t="s">
        <v>531</v>
      </c>
      <c r="K189" s="132" t="s">
        <v>79</v>
      </c>
      <c r="L189" s="90"/>
      <c r="M189" s="90"/>
      <c r="N189" s="81"/>
    </row>
    <row r="190" spans="2:14">
      <c r="B190" s="80"/>
      <c r="C190" s="90"/>
      <c r="D190" s="137"/>
      <c r="E190" s="90"/>
      <c r="F190" s="90"/>
      <c r="G190" s="90"/>
      <c r="H190" s="92"/>
      <c r="I190" s="97"/>
      <c r="J190" s="97"/>
      <c r="K190" s="90"/>
      <c r="L190" s="90"/>
      <c r="M190" s="90"/>
      <c r="N190" s="81"/>
    </row>
    <row r="191" spans="2:14">
      <c r="B191" s="80"/>
      <c r="C191" s="90"/>
      <c r="D191" s="137" t="s">
        <v>285</v>
      </c>
      <c r="E191" s="90"/>
      <c r="F191" s="90"/>
      <c r="G191" s="90"/>
      <c r="H191" s="84">
        <v>0</v>
      </c>
      <c r="I191" s="137"/>
      <c r="J191" s="123"/>
      <c r="K191" s="83"/>
      <c r="L191" s="90"/>
      <c r="M191" s="90"/>
      <c r="N191" s="81"/>
    </row>
    <row r="192" spans="2:14">
      <c r="B192" s="80"/>
      <c r="C192" s="90"/>
      <c r="D192" s="137" t="s">
        <v>286</v>
      </c>
      <c r="E192" s="90"/>
      <c r="F192" s="90"/>
      <c r="G192" s="90"/>
      <c r="H192" s="84">
        <v>0</v>
      </c>
      <c r="I192" s="137"/>
      <c r="J192" s="123"/>
      <c r="K192" s="83"/>
      <c r="L192" s="90"/>
      <c r="M192" s="90"/>
      <c r="N192" s="81"/>
    </row>
    <row r="193" spans="2:14">
      <c r="B193" s="80"/>
      <c r="C193" s="90"/>
      <c r="D193" s="137" t="s">
        <v>287</v>
      </c>
      <c r="E193" s="90"/>
      <c r="F193" s="90"/>
      <c r="G193" s="90"/>
      <c r="H193" s="84">
        <v>0</v>
      </c>
      <c r="I193" s="137"/>
      <c r="J193" s="123"/>
      <c r="K193" s="83"/>
      <c r="L193" s="90"/>
      <c r="M193" s="90"/>
      <c r="N193" s="81"/>
    </row>
    <row r="194" spans="2:14">
      <c r="B194" s="80"/>
      <c r="C194" s="90"/>
      <c r="D194" s="137" t="s">
        <v>288</v>
      </c>
      <c r="E194" s="90"/>
      <c r="F194" s="90"/>
      <c r="G194" s="90"/>
      <c r="H194" s="84">
        <v>0</v>
      </c>
      <c r="I194" s="137"/>
      <c r="J194" s="123"/>
      <c r="K194" s="83"/>
      <c r="L194" s="90"/>
      <c r="M194" s="90"/>
      <c r="N194" s="81"/>
    </row>
    <row r="195" spans="2:14">
      <c r="B195" s="80"/>
      <c r="C195" s="90"/>
      <c r="D195" s="137" t="s">
        <v>289</v>
      </c>
      <c r="E195" s="90"/>
      <c r="F195" s="90"/>
      <c r="G195" s="90"/>
      <c r="H195" s="84">
        <v>0</v>
      </c>
      <c r="I195" s="137"/>
      <c r="J195" s="123"/>
      <c r="K195" s="83"/>
      <c r="L195" s="90"/>
      <c r="M195" s="90"/>
      <c r="N195" s="81"/>
    </row>
    <row r="196" spans="2:14">
      <c r="B196" s="80"/>
      <c r="C196" s="90"/>
      <c r="D196" s="137" t="s">
        <v>295</v>
      </c>
      <c r="E196" s="90"/>
      <c r="F196" s="90"/>
      <c r="G196" s="90"/>
      <c r="H196" s="171">
        <f>SUM(H191:H195)</f>
        <v>0</v>
      </c>
      <c r="I196" s="97"/>
      <c r="J196" s="97"/>
      <c r="K196" s="130">
        <f>SUM(K191:K195)</f>
        <v>0</v>
      </c>
      <c r="L196" s="130">
        <f>+K196*F188</f>
        <v>0</v>
      </c>
      <c r="M196" s="90"/>
      <c r="N196" s="81"/>
    </row>
    <row r="197" spans="2:14">
      <c r="B197" s="80"/>
      <c r="C197" s="90"/>
      <c r="D197" s="137" t="s">
        <v>337</v>
      </c>
      <c r="E197" s="90"/>
      <c r="F197" s="90"/>
      <c r="G197" s="90"/>
      <c r="H197" s="107">
        <f>ROUND(H196*F188,0)</f>
        <v>0</v>
      </c>
      <c r="I197" s="97"/>
      <c r="J197" s="97"/>
      <c r="K197" s="90"/>
      <c r="L197" s="90"/>
      <c r="M197" s="90"/>
      <c r="N197" s="81"/>
    </row>
    <row r="198" spans="2:14">
      <c r="B198" s="80"/>
      <c r="C198" s="90"/>
      <c r="D198" s="137"/>
      <c r="E198" s="97"/>
      <c r="F198" s="90"/>
      <c r="G198" s="90"/>
      <c r="H198" s="92"/>
      <c r="I198" s="97"/>
      <c r="J198" s="97"/>
      <c r="K198" s="90"/>
      <c r="L198" s="90"/>
      <c r="M198" s="90"/>
      <c r="N198" s="81"/>
    </row>
    <row r="199" spans="2:14">
      <c r="B199" s="80"/>
      <c r="D199" s="160"/>
      <c r="E199" s="85"/>
      <c r="H199" s="75"/>
      <c r="I199" s="85"/>
      <c r="J199" s="85"/>
      <c r="N199" s="81"/>
    </row>
    <row r="200" spans="2:14">
      <c r="B200" s="80"/>
      <c r="C200" s="90"/>
      <c r="D200" s="137"/>
      <c r="E200" s="97"/>
      <c r="F200" s="90"/>
      <c r="G200" s="90"/>
      <c r="H200" s="92"/>
      <c r="I200" s="97"/>
      <c r="J200" s="97"/>
      <c r="K200" s="90"/>
      <c r="L200" s="90"/>
      <c r="M200" s="90"/>
      <c r="N200" s="81"/>
    </row>
    <row r="201" spans="2:14">
      <c r="B201" s="80"/>
      <c r="C201" s="90"/>
      <c r="D201" s="100" t="s">
        <v>564</v>
      </c>
      <c r="E201" s="97"/>
      <c r="F201" s="83">
        <v>0</v>
      </c>
      <c r="G201" s="90"/>
      <c r="H201" s="90"/>
      <c r="I201" s="97"/>
      <c r="J201" s="97"/>
      <c r="K201" s="90"/>
      <c r="L201" s="90"/>
      <c r="M201" s="90"/>
      <c r="N201" s="81"/>
    </row>
    <row r="202" spans="2:14">
      <c r="B202" s="80"/>
      <c r="C202" s="90"/>
      <c r="D202" s="137"/>
      <c r="E202" s="90"/>
      <c r="F202" s="90"/>
      <c r="G202" s="90"/>
      <c r="H202" s="92"/>
      <c r="I202" s="216"/>
      <c r="J202" s="201" t="s">
        <v>531</v>
      </c>
      <c r="K202" s="132" t="s">
        <v>79</v>
      </c>
      <c r="L202" s="90"/>
      <c r="M202" s="90"/>
      <c r="N202" s="81"/>
    </row>
    <row r="203" spans="2:14">
      <c r="B203" s="80"/>
      <c r="C203" s="90"/>
      <c r="D203" s="137"/>
      <c r="E203" s="90"/>
      <c r="F203" s="90"/>
      <c r="G203" s="90"/>
      <c r="H203" s="92"/>
      <c r="I203" s="97"/>
      <c r="J203" s="97"/>
      <c r="K203" s="90"/>
      <c r="L203" s="90"/>
      <c r="M203" s="90"/>
      <c r="N203" s="81"/>
    </row>
    <row r="204" spans="2:14">
      <c r="B204" s="80"/>
      <c r="C204" s="90"/>
      <c r="D204" s="137" t="s">
        <v>285</v>
      </c>
      <c r="E204" s="90"/>
      <c r="F204" s="90"/>
      <c r="G204" s="90"/>
      <c r="H204" s="84">
        <v>0</v>
      </c>
      <c r="I204" s="137"/>
      <c r="J204" s="123"/>
      <c r="K204" s="83"/>
      <c r="L204" s="90"/>
      <c r="M204" s="90"/>
      <c r="N204" s="81"/>
    </row>
    <row r="205" spans="2:14">
      <c r="B205" s="80"/>
      <c r="C205" s="90"/>
      <c r="D205" s="137" t="s">
        <v>286</v>
      </c>
      <c r="E205" s="90"/>
      <c r="F205" s="90"/>
      <c r="G205" s="90"/>
      <c r="H205" s="84">
        <v>0</v>
      </c>
      <c r="I205" s="137"/>
      <c r="J205" s="123"/>
      <c r="K205" s="83"/>
      <c r="L205" s="90"/>
      <c r="M205" s="90"/>
      <c r="N205" s="81"/>
    </row>
    <row r="206" spans="2:14">
      <c r="B206" s="80"/>
      <c r="C206" s="90"/>
      <c r="D206" s="137" t="s">
        <v>287</v>
      </c>
      <c r="E206" s="90"/>
      <c r="F206" s="90"/>
      <c r="G206" s="90"/>
      <c r="H206" s="84">
        <v>0</v>
      </c>
      <c r="I206" s="137"/>
      <c r="J206" s="123"/>
      <c r="K206" s="83"/>
      <c r="L206" s="90"/>
      <c r="M206" s="90"/>
      <c r="N206" s="81"/>
    </row>
    <row r="207" spans="2:14">
      <c r="B207" s="80"/>
      <c r="C207" s="90"/>
      <c r="D207" s="137" t="s">
        <v>288</v>
      </c>
      <c r="E207" s="90"/>
      <c r="F207" s="90"/>
      <c r="G207" s="90"/>
      <c r="H207" s="84">
        <v>0</v>
      </c>
      <c r="I207" s="137"/>
      <c r="J207" s="123"/>
      <c r="K207" s="83"/>
      <c r="L207" s="90"/>
      <c r="M207" s="90"/>
      <c r="N207" s="81"/>
    </row>
    <row r="208" spans="2:14">
      <c r="B208" s="80"/>
      <c r="C208" s="90"/>
      <c r="D208" s="137" t="s">
        <v>289</v>
      </c>
      <c r="E208" s="90"/>
      <c r="F208" s="90"/>
      <c r="G208" s="90"/>
      <c r="H208" s="84">
        <v>0</v>
      </c>
      <c r="I208" s="137"/>
      <c r="J208" s="123"/>
      <c r="K208" s="83"/>
      <c r="L208" s="90"/>
      <c r="M208" s="90"/>
      <c r="N208" s="81"/>
    </row>
    <row r="209" spans="2:14">
      <c r="B209" s="80"/>
      <c r="C209" s="90"/>
      <c r="D209" s="137" t="s">
        <v>295</v>
      </c>
      <c r="E209" s="90"/>
      <c r="F209" s="90"/>
      <c r="G209" s="90"/>
      <c r="H209" s="171">
        <f>SUM(H204:H208)</f>
        <v>0</v>
      </c>
      <c r="I209" s="97"/>
      <c r="J209" s="97"/>
      <c r="K209" s="130">
        <f>SUM(K204:K208)</f>
        <v>0</v>
      </c>
      <c r="L209" s="130">
        <f>+K209*F201</f>
        <v>0</v>
      </c>
      <c r="M209" s="90"/>
      <c r="N209" s="81"/>
    </row>
    <row r="210" spans="2:14">
      <c r="B210" s="80"/>
      <c r="C210" s="90"/>
      <c r="D210" s="137" t="s">
        <v>337</v>
      </c>
      <c r="E210" s="90"/>
      <c r="F210" s="90"/>
      <c r="G210" s="90"/>
      <c r="H210" s="107">
        <f>ROUND(H209*F201,0)</f>
        <v>0</v>
      </c>
      <c r="I210" s="97"/>
      <c r="J210" s="97"/>
      <c r="K210" s="90"/>
      <c r="L210" s="90"/>
      <c r="M210" s="90"/>
      <c r="N210" s="81"/>
    </row>
    <row r="211" spans="2:14">
      <c r="B211" s="80"/>
      <c r="C211" s="90"/>
      <c r="D211" s="137"/>
      <c r="E211" s="97"/>
      <c r="F211" s="90"/>
      <c r="G211" s="90"/>
      <c r="H211" s="92"/>
      <c r="I211" s="97"/>
      <c r="J211" s="97"/>
      <c r="K211" s="90"/>
      <c r="L211" s="90"/>
      <c r="M211" s="90"/>
      <c r="N211" s="81"/>
    </row>
    <row r="212" spans="2:14">
      <c r="B212" s="80"/>
      <c r="D212" s="160"/>
      <c r="E212" s="85"/>
      <c r="H212" s="75"/>
      <c r="I212" s="85"/>
      <c r="J212" s="85"/>
      <c r="N212" s="81"/>
    </row>
    <row r="213" spans="2:14">
      <c r="B213" s="80"/>
      <c r="C213" s="90"/>
      <c r="D213" s="137"/>
      <c r="E213" s="97"/>
      <c r="F213" s="90"/>
      <c r="G213" s="90"/>
      <c r="H213" s="92"/>
      <c r="I213" s="97"/>
      <c r="J213" s="97"/>
      <c r="K213" s="90"/>
      <c r="L213" s="90"/>
      <c r="M213" s="90"/>
      <c r="N213" s="81"/>
    </row>
    <row r="214" spans="2:14">
      <c r="B214" s="80"/>
      <c r="C214" s="90"/>
      <c r="D214" s="100" t="s">
        <v>565</v>
      </c>
      <c r="E214" s="90"/>
      <c r="F214" s="83">
        <v>0</v>
      </c>
      <c r="G214" s="90"/>
      <c r="H214" s="90"/>
      <c r="I214" s="97"/>
      <c r="J214" s="97"/>
      <c r="K214" s="90"/>
      <c r="L214" s="90"/>
      <c r="M214" s="90"/>
      <c r="N214" s="81"/>
    </row>
    <row r="215" spans="2:14">
      <c r="B215" s="80"/>
      <c r="C215" s="90"/>
      <c r="D215" s="137"/>
      <c r="E215" s="90"/>
      <c r="F215" s="90"/>
      <c r="G215" s="90"/>
      <c r="H215" s="92"/>
      <c r="I215" s="216"/>
      <c r="J215" s="201" t="s">
        <v>531</v>
      </c>
      <c r="K215" s="132" t="s">
        <v>79</v>
      </c>
      <c r="L215" s="90"/>
      <c r="M215" s="90"/>
      <c r="N215" s="81"/>
    </row>
    <row r="216" spans="2:14">
      <c r="B216" s="80"/>
      <c r="C216" s="90"/>
      <c r="D216" s="137"/>
      <c r="E216" s="90"/>
      <c r="F216" s="90"/>
      <c r="G216" s="90"/>
      <c r="H216" s="92"/>
      <c r="I216" s="97"/>
      <c r="J216" s="97"/>
      <c r="K216" s="90"/>
      <c r="L216" s="90"/>
      <c r="M216" s="90"/>
      <c r="N216" s="81"/>
    </row>
    <row r="217" spans="2:14">
      <c r="B217" s="80"/>
      <c r="C217" s="90"/>
      <c r="D217" s="137" t="s">
        <v>285</v>
      </c>
      <c r="E217" s="90"/>
      <c r="F217" s="90"/>
      <c r="G217" s="90"/>
      <c r="H217" s="84">
        <v>0</v>
      </c>
      <c r="I217" s="137"/>
      <c r="J217" s="123"/>
      <c r="K217" s="83"/>
      <c r="L217" s="90"/>
      <c r="M217" s="90"/>
      <c r="N217" s="81"/>
    </row>
    <row r="218" spans="2:14">
      <c r="B218" s="80"/>
      <c r="C218" s="90"/>
      <c r="D218" s="137" t="s">
        <v>286</v>
      </c>
      <c r="E218" s="90"/>
      <c r="F218" s="90"/>
      <c r="G218" s="90"/>
      <c r="H218" s="84">
        <v>0</v>
      </c>
      <c r="I218" s="137"/>
      <c r="J218" s="123"/>
      <c r="K218" s="83"/>
      <c r="L218" s="90"/>
      <c r="M218" s="90"/>
      <c r="N218" s="81"/>
    </row>
    <row r="219" spans="2:14">
      <c r="B219" s="80"/>
      <c r="C219" s="90"/>
      <c r="D219" s="137" t="s">
        <v>287</v>
      </c>
      <c r="E219" s="90"/>
      <c r="F219" s="90"/>
      <c r="G219" s="90"/>
      <c r="H219" s="84">
        <v>0</v>
      </c>
      <c r="I219" s="137"/>
      <c r="J219" s="123"/>
      <c r="K219" s="83"/>
      <c r="L219" s="90"/>
      <c r="M219" s="90"/>
      <c r="N219" s="81"/>
    </row>
    <row r="220" spans="2:14">
      <c r="B220" s="80"/>
      <c r="C220" s="90"/>
      <c r="D220" s="137" t="s">
        <v>288</v>
      </c>
      <c r="E220" s="90"/>
      <c r="F220" s="90"/>
      <c r="G220" s="90"/>
      <c r="H220" s="84">
        <v>0</v>
      </c>
      <c r="I220" s="137"/>
      <c r="J220" s="123"/>
      <c r="K220" s="83"/>
      <c r="L220" s="90"/>
      <c r="M220" s="90"/>
      <c r="N220" s="81"/>
    </row>
    <row r="221" spans="2:14">
      <c r="B221" s="80"/>
      <c r="C221" s="90"/>
      <c r="D221" s="137" t="s">
        <v>289</v>
      </c>
      <c r="E221" s="90"/>
      <c r="F221" s="90"/>
      <c r="G221" s="90"/>
      <c r="H221" s="84">
        <v>0</v>
      </c>
      <c r="I221" s="137"/>
      <c r="J221" s="123"/>
      <c r="K221" s="83"/>
      <c r="L221" s="90"/>
      <c r="M221" s="90"/>
      <c r="N221" s="81"/>
    </row>
    <row r="222" spans="2:14">
      <c r="B222" s="80"/>
      <c r="C222" s="90"/>
      <c r="D222" s="137" t="s">
        <v>295</v>
      </c>
      <c r="E222" s="90"/>
      <c r="F222" s="90"/>
      <c r="G222" s="90"/>
      <c r="H222" s="171">
        <f>SUM(H217:H221)</f>
        <v>0</v>
      </c>
      <c r="I222" s="97"/>
      <c r="J222" s="97"/>
      <c r="K222" s="130">
        <f>SUM(K217:K221)</f>
        <v>0</v>
      </c>
      <c r="L222" s="130">
        <f>+K222*F214</f>
        <v>0</v>
      </c>
      <c r="M222" s="90"/>
      <c r="N222" s="81"/>
    </row>
    <row r="223" spans="2:14">
      <c r="B223" s="80"/>
      <c r="C223" s="90"/>
      <c r="D223" s="137" t="s">
        <v>337</v>
      </c>
      <c r="E223" s="90"/>
      <c r="F223" s="90"/>
      <c r="G223" s="90"/>
      <c r="H223" s="107">
        <f>ROUND(H222*F214,0)</f>
        <v>0</v>
      </c>
      <c r="I223" s="97"/>
      <c r="J223" s="97"/>
      <c r="K223" s="90"/>
      <c r="L223" s="90"/>
      <c r="M223" s="90"/>
      <c r="N223" s="81"/>
    </row>
    <row r="224" spans="2:14">
      <c r="B224" s="80"/>
      <c r="C224" s="90"/>
      <c r="D224" s="90"/>
      <c r="E224" s="90"/>
      <c r="F224" s="90"/>
      <c r="G224" s="90"/>
      <c r="H224" s="90"/>
      <c r="I224" s="90"/>
      <c r="J224" s="90"/>
      <c r="K224" s="90"/>
      <c r="L224" s="90"/>
      <c r="M224" s="90"/>
      <c r="N224" s="81"/>
    </row>
    <row r="225" spans="2:14">
      <c r="B225" s="80"/>
      <c r="N225" s="81"/>
    </row>
    <row r="226" spans="2:14">
      <c r="B226" s="80"/>
      <c r="C226" s="90"/>
      <c r="D226" s="90"/>
      <c r="E226" s="90"/>
      <c r="F226" s="90"/>
      <c r="G226" s="90"/>
      <c r="H226" s="90"/>
      <c r="I226" s="90"/>
      <c r="J226" s="90"/>
      <c r="K226" s="90"/>
      <c r="L226" s="90"/>
      <c r="M226" s="90"/>
      <c r="N226" s="81"/>
    </row>
    <row r="227" spans="2:14">
      <c r="B227" s="80"/>
      <c r="C227" s="90"/>
      <c r="D227" s="93" t="s">
        <v>338</v>
      </c>
      <c r="E227" s="90"/>
      <c r="F227" s="90"/>
      <c r="G227" s="90"/>
      <c r="H227" s="145">
        <f>+H184+H197+H210+H223</f>
        <v>920</v>
      </c>
      <c r="I227" s="90"/>
      <c r="J227" s="90"/>
      <c r="K227" s="150" t="s">
        <v>84</v>
      </c>
      <c r="L227" s="122">
        <f>+L183+L196+L209+L222</f>
        <v>0</v>
      </c>
      <c r="M227" s="90"/>
      <c r="N227" s="81"/>
    </row>
    <row r="228" spans="2:14">
      <c r="B228" s="80"/>
      <c r="C228" s="90"/>
      <c r="D228" s="90"/>
      <c r="E228" s="90"/>
      <c r="F228" s="90"/>
      <c r="G228" s="90"/>
      <c r="H228" s="90"/>
      <c r="I228" s="90"/>
      <c r="J228" s="90"/>
      <c r="K228" s="90"/>
      <c r="L228" s="90"/>
      <c r="M228" s="90"/>
      <c r="N228" s="81"/>
    </row>
    <row r="229" spans="2:14">
      <c r="B229" s="80"/>
      <c r="N229" s="81"/>
    </row>
    <row r="230" spans="2:14">
      <c r="B230" s="80"/>
      <c r="N230" s="81"/>
    </row>
    <row r="231" spans="2:14">
      <c r="B231" s="80"/>
      <c r="C231" s="90"/>
      <c r="D231" s="90"/>
      <c r="E231" s="90"/>
      <c r="F231" s="90"/>
      <c r="G231" s="90"/>
      <c r="H231" s="90"/>
      <c r="I231" s="90"/>
      <c r="J231" s="90"/>
      <c r="K231" s="90"/>
      <c r="L231" s="90"/>
      <c r="M231" s="90"/>
      <c r="N231" s="81"/>
    </row>
    <row r="232" spans="2:14">
      <c r="B232" s="80"/>
      <c r="C232" s="90"/>
      <c r="D232" s="93" t="s">
        <v>299</v>
      </c>
      <c r="E232" s="90"/>
      <c r="F232" s="90"/>
      <c r="G232" s="90"/>
      <c r="H232" s="90"/>
      <c r="I232" s="90"/>
      <c r="J232" s="90"/>
      <c r="K232" s="90"/>
      <c r="L232" s="90"/>
      <c r="M232" s="90"/>
      <c r="N232" s="81"/>
    </row>
    <row r="233" spans="2:14">
      <c r="B233" s="80"/>
      <c r="C233" s="90"/>
      <c r="D233" s="122"/>
      <c r="E233" s="90"/>
      <c r="F233" s="90"/>
      <c r="G233" s="90"/>
      <c r="H233" s="90"/>
      <c r="I233" s="90"/>
      <c r="J233" s="90"/>
      <c r="K233" s="90"/>
      <c r="L233" s="90"/>
      <c r="M233" s="90"/>
      <c r="N233" s="81"/>
    </row>
    <row r="234" spans="2:14">
      <c r="B234" s="80"/>
      <c r="C234" s="90"/>
      <c r="D234" s="132" t="s">
        <v>292</v>
      </c>
      <c r="E234" s="132"/>
      <c r="F234" s="132" t="s">
        <v>304</v>
      </c>
      <c r="G234" s="132"/>
      <c r="H234" s="132" t="s">
        <v>300</v>
      </c>
      <c r="I234" s="90"/>
      <c r="J234" s="90"/>
      <c r="K234" s="90"/>
      <c r="L234" s="90"/>
      <c r="M234" s="90"/>
      <c r="N234" s="81"/>
    </row>
    <row r="235" spans="2:14">
      <c r="B235" s="80"/>
      <c r="C235" s="90"/>
      <c r="D235" s="132"/>
      <c r="E235" s="132"/>
      <c r="F235" s="132"/>
      <c r="G235" s="132"/>
      <c r="H235" s="132"/>
      <c r="I235" s="90"/>
      <c r="J235" s="90"/>
      <c r="K235" s="90"/>
      <c r="L235" s="90"/>
      <c r="M235" s="90"/>
      <c r="N235" s="81"/>
    </row>
    <row r="236" spans="2:14">
      <c r="B236" s="80"/>
      <c r="C236" s="90"/>
      <c r="D236" s="94" t="s">
        <v>303</v>
      </c>
      <c r="E236" s="94"/>
      <c r="F236" s="144">
        <v>0.35</v>
      </c>
      <c r="G236" s="90"/>
      <c r="H236" s="264">
        <f>ROUND(+H168*F236,0)</f>
        <v>126</v>
      </c>
      <c r="I236" s="90"/>
      <c r="J236" s="90"/>
      <c r="K236" s="90"/>
      <c r="L236" s="90"/>
      <c r="M236" s="90"/>
      <c r="N236" s="81"/>
    </row>
    <row r="237" spans="2:14">
      <c r="B237" s="80"/>
      <c r="C237" s="90"/>
      <c r="D237" s="112" t="s">
        <v>590</v>
      </c>
      <c r="E237" s="94"/>
      <c r="F237" s="90"/>
      <c r="G237" s="90"/>
      <c r="H237" s="83">
        <v>80</v>
      </c>
      <c r="I237" s="90"/>
      <c r="J237" s="90"/>
      <c r="K237" s="90"/>
      <c r="L237" s="90"/>
      <c r="M237" s="90"/>
      <c r="N237" s="81"/>
    </row>
    <row r="238" spans="2:14">
      <c r="B238" s="80"/>
      <c r="C238" s="90"/>
      <c r="D238" s="112"/>
      <c r="E238" s="94"/>
      <c r="F238" s="90"/>
      <c r="G238" s="90"/>
      <c r="H238" s="83">
        <v>0</v>
      </c>
      <c r="I238" s="90"/>
      <c r="J238" s="90"/>
      <c r="K238" s="90"/>
      <c r="L238" s="90"/>
      <c r="M238" s="90"/>
      <c r="N238" s="81"/>
    </row>
    <row r="239" spans="2:14">
      <c r="B239" s="80"/>
      <c r="C239" s="90"/>
      <c r="D239" s="112"/>
      <c r="E239" s="94"/>
      <c r="F239" s="90"/>
      <c r="G239" s="90"/>
      <c r="H239" s="83">
        <v>0</v>
      </c>
      <c r="I239" s="90"/>
      <c r="J239" s="90"/>
      <c r="K239" s="90"/>
      <c r="L239" s="90"/>
      <c r="M239" s="90"/>
      <c r="N239" s="81"/>
    </row>
    <row r="240" spans="2:14">
      <c r="B240" s="80"/>
      <c r="C240" s="90"/>
      <c r="D240" s="112"/>
      <c r="E240" s="94"/>
      <c r="F240" s="90"/>
      <c r="G240" s="90"/>
      <c r="H240" s="83">
        <v>0</v>
      </c>
      <c r="I240" s="90"/>
      <c r="J240" s="90"/>
      <c r="K240" s="90"/>
      <c r="L240" s="90"/>
      <c r="M240" s="90"/>
      <c r="N240" s="81"/>
    </row>
    <row r="241" spans="2:14">
      <c r="B241" s="80"/>
      <c r="C241" s="90"/>
      <c r="D241" s="93" t="s">
        <v>301</v>
      </c>
      <c r="E241" s="90"/>
      <c r="F241" s="90"/>
      <c r="G241" s="90"/>
      <c r="H241" s="145">
        <f>SUM(H236:H240)</f>
        <v>206</v>
      </c>
      <c r="I241" s="119"/>
      <c r="J241" s="90"/>
      <c r="K241" s="90"/>
      <c r="L241" s="90"/>
      <c r="M241" s="90"/>
      <c r="N241" s="81"/>
    </row>
    <row r="242" spans="2:14">
      <c r="B242" s="80"/>
      <c r="C242" s="90"/>
      <c r="D242" s="90"/>
      <c r="E242" s="90"/>
      <c r="F242" s="90"/>
      <c r="G242" s="90"/>
      <c r="H242" s="92"/>
      <c r="I242" s="90"/>
      <c r="J242" s="90"/>
      <c r="K242" s="90"/>
      <c r="L242" s="90"/>
      <c r="M242" s="90"/>
      <c r="N242" s="81"/>
    </row>
    <row r="243" spans="2:14">
      <c r="B243" s="80"/>
      <c r="H243" s="75"/>
      <c r="N243" s="81"/>
    </row>
    <row r="244" spans="2:14">
      <c r="B244" s="80"/>
      <c r="H244" s="75"/>
      <c r="N244" s="81"/>
    </row>
    <row r="245" spans="2:14">
      <c r="B245" s="80"/>
      <c r="C245" s="90"/>
      <c r="D245" s="90"/>
      <c r="E245" s="90"/>
      <c r="F245" s="90"/>
      <c r="G245" s="90"/>
      <c r="H245" s="92"/>
      <c r="I245" s="90"/>
      <c r="J245" s="90"/>
      <c r="K245" s="90"/>
      <c r="L245" s="90"/>
      <c r="M245" s="90"/>
      <c r="N245" s="81"/>
    </row>
    <row r="246" spans="2:14">
      <c r="B246" s="80"/>
      <c r="C246" s="90"/>
      <c r="D246" s="93" t="s">
        <v>85</v>
      </c>
      <c r="E246" s="90"/>
      <c r="F246" s="90"/>
      <c r="G246" s="90"/>
      <c r="H246" s="139">
        <f>+H168+H241</f>
        <v>566</v>
      </c>
      <c r="I246" s="119"/>
      <c r="J246" s="90"/>
      <c r="K246" s="90"/>
      <c r="L246" s="90"/>
      <c r="M246" s="90"/>
      <c r="N246" s="81"/>
    </row>
    <row r="247" spans="2:14">
      <c r="B247" s="80"/>
      <c r="C247" s="90"/>
      <c r="D247" s="93" t="s">
        <v>586</v>
      </c>
      <c r="E247" s="90"/>
      <c r="F247" s="90"/>
      <c r="G247" s="90"/>
      <c r="H247" s="139">
        <f>+H227</f>
        <v>920</v>
      </c>
      <c r="I247" s="119"/>
      <c r="J247" s="176"/>
      <c r="K247" s="90"/>
      <c r="L247" s="90"/>
      <c r="M247" s="90"/>
      <c r="N247" s="81"/>
    </row>
    <row r="248" spans="2:14">
      <c r="B248" s="80"/>
      <c r="C248" s="90"/>
      <c r="D248" s="93" t="s">
        <v>343</v>
      </c>
      <c r="E248" s="90"/>
      <c r="F248" s="90"/>
      <c r="G248" s="90"/>
      <c r="H248" s="139">
        <f>+H96</f>
        <v>0</v>
      </c>
      <c r="I248" s="119"/>
      <c r="J248" s="90"/>
      <c r="K248" s="90"/>
      <c r="L248" s="90"/>
      <c r="M248" s="90"/>
      <c r="N248" s="81"/>
    </row>
    <row r="249" spans="2:14">
      <c r="B249" s="80"/>
      <c r="C249" s="90"/>
      <c r="D249" s="93" t="s">
        <v>293</v>
      </c>
      <c r="E249" s="90"/>
      <c r="F249" s="90"/>
      <c r="G249" s="90"/>
      <c r="H249" s="101">
        <f>+H101</f>
        <v>166</v>
      </c>
      <c r="I249" s="93"/>
      <c r="J249" s="90"/>
      <c r="K249" s="90"/>
      <c r="L249" s="90"/>
      <c r="M249" s="90"/>
      <c r="N249" s="81"/>
    </row>
    <row r="250" spans="2:14">
      <c r="B250" s="80"/>
      <c r="C250" s="90"/>
      <c r="D250" s="90"/>
      <c r="E250" s="90"/>
      <c r="F250" s="90"/>
      <c r="G250" s="90"/>
      <c r="H250" s="92"/>
      <c r="I250" s="90"/>
      <c r="J250" s="90"/>
      <c r="K250" s="90"/>
      <c r="L250" s="90"/>
      <c r="M250" s="90"/>
      <c r="N250" s="81"/>
    </row>
    <row r="251" spans="2:14">
      <c r="B251" s="80"/>
      <c r="C251" s="90"/>
      <c r="D251" s="93" t="s">
        <v>294</v>
      </c>
      <c r="E251" s="90"/>
      <c r="F251" s="90"/>
      <c r="G251" s="90"/>
      <c r="H251" s="145">
        <f>+H246+H247+H248+H249</f>
        <v>1652</v>
      </c>
      <c r="I251" s="119"/>
      <c r="J251" s="90"/>
      <c r="K251" s="90"/>
      <c r="L251" s="90"/>
      <c r="M251" s="90"/>
      <c r="N251" s="81"/>
    </row>
    <row r="252" spans="2:14">
      <c r="B252" s="80"/>
      <c r="C252" s="90"/>
      <c r="D252" s="122" t="s">
        <v>348</v>
      </c>
      <c r="E252" s="122"/>
      <c r="F252" s="122"/>
      <c r="G252" s="122"/>
      <c r="H252" s="149">
        <f>+H87</f>
        <v>1659</v>
      </c>
      <c r="I252" s="176"/>
      <c r="J252" s="90"/>
      <c r="K252" s="90"/>
      <c r="L252" s="90"/>
      <c r="M252" s="90"/>
      <c r="N252" s="81"/>
    </row>
    <row r="253" spans="2:14">
      <c r="B253" s="80"/>
      <c r="C253" s="122"/>
      <c r="D253" s="122" t="s">
        <v>351</v>
      </c>
      <c r="E253" s="122"/>
      <c r="F253" s="122"/>
      <c r="G253" s="90"/>
      <c r="H253" s="148">
        <f>+H251-H252</f>
        <v>-7</v>
      </c>
      <c r="I253" s="176"/>
      <c r="J253" s="90"/>
      <c r="K253" s="90"/>
      <c r="L253" s="90"/>
      <c r="M253" s="90"/>
      <c r="N253" s="81"/>
    </row>
    <row r="254" spans="2:14">
      <c r="B254" s="80"/>
      <c r="C254" s="90"/>
      <c r="D254" s="90"/>
      <c r="E254" s="90"/>
      <c r="F254" s="90"/>
      <c r="G254" s="90"/>
      <c r="H254" s="92"/>
      <c r="I254" s="90"/>
      <c r="J254" s="90"/>
      <c r="K254" s="90"/>
      <c r="L254" s="90"/>
      <c r="M254" s="90"/>
      <c r="N254" s="81"/>
    </row>
    <row r="255" spans="2:14">
      <c r="B255" s="80"/>
      <c r="N255" s="81"/>
    </row>
    <row r="256" spans="2:14" ht="13.5" thickBot="1">
      <c r="B256" s="86"/>
      <c r="C256" s="87"/>
      <c r="D256" s="87"/>
      <c r="E256" s="87"/>
      <c r="F256" s="87"/>
      <c r="G256" s="87"/>
      <c r="H256" s="87"/>
      <c r="I256" s="87"/>
      <c r="J256" s="87"/>
      <c r="K256" s="87"/>
      <c r="L256" s="87"/>
      <c r="M256" s="87"/>
      <c r="N256" s="89"/>
    </row>
  </sheetData>
  <sheetProtection password="DE55" sheet="1" objects="1" scenarios="1"/>
  <phoneticPr fontId="0" type="noConversion"/>
  <dataValidations count="2">
    <dataValidation type="decimal" allowBlank="1" showInputMessage="1" showErrorMessage="1" error="De door u ingevoerde waarde aan PABO uren is meer dan 50% van de betrekkingsomvang (Bijlage XI, artikel 1,lid 7)." sqref="H96">
      <formula1>0</formula1>
      <formula2>AB47</formula2>
    </dataValidation>
    <dataValidation type="list" allowBlank="1" showInputMessage="1" showErrorMessage="1" sqref="F20">
      <formula1>$R$12:$R$22</formula1>
    </dataValidation>
  </dataValidations>
  <pageMargins left="0.75" right="0.75" top="1" bottom="1" header="0.5" footer="0.5"/>
  <pageSetup paperSize="9" scale="50" orientation="portrait" verticalDpi="0" r:id="rId1"/>
  <headerFooter alignWithMargins="0">
    <oddHeader>&amp;L&amp;"Arial,Vet"&amp;F&amp;C&amp;"Arial,Vet"&amp;A&amp;R&amp;"Arial,Vet"&amp;D</oddHeader>
    <oddFooter>&amp;L&amp;"Arial,Vet"VOS/ABB&amp;C&amp;"Arial,Vet"&amp;P&amp;R&amp;"Arial,Vet"Toolbox</oddFooter>
  </headerFooter>
  <rowBreaks count="2" manualBreakCount="2">
    <brk id="106" min="1" max="13" man="1"/>
    <brk id="170" min="1" max="13" man="1"/>
  </rowBreaks>
  <drawing r:id="rId2"/>
  <legacyDrawing r:id="rId3"/>
</worksheet>
</file>

<file path=xl/worksheets/sheet9.xml><?xml version="1.0" encoding="utf-8"?>
<worksheet xmlns="http://schemas.openxmlformats.org/spreadsheetml/2006/main" xmlns:r="http://schemas.openxmlformats.org/officeDocument/2006/relationships">
  <dimension ref="B1:AM294"/>
  <sheetViews>
    <sheetView zoomScale="85" zoomScaleNormal="85" workbookViewId="0">
      <selection activeCell="B2" sqref="B2"/>
    </sheetView>
  </sheetViews>
  <sheetFormatPr defaultRowHeight="12.75"/>
  <cols>
    <col min="1" max="1" width="5.7109375" style="71" customWidth="1"/>
    <col min="2" max="3" width="2.7109375" style="71" customWidth="1"/>
    <col min="4" max="4" width="45.7109375" style="71" customWidth="1"/>
    <col min="5" max="5" width="2.7109375" style="71" customWidth="1"/>
    <col min="6" max="6" width="8.7109375" style="75" customWidth="1"/>
    <col min="7" max="7" width="2.7109375" style="71" customWidth="1"/>
    <col min="8" max="8" width="17" style="71" customWidth="1"/>
    <col min="9" max="9" width="17" style="109" customWidth="1"/>
    <col min="10" max="10" width="17" style="71" customWidth="1"/>
    <col min="11" max="12" width="2.7109375" style="71" customWidth="1"/>
    <col min="13" max="13" width="13.7109375" style="71" customWidth="1"/>
    <col min="14" max="14" width="14.5703125" style="71" customWidth="1"/>
    <col min="15" max="15" width="13" style="71" hidden="1" customWidth="1"/>
    <col min="16" max="19" width="9.140625" style="71" hidden="1" customWidth="1"/>
    <col min="20" max="20" width="18.28515625" style="71" hidden="1" customWidth="1"/>
    <col min="21" max="22" width="9.28515625" style="71" hidden="1" customWidth="1"/>
    <col min="23" max="25" width="9.140625" style="71" hidden="1" customWidth="1"/>
    <col min="26" max="16384" width="9.140625" style="71"/>
  </cols>
  <sheetData>
    <row r="1" spans="2:39" ht="13.5" customHeight="1" thickBot="1">
      <c r="B1" s="87"/>
      <c r="C1" s="87"/>
      <c r="D1" s="87"/>
      <c r="E1" s="87"/>
      <c r="F1" s="88"/>
      <c r="G1" s="87"/>
      <c r="H1" s="87"/>
      <c r="I1" s="203"/>
      <c r="J1" s="87"/>
      <c r="K1" s="87"/>
      <c r="L1" s="87"/>
    </row>
    <row r="2" spans="2:39">
      <c r="B2" s="288"/>
      <c r="C2" s="160"/>
      <c r="D2" s="160"/>
      <c r="E2" s="160"/>
      <c r="G2" s="160"/>
      <c r="H2" s="160"/>
      <c r="I2" s="181"/>
      <c r="J2" s="160"/>
      <c r="K2" s="160"/>
      <c r="L2" s="81"/>
    </row>
    <row r="3" spans="2:39" ht="18.75">
      <c r="B3" s="192"/>
      <c r="C3" s="186" t="s">
        <v>76</v>
      </c>
      <c r="D3" s="187"/>
      <c r="E3" s="187"/>
      <c r="F3" s="72"/>
      <c r="G3" s="187"/>
      <c r="H3" s="186">
        <v>2013</v>
      </c>
      <c r="I3" s="200"/>
      <c r="J3" s="187"/>
      <c r="K3" s="187"/>
      <c r="L3" s="74"/>
    </row>
    <row r="4" spans="2:39" s="68" customFormat="1" ht="18">
      <c r="B4" s="193"/>
      <c r="C4" s="188" t="s">
        <v>77</v>
      </c>
      <c r="D4" s="189"/>
      <c r="E4" s="189"/>
      <c r="F4" s="190"/>
      <c r="G4" s="189"/>
      <c r="H4" s="188"/>
      <c r="I4" s="188"/>
      <c r="J4" s="188"/>
      <c r="K4" s="188"/>
      <c r="L4" s="194"/>
      <c r="N4" s="71"/>
      <c r="O4" s="71"/>
      <c r="P4" s="71"/>
      <c r="Q4" s="71"/>
      <c r="R4" s="71"/>
      <c r="S4" s="71"/>
      <c r="T4" s="71"/>
      <c r="U4" s="71"/>
      <c r="V4" s="71"/>
      <c r="W4" s="71"/>
      <c r="X4" s="71"/>
      <c r="Y4" s="71"/>
      <c r="Z4" s="71"/>
      <c r="AA4" s="71"/>
      <c r="AB4" s="71"/>
      <c r="AC4" s="71"/>
      <c r="AD4" s="71"/>
      <c r="AE4" s="71"/>
      <c r="AF4" s="71"/>
      <c r="AG4" s="71"/>
      <c r="AH4" s="71"/>
      <c r="AI4" s="71"/>
      <c r="AJ4" s="71"/>
      <c r="AK4" s="71"/>
      <c r="AL4" s="71"/>
      <c r="AM4" s="71"/>
    </row>
    <row r="5" spans="2:39" s="174" customFormat="1" ht="15">
      <c r="B5" s="191"/>
      <c r="C5" s="160"/>
      <c r="D5" s="71"/>
      <c r="E5" s="71"/>
      <c r="F5" s="75"/>
      <c r="G5" s="71"/>
      <c r="H5" s="160"/>
      <c r="I5" s="181"/>
      <c r="J5" s="71"/>
      <c r="K5" s="160"/>
      <c r="L5" s="81"/>
      <c r="N5" s="71"/>
      <c r="O5" s="71"/>
      <c r="P5" s="71"/>
      <c r="Q5" s="71"/>
      <c r="R5" s="71"/>
      <c r="S5" s="71"/>
      <c r="T5" s="71"/>
      <c r="U5" s="71"/>
      <c r="V5" s="71"/>
      <c r="W5" s="71"/>
      <c r="X5" s="71"/>
      <c r="Y5" s="71"/>
      <c r="Z5" s="71"/>
      <c r="AA5" s="71"/>
      <c r="AB5" s="71"/>
      <c r="AC5" s="71"/>
      <c r="AD5" s="71"/>
      <c r="AE5" s="71"/>
      <c r="AF5" s="71"/>
      <c r="AG5" s="71"/>
      <c r="AH5" s="71"/>
      <c r="AI5" s="71"/>
      <c r="AJ5" s="71"/>
      <c r="AK5" s="71"/>
      <c r="AL5" s="71"/>
      <c r="AM5" s="71"/>
    </row>
    <row r="6" spans="2:39">
      <c r="B6" s="191"/>
      <c r="C6" s="137"/>
      <c r="D6" s="90"/>
      <c r="E6" s="90"/>
      <c r="F6" s="151"/>
      <c r="G6" s="90"/>
      <c r="H6" s="137"/>
      <c r="I6" s="155"/>
      <c r="J6" s="90"/>
      <c r="K6" s="137"/>
      <c r="L6" s="81"/>
    </row>
    <row r="7" spans="2:39" ht="12" customHeight="1">
      <c r="B7" s="191"/>
      <c r="C7" s="90"/>
      <c r="D7" s="100" t="s">
        <v>537</v>
      </c>
      <c r="E7" s="100"/>
      <c r="F7" s="255"/>
      <c r="G7" s="100"/>
      <c r="H7" s="137"/>
      <c r="I7" s="155"/>
      <c r="J7" s="137"/>
      <c r="K7" s="137"/>
      <c r="L7" s="81"/>
      <c r="T7" s="71" t="s">
        <v>488</v>
      </c>
    </row>
    <row r="8" spans="2:39">
      <c r="B8" s="191"/>
      <c r="C8" s="90"/>
      <c r="D8" s="100"/>
      <c r="E8" s="100"/>
      <c r="F8" s="103"/>
      <c r="G8" s="100"/>
      <c r="H8" s="137"/>
      <c r="I8" s="155"/>
      <c r="J8" s="137"/>
      <c r="K8" s="137"/>
      <c r="L8" s="81"/>
    </row>
    <row r="9" spans="2:39">
      <c r="B9" s="191"/>
      <c r="C9" s="137"/>
      <c r="D9" s="155" t="s">
        <v>509</v>
      </c>
      <c r="E9" s="155"/>
      <c r="F9" s="151"/>
      <c r="G9" s="137"/>
      <c r="H9" s="137"/>
      <c r="I9" s="155"/>
      <c r="J9" s="137"/>
      <c r="K9" s="137"/>
      <c r="L9" s="81"/>
      <c r="T9" s="71">
        <f>+H3/4</f>
        <v>503.25</v>
      </c>
      <c r="W9" s="75"/>
      <c r="Z9" s="109"/>
    </row>
    <row r="10" spans="2:39">
      <c r="B10" s="191"/>
      <c r="C10" s="137"/>
      <c r="D10" s="137" t="s">
        <v>490</v>
      </c>
      <c r="E10" s="137"/>
      <c r="F10" s="151"/>
      <c r="G10" s="137"/>
      <c r="H10" s="123" t="s">
        <v>485</v>
      </c>
      <c r="I10" s="210" t="s">
        <v>492</v>
      </c>
      <c r="J10" s="83">
        <v>0.51039999999999996</v>
      </c>
      <c r="K10" s="137"/>
      <c r="L10" s="81"/>
      <c r="T10" s="71">
        <f>ROUNDDOWN(T9,0)</f>
        <v>503</v>
      </c>
      <c r="W10" s="75"/>
      <c r="Z10" s="109"/>
    </row>
    <row r="11" spans="2:39">
      <c r="B11" s="191"/>
      <c r="C11" s="137"/>
      <c r="D11" s="137" t="s">
        <v>491</v>
      </c>
      <c r="E11" s="137"/>
      <c r="F11" s="151"/>
      <c r="G11" s="137"/>
      <c r="H11" s="123">
        <v>14</v>
      </c>
      <c r="I11" s="210" t="s">
        <v>492</v>
      </c>
      <c r="J11" s="206">
        <f>H11/VLOOKUP(H10,maanden,IF(T11=0,3,2),FALSE)</f>
        <v>0.45161290322580644</v>
      </c>
      <c r="K11" s="137"/>
      <c r="L11" s="81"/>
      <c r="T11" s="71">
        <f>+T9-T10</f>
        <v>0.25</v>
      </c>
      <c r="W11" s="75"/>
      <c r="Z11" s="109"/>
    </row>
    <row r="12" spans="2:39">
      <c r="B12" s="191"/>
      <c r="C12" s="90"/>
      <c r="D12" s="100" t="s">
        <v>508</v>
      </c>
      <c r="E12" s="100"/>
      <c r="F12" s="151" t="s">
        <v>507</v>
      </c>
      <c r="G12" s="100"/>
      <c r="H12" s="137"/>
      <c r="I12" s="210"/>
      <c r="J12" s="213">
        <f>+J11*J10</f>
        <v>0.23050322580645158</v>
      </c>
      <c r="K12" s="137"/>
      <c r="L12" s="81"/>
    </row>
    <row r="13" spans="2:39">
      <c r="B13" s="191"/>
      <c r="C13" s="90"/>
      <c r="D13" s="100"/>
      <c r="E13" s="100"/>
      <c r="F13" s="151"/>
      <c r="G13" s="100"/>
      <c r="H13" s="137"/>
      <c r="I13" s="210"/>
      <c r="J13" s="184"/>
      <c r="K13" s="137"/>
      <c r="L13" s="81"/>
    </row>
    <row r="14" spans="2:39">
      <c r="B14" s="191"/>
      <c r="C14" s="137"/>
      <c r="D14" s="155" t="s">
        <v>493</v>
      </c>
      <c r="E14" s="155"/>
      <c r="F14" s="151"/>
      <c r="G14" s="137"/>
      <c r="H14" s="137"/>
      <c r="I14" s="210"/>
      <c r="J14" s="137"/>
      <c r="K14" s="137"/>
      <c r="L14" s="81"/>
      <c r="P14" s="85" t="s">
        <v>476</v>
      </c>
      <c r="Q14" s="71">
        <v>31</v>
      </c>
      <c r="R14" s="71">
        <v>31</v>
      </c>
      <c r="T14" s="178" t="s">
        <v>420</v>
      </c>
      <c r="U14" s="71">
        <f>tab!W12</f>
        <v>13</v>
      </c>
      <c r="W14" s="71" t="s">
        <v>496</v>
      </c>
    </row>
    <row r="15" spans="2:39">
      <c r="B15" s="191"/>
      <c r="C15" s="137"/>
      <c r="D15" s="137" t="s">
        <v>543</v>
      </c>
      <c r="E15" s="137"/>
      <c r="F15" s="151"/>
      <c r="G15" s="137"/>
      <c r="H15" s="123" t="s">
        <v>495</v>
      </c>
      <c r="I15" s="234"/>
      <c r="J15" s="137"/>
      <c r="K15" s="137"/>
      <c r="L15" s="81"/>
      <c r="P15" s="85" t="s">
        <v>477</v>
      </c>
      <c r="Q15" s="71">
        <v>28</v>
      </c>
      <c r="R15" s="71">
        <v>29</v>
      </c>
      <c r="T15" s="178" t="s">
        <v>421</v>
      </c>
      <c r="U15" s="71">
        <f>tab!W13</f>
        <v>15</v>
      </c>
    </row>
    <row r="16" spans="2:39">
      <c r="B16" s="191"/>
      <c r="C16" s="137"/>
      <c r="D16" s="137" t="s">
        <v>544</v>
      </c>
      <c r="E16" s="137"/>
      <c r="F16" s="151"/>
      <c r="G16" s="137"/>
      <c r="H16" s="123" t="s">
        <v>432</v>
      </c>
      <c r="I16" s="234"/>
      <c r="J16" s="137"/>
      <c r="K16" s="137"/>
      <c r="L16" s="81"/>
      <c r="P16" s="85" t="s">
        <v>478</v>
      </c>
      <c r="Q16" s="71">
        <v>31</v>
      </c>
      <c r="R16" s="71">
        <v>31</v>
      </c>
      <c r="T16" s="178" t="s">
        <v>422</v>
      </c>
      <c r="U16" s="71">
        <f>tab!W14</f>
        <v>17</v>
      </c>
    </row>
    <row r="17" spans="2:21">
      <c r="B17" s="191"/>
      <c r="C17" s="137"/>
      <c r="D17" s="137" t="s">
        <v>545</v>
      </c>
      <c r="E17" s="137"/>
      <c r="F17" s="151"/>
      <c r="G17" s="137"/>
      <c r="H17" s="123">
        <v>15</v>
      </c>
      <c r="I17" s="234"/>
      <c r="J17" s="137" t="str">
        <f>IF(H17&gt;VLOOKUP(H16,maxregel,2,FALSE),W14,"")</f>
        <v/>
      </c>
      <c r="K17" s="137"/>
      <c r="L17" s="81"/>
      <c r="P17" s="85" t="s">
        <v>479</v>
      </c>
      <c r="Q17" s="71">
        <v>30</v>
      </c>
      <c r="R17" s="71">
        <v>30</v>
      </c>
      <c r="T17" s="178" t="s">
        <v>423</v>
      </c>
      <c r="U17" s="71">
        <f>tab!W15</f>
        <v>16</v>
      </c>
    </row>
    <row r="18" spans="2:21">
      <c r="B18" s="191"/>
      <c r="C18" s="137"/>
      <c r="D18" s="137" t="s">
        <v>494</v>
      </c>
      <c r="E18" s="137"/>
      <c r="F18" s="151"/>
      <c r="G18" s="137"/>
      <c r="H18" s="199">
        <f>J12*VLOOKUP(H16,salaristabel,H17+1,FALSE)</f>
        <v>754.66756129032251</v>
      </c>
      <c r="I18" s="212"/>
      <c r="J18" s="137"/>
      <c r="K18" s="137"/>
      <c r="L18" s="81"/>
      <c r="P18" s="85" t="s">
        <v>480</v>
      </c>
      <c r="Q18" s="71">
        <v>31</v>
      </c>
      <c r="R18" s="71">
        <v>31</v>
      </c>
      <c r="T18" s="178" t="s">
        <v>424</v>
      </c>
      <c r="U18" s="71">
        <f>tab!W16</f>
        <v>18</v>
      </c>
    </row>
    <row r="19" spans="2:21">
      <c r="B19" s="191"/>
      <c r="C19" s="137"/>
      <c r="D19" s="100"/>
      <c r="E19" s="100"/>
      <c r="F19" s="103"/>
      <c r="G19" s="100"/>
      <c r="H19" s="185"/>
      <c r="I19" s="210"/>
      <c r="J19" s="137"/>
      <c r="K19" s="137"/>
      <c r="L19" s="81"/>
      <c r="P19" s="85" t="s">
        <v>481</v>
      </c>
      <c r="Q19" s="71">
        <v>30</v>
      </c>
      <c r="R19" s="71">
        <v>30</v>
      </c>
      <c r="T19" s="178" t="s">
        <v>425</v>
      </c>
      <c r="U19" s="71">
        <f>tab!W17</f>
        <v>18</v>
      </c>
    </row>
    <row r="20" spans="2:21">
      <c r="B20" s="191"/>
      <c r="C20" s="160"/>
      <c r="D20" s="168"/>
      <c r="E20" s="168"/>
      <c r="F20" s="208"/>
      <c r="G20" s="168"/>
      <c r="H20" s="182"/>
      <c r="I20" s="211"/>
      <c r="J20" s="160"/>
      <c r="K20" s="160"/>
      <c r="L20" s="81"/>
      <c r="P20" s="85" t="s">
        <v>482</v>
      </c>
      <c r="Q20" s="71">
        <v>31</v>
      </c>
      <c r="R20" s="71">
        <v>31</v>
      </c>
      <c r="T20" s="178" t="s">
        <v>426</v>
      </c>
      <c r="U20" s="71">
        <f>tab!W18</f>
        <v>18</v>
      </c>
    </row>
    <row r="21" spans="2:21">
      <c r="B21" s="191"/>
      <c r="C21" s="137"/>
      <c r="D21" s="137"/>
      <c r="E21" s="137"/>
      <c r="F21" s="151"/>
      <c r="G21" s="137"/>
      <c r="H21" s="137"/>
      <c r="I21" s="210"/>
      <c r="J21" s="137"/>
      <c r="K21" s="137"/>
      <c r="L21" s="81"/>
      <c r="P21" s="85" t="s">
        <v>483</v>
      </c>
      <c r="Q21" s="71">
        <v>31</v>
      </c>
      <c r="R21" s="71">
        <v>31</v>
      </c>
      <c r="T21" s="178" t="s">
        <v>427</v>
      </c>
      <c r="U21" s="71">
        <f>tab!W19</f>
        <v>11</v>
      </c>
    </row>
    <row r="22" spans="2:21" ht="12" customHeight="1">
      <c r="B22" s="191"/>
      <c r="C22" s="90"/>
      <c r="D22" s="100" t="s">
        <v>538</v>
      </c>
      <c r="E22" s="100"/>
      <c r="F22" s="255"/>
      <c r="G22" s="100"/>
      <c r="H22" s="137"/>
      <c r="I22" s="210"/>
      <c r="J22" s="137"/>
      <c r="K22" s="137"/>
      <c r="L22" s="81"/>
      <c r="P22" s="85" t="s">
        <v>484</v>
      </c>
      <c r="Q22" s="71">
        <v>30</v>
      </c>
      <c r="R22" s="71">
        <v>30</v>
      </c>
      <c r="T22" s="178" t="s">
        <v>428</v>
      </c>
      <c r="U22" s="71">
        <f>tab!W20</f>
        <v>13</v>
      </c>
    </row>
    <row r="23" spans="2:21">
      <c r="B23" s="191"/>
      <c r="C23" s="90"/>
      <c r="D23" s="100"/>
      <c r="E23" s="100"/>
      <c r="F23" s="103"/>
      <c r="G23" s="100"/>
      <c r="H23" s="137"/>
      <c r="I23" s="210"/>
      <c r="J23" s="137"/>
      <c r="K23" s="137"/>
      <c r="L23" s="81"/>
      <c r="P23" s="85" t="s">
        <v>485</v>
      </c>
      <c r="Q23" s="71">
        <v>31</v>
      </c>
      <c r="R23" s="71">
        <v>31</v>
      </c>
      <c r="T23" s="178" t="s">
        <v>429</v>
      </c>
      <c r="U23" s="71">
        <f>tab!W21</f>
        <v>18</v>
      </c>
    </row>
    <row r="24" spans="2:21">
      <c r="B24" s="191"/>
      <c r="C24" s="90"/>
      <c r="D24" s="155" t="s">
        <v>546</v>
      </c>
      <c r="E24" s="155"/>
      <c r="F24" s="151"/>
      <c r="G24" s="155"/>
      <c r="H24" s="205">
        <v>0.35</v>
      </c>
      <c r="I24" s="210"/>
      <c r="J24" s="137"/>
      <c r="K24" s="137"/>
      <c r="L24" s="81"/>
      <c r="P24" s="85" t="s">
        <v>486</v>
      </c>
      <c r="Q24" s="71">
        <v>30</v>
      </c>
      <c r="R24" s="71">
        <v>30</v>
      </c>
      <c r="T24" s="178" t="s">
        <v>430</v>
      </c>
      <c r="U24" s="71">
        <f>tab!W22</f>
        <v>20</v>
      </c>
    </row>
    <row r="25" spans="2:21">
      <c r="B25" s="191"/>
      <c r="C25" s="90"/>
      <c r="D25" s="137"/>
      <c r="E25" s="137"/>
      <c r="F25" s="103"/>
      <c r="G25" s="100"/>
      <c r="H25" s="137"/>
      <c r="I25" s="210"/>
      <c r="J25" s="137"/>
      <c r="K25" s="137"/>
      <c r="L25" s="81"/>
      <c r="P25" s="85" t="s">
        <v>487</v>
      </c>
      <c r="Q25" s="71">
        <v>31</v>
      </c>
      <c r="R25" s="71">
        <v>31</v>
      </c>
      <c r="T25" s="178" t="s">
        <v>431</v>
      </c>
      <c r="U25" s="71">
        <f>tab!W23</f>
        <v>19</v>
      </c>
    </row>
    <row r="26" spans="2:21">
      <c r="B26" s="191"/>
      <c r="C26" s="90"/>
      <c r="D26" s="100" t="s">
        <v>539</v>
      </c>
      <c r="E26" s="100"/>
      <c r="F26" s="151"/>
      <c r="G26" s="137"/>
      <c r="H26" s="137"/>
      <c r="I26" s="210"/>
      <c r="J26" s="137"/>
      <c r="K26" s="137"/>
      <c r="L26" s="81"/>
      <c r="T26" s="178" t="s">
        <v>432</v>
      </c>
      <c r="U26" s="71">
        <f>tab!W24</f>
        <v>15</v>
      </c>
    </row>
    <row r="27" spans="2:21">
      <c r="B27" s="191"/>
      <c r="C27" s="90"/>
      <c r="D27" s="100"/>
      <c r="E27" s="100"/>
      <c r="F27" s="151"/>
      <c r="G27" s="137"/>
      <c r="H27" s="137"/>
      <c r="I27" s="210"/>
      <c r="J27" s="137"/>
      <c r="K27" s="137"/>
      <c r="L27" s="81"/>
      <c r="T27" s="178" t="s">
        <v>433</v>
      </c>
      <c r="U27" s="71">
        <f>tab!W25</f>
        <v>15</v>
      </c>
    </row>
    <row r="28" spans="2:21">
      <c r="B28" s="191"/>
      <c r="C28" s="137"/>
      <c r="D28" s="155" t="s">
        <v>510</v>
      </c>
      <c r="E28" s="155"/>
      <c r="F28" s="151"/>
      <c r="G28" s="137"/>
      <c r="H28" s="137"/>
      <c r="I28" s="210"/>
      <c r="J28" s="137"/>
      <c r="K28" s="137"/>
      <c r="L28" s="81"/>
      <c r="T28" s="178" t="s">
        <v>434</v>
      </c>
      <c r="U28" s="71">
        <f>tab!W26</f>
        <v>15</v>
      </c>
    </row>
    <row r="29" spans="2:21">
      <c r="B29" s="191"/>
      <c r="C29" s="90"/>
      <c r="D29" s="137" t="s">
        <v>504</v>
      </c>
      <c r="E29" s="137"/>
      <c r="F29" s="151" t="s">
        <v>503</v>
      </c>
      <c r="G29" s="137"/>
      <c r="H29" s="83">
        <v>0.55210000000000004</v>
      </c>
      <c r="I29" s="210"/>
      <c r="J29" s="137"/>
      <c r="K29" s="137"/>
      <c r="L29" s="81"/>
      <c r="T29" s="178" t="s">
        <v>435</v>
      </c>
      <c r="U29" s="71">
        <f>tab!W27</f>
        <v>15</v>
      </c>
    </row>
    <row r="30" spans="2:21">
      <c r="B30" s="191"/>
      <c r="C30" s="90"/>
      <c r="D30" s="137" t="s">
        <v>500</v>
      </c>
      <c r="E30" s="137"/>
      <c r="F30" s="151" t="s">
        <v>497</v>
      </c>
      <c r="G30" s="137"/>
      <c r="H30" s="83">
        <v>2</v>
      </c>
      <c r="I30" s="210" t="s">
        <v>502</v>
      </c>
      <c r="J30" s="90"/>
      <c r="K30" s="137"/>
      <c r="L30" s="81"/>
      <c r="T30" s="178" t="s">
        <v>436</v>
      </c>
      <c r="U30" s="71">
        <f>tab!W28</f>
        <v>15</v>
      </c>
    </row>
    <row r="31" spans="2:21">
      <c r="B31" s="191"/>
      <c r="C31" s="90"/>
      <c r="D31" s="137"/>
      <c r="E31" s="137"/>
      <c r="F31" s="151"/>
      <c r="G31" s="137"/>
      <c r="H31" s="92"/>
      <c r="I31" s="210"/>
      <c r="J31" s="90"/>
      <c r="K31" s="137"/>
      <c r="L31" s="81"/>
      <c r="T31" s="85">
        <v>1</v>
      </c>
      <c r="U31" s="71">
        <f>tab!W29</f>
        <v>7</v>
      </c>
    </row>
    <row r="32" spans="2:21">
      <c r="B32" s="191"/>
      <c r="C32" s="90"/>
      <c r="D32" s="155" t="s">
        <v>499</v>
      </c>
      <c r="E32" s="155"/>
      <c r="F32" s="151" t="s">
        <v>498</v>
      </c>
      <c r="G32" s="137"/>
      <c r="H32" s="92"/>
      <c r="I32" s="210"/>
      <c r="J32" s="90"/>
      <c r="K32" s="137"/>
      <c r="L32" s="81"/>
      <c r="T32" s="85">
        <v>2</v>
      </c>
      <c r="U32" s="71">
        <f>tab!W30</f>
        <v>8</v>
      </c>
    </row>
    <row r="33" spans="2:21">
      <c r="B33" s="191"/>
      <c r="C33" s="90"/>
      <c r="D33" s="137" t="s">
        <v>501</v>
      </c>
      <c r="E33" s="137"/>
      <c r="F33" s="151"/>
      <c r="G33" s="137"/>
      <c r="H33" s="83">
        <v>12.25</v>
      </c>
      <c r="I33" s="210" t="s">
        <v>400</v>
      </c>
      <c r="J33" s="90"/>
      <c r="K33" s="137"/>
      <c r="L33" s="81"/>
      <c r="T33" s="85">
        <v>3</v>
      </c>
      <c r="U33" s="71">
        <f>tab!W31</f>
        <v>9</v>
      </c>
    </row>
    <row r="34" spans="2:21">
      <c r="B34" s="191"/>
      <c r="C34" s="90"/>
      <c r="D34" s="137" t="s">
        <v>506</v>
      </c>
      <c r="E34" s="137"/>
      <c r="F34" s="151"/>
      <c r="G34" s="137"/>
      <c r="H34" s="153">
        <f>ROUND(+H33*(1+H$24),2)</f>
        <v>16.54</v>
      </c>
      <c r="I34" s="210"/>
      <c r="J34" s="90"/>
      <c r="K34" s="137"/>
      <c r="L34" s="81"/>
      <c r="T34" s="85">
        <v>4</v>
      </c>
      <c r="U34" s="71">
        <f>tab!W32</f>
        <v>11</v>
      </c>
    </row>
    <row r="35" spans="2:21">
      <c r="B35" s="191"/>
      <c r="C35" s="90"/>
      <c r="D35" s="137" t="s">
        <v>505</v>
      </c>
      <c r="E35" s="137"/>
      <c r="F35" s="151"/>
      <c r="G35" s="137"/>
      <c r="H35" s="206">
        <f>+H34/36.86</f>
        <v>0.44872490504612045</v>
      </c>
      <c r="I35" s="210"/>
      <c r="J35" s="137"/>
      <c r="K35" s="137"/>
      <c r="L35" s="81"/>
      <c r="T35" s="85">
        <v>5</v>
      </c>
      <c r="U35" s="71">
        <f>tab!W33</f>
        <v>12</v>
      </c>
    </row>
    <row r="36" spans="2:21">
      <c r="B36" s="191"/>
      <c r="C36" s="90"/>
      <c r="D36" s="100" t="s">
        <v>508</v>
      </c>
      <c r="E36" s="100"/>
      <c r="F36" s="151" t="s">
        <v>507</v>
      </c>
      <c r="G36" s="100"/>
      <c r="H36" s="171">
        <f>(H29*H30+H35)*3/13</f>
        <v>0.35836728577987392</v>
      </c>
      <c r="I36" s="210"/>
      <c r="J36" s="137"/>
      <c r="K36" s="137"/>
      <c r="L36" s="81"/>
      <c r="T36" s="85">
        <v>6</v>
      </c>
      <c r="U36" s="71">
        <f>tab!W34</f>
        <v>11</v>
      </c>
    </row>
    <row r="37" spans="2:21">
      <c r="B37" s="191"/>
      <c r="C37" s="137"/>
      <c r="D37" s="137"/>
      <c r="E37" s="137"/>
      <c r="F37" s="151"/>
      <c r="G37" s="137"/>
      <c r="H37" s="137"/>
      <c r="I37" s="210"/>
      <c r="J37" s="137"/>
      <c r="K37" s="137"/>
      <c r="L37" s="81"/>
      <c r="T37" s="85">
        <v>7</v>
      </c>
      <c r="U37" s="71">
        <f>tab!W35</f>
        <v>12</v>
      </c>
    </row>
    <row r="38" spans="2:21">
      <c r="B38" s="191"/>
      <c r="C38" s="137"/>
      <c r="D38" s="155" t="s">
        <v>493</v>
      </c>
      <c r="E38" s="155"/>
      <c r="F38" s="151"/>
      <c r="G38" s="137"/>
      <c r="H38" s="137"/>
      <c r="I38" s="210"/>
      <c r="J38" s="137"/>
      <c r="K38" s="137"/>
      <c r="L38" s="81"/>
      <c r="T38" s="85">
        <v>8</v>
      </c>
      <c r="U38" s="71">
        <f>tab!W36</f>
        <v>13</v>
      </c>
    </row>
    <row r="39" spans="2:21">
      <c r="B39" s="191"/>
      <c r="C39" s="137"/>
      <c r="D39" s="137" t="s">
        <v>543</v>
      </c>
      <c r="E39" s="137"/>
      <c r="F39" s="151"/>
      <c r="G39" s="137"/>
      <c r="H39" s="123" t="s">
        <v>495</v>
      </c>
      <c r="I39" s="234"/>
      <c r="J39" s="137"/>
      <c r="K39" s="137"/>
      <c r="L39" s="81"/>
      <c r="T39" s="85">
        <v>9</v>
      </c>
      <c r="U39" s="71">
        <f>tab!W37</f>
        <v>10</v>
      </c>
    </row>
    <row r="40" spans="2:21">
      <c r="B40" s="191"/>
      <c r="C40" s="137"/>
      <c r="D40" s="137" t="s">
        <v>544</v>
      </c>
      <c r="E40" s="137"/>
      <c r="F40" s="151"/>
      <c r="G40" s="137"/>
      <c r="H40" s="123" t="s">
        <v>432</v>
      </c>
      <c r="I40" s="234"/>
      <c r="J40" s="137"/>
      <c r="K40" s="137"/>
      <c r="L40" s="81"/>
      <c r="T40" s="85">
        <v>10</v>
      </c>
      <c r="U40" s="71">
        <f>tab!W38</f>
        <v>13</v>
      </c>
    </row>
    <row r="41" spans="2:21">
      <c r="B41" s="191"/>
      <c r="C41" s="137"/>
      <c r="D41" s="137" t="s">
        <v>545</v>
      </c>
      <c r="E41" s="137"/>
      <c r="F41" s="151"/>
      <c r="G41" s="137"/>
      <c r="H41" s="123">
        <v>15</v>
      </c>
      <c r="I41" s="234"/>
      <c r="J41" s="137"/>
      <c r="K41" s="137"/>
      <c r="L41" s="81"/>
      <c r="T41" s="85">
        <v>11</v>
      </c>
      <c r="U41" s="71">
        <f>tab!W39</f>
        <v>18</v>
      </c>
    </row>
    <row r="42" spans="2:21">
      <c r="B42" s="191"/>
      <c r="C42" s="137"/>
      <c r="D42" s="137" t="s">
        <v>494</v>
      </c>
      <c r="E42" s="137"/>
      <c r="F42" s="151"/>
      <c r="G42" s="137"/>
      <c r="H42" s="199">
        <f>H36*VLOOKUP(H40,salaristabel,H41+1,FALSE)</f>
        <v>1173.2944936433073</v>
      </c>
      <c r="I42" s="212"/>
      <c r="J42" s="137"/>
      <c r="K42" s="137"/>
      <c r="L42" s="81"/>
      <c r="T42" s="85">
        <v>12</v>
      </c>
      <c r="U42" s="71">
        <f>tab!W40</f>
        <v>16</v>
      </c>
    </row>
    <row r="43" spans="2:21">
      <c r="B43" s="191"/>
      <c r="C43" s="137"/>
      <c r="D43" s="137"/>
      <c r="E43" s="137"/>
      <c r="F43" s="151"/>
      <c r="G43" s="137"/>
      <c r="H43" s="137"/>
      <c r="I43" s="210"/>
      <c r="J43" s="137"/>
      <c r="K43" s="137"/>
      <c r="L43" s="81"/>
      <c r="T43" s="85">
        <v>13</v>
      </c>
      <c r="U43" s="71">
        <f>tab!W41</f>
        <v>13</v>
      </c>
    </row>
    <row r="44" spans="2:21">
      <c r="B44" s="191"/>
      <c r="C44" s="160"/>
      <c r="D44" s="160"/>
      <c r="E44" s="160"/>
      <c r="F44" s="209"/>
      <c r="G44" s="160"/>
      <c r="H44" s="160"/>
      <c r="I44" s="211"/>
      <c r="J44" s="160"/>
      <c r="K44" s="160"/>
      <c r="L44" s="81"/>
      <c r="T44" s="85">
        <v>14</v>
      </c>
      <c r="U44" s="71">
        <f>tab!W42</f>
        <v>11</v>
      </c>
    </row>
    <row r="45" spans="2:21">
      <c r="B45" s="191"/>
      <c r="C45" s="137"/>
      <c r="D45" s="137"/>
      <c r="E45" s="137"/>
      <c r="F45" s="151"/>
      <c r="G45" s="137"/>
      <c r="H45" s="137"/>
      <c r="I45" s="210"/>
      <c r="J45" s="137"/>
      <c r="K45" s="137"/>
      <c r="L45" s="81"/>
      <c r="T45" s="85" t="s">
        <v>437</v>
      </c>
      <c r="U45" s="71">
        <f>tab!W45</f>
        <v>1</v>
      </c>
    </row>
    <row r="46" spans="2:21" ht="12" customHeight="1">
      <c r="B46" s="191"/>
      <c r="C46" s="90"/>
      <c r="D46" s="100" t="s">
        <v>540</v>
      </c>
      <c r="E46" s="100"/>
      <c r="F46" s="255"/>
      <c r="G46" s="100"/>
      <c r="H46" s="137"/>
      <c r="I46" s="210"/>
      <c r="J46" s="137"/>
      <c r="K46" s="137"/>
      <c r="L46" s="81"/>
      <c r="T46" s="85" t="s">
        <v>438</v>
      </c>
      <c r="U46" s="71">
        <f>tab!W46</f>
        <v>1</v>
      </c>
    </row>
    <row r="47" spans="2:21">
      <c r="B47" s="191"/>
      <c r="C47" s="90"/>
      <c r="D47" s="100"/>
      <c r="E47" s="100"/>
      <c r="F47" s="103"/>
      <c r="G47" s="100"/>
      <c r="H47" s="137"/>
      <c r="I47" s="210"/>
      <c r="J47" s="137"/>
      <c r="K47" s="137"/>
      <c r="L47" s="81"/>
      <c r="T47" s="85" t="s">
        <v>439</v>
      </c>
      <c r="U47" s="71">
        <f>tab!W47</f>
        <v>7</v>
      </c>
    </row>
    <row r="48" spans="2:21">
      <c r="B48" s="191"/>
      <c r="C48" s="137"/>
      <c r="D48" s="155" t="s">
        <v>510</v>
      </c>
      <c r="E48" s="155"/>
      <c r="F48" s="151"/>
      <c r="G48" s="137"/>
      <c r="H48" s="137"/>
      <c r="I48" s="210"/>
      <c r="J48" s="137"/>
      <c r="K48" s="137"/>
      <c r="L48" s="81"/>
      <c r="T48" s="85" t="s">
        <v>440</v>
      </c>
      <c r="U48" s="71">
        <f>tab!W48</f>
        <v>8</v>
      </c>
    </row>
    <row r="49" spans="2:26">
      <c r="B49" s="191"/>
      <c r="C49" s="90"/>
      <c r="D49" s="137" t="s">
        <v>504</v>
      </c>
      <c r="E49" s="137"/>
      <c r="F49" s="151" t="s">
        <v>503</v>
      </c>
      <c r="G49" s="137"/>
      <c r="H49" s="83">
        <v>0.55210000000000004</v>
      </c>
      <c r="I49" s="210"/>
      <c r="J49" s="137"/>
      <c r="K49" s="137"/>
      <c r="L49" s="81"/>
      <c r="T49" s="85" t="s">
        <v>441</v>
      </c>
      <c r="U49" s="71">
        <f>tab!W49</f>
        <v>7</v>
      </c>
    </row>
    <row r="50" spans="2:26">
      <c r="B50" s="191"/>
      <c r="C50" s="90"/>
      <c r="D50" s="137" t="s">
        <v>500</v>
      </c>
      <c r="E50" s="137"/>
      <c r="F50" s="151" t="s">
        <v>497</v>
      </c>
      <c r="G50" s="137"/>
      <c r="H50" s="83">
        <v>2</v>
      </c>
      <c r="I50" s="210" t="s">
        <v>502</v>
      </c>
      <c r="J50" s="137"/>
      <c r="K50" s="137"/>
      <c r="L50" s="81"/>
      <c r="T50" s="183"/>
    </row>
    <row r="51" spans="2:26">
      <c r="B51" s="191"/>
      <c r="C51" s="90"/>
      <c r="D51" s="137"/>
      <c r="E51" s="137"/>
      <c r="F51" s="151"/>
      <c r="G51" s="137"/>
      <c r="H51" s="92"/>
      <c r="I51" s="210"/>
      <c r="J51" s="137"/>
      <c r="K51" s="137"/>
      <c r="L51" s="81"/>
      <c r="T51" s="183"/>
      <c r="U51" s="179"/>
      <c r="W51" s="109"/>
      <c r="X51" s="109"/>
      <c r="Y51" s="109"/>
      <c r="Z51" s="109"/>
    </row>
    <row r="52" spans="2:26">
      <c r="B52" s="191"/>
      <c r="C52" s="90"/>
      <c r="D52" s="155" t="s">
        <v>499</v>
      </c>
      <c r="E52" s="155"/>
      <c r="F52" s="151" t="s">
        <v>498</v>
      </c>
      <c r="G52" s="137"/>
      <c r="H52" s="92"/>
      <c r="I52" s="210"/>
      <c r="J52" s="137"/>
      <c r="K52" s="137"/>
      <c r="L52" s="81"/>
      <c r="T52" s="183"/>
      <c r="U52" s="179"/>
      <c r="W52" s="109"/>
      <c r="X52" s="109"/>
      <c r="Y52" s="109"/>
      <c r="Z52" s="109"/>
    </row>
    <row r="53" spans="2:26">
      <c r="B53" s="191"/>
      <c r="C53" s="90"/>
      <c r="D53" s="137" t="s">
        <v>501</v>
      </c>
      <c r="E53" s="137"/>
      <c r="F53" s="151"/>
      <c r="G53" s="137"/>
      <c r="H53" s="83">
        <v>12.25</v>
      </c>
      <c r="I53" s="210" t="s">
        <v>400</v>
      </c>
      <c r="J53" s="137"/>
      <c r="K53" s="137"/>
      <c r="L53" s="81"/>
      <c r="T53" s="183"/>
      <c r="U53" s="179"/>
      <c r="W53" s="109"/>
      <c r="X53" s="109"/>
      <c r="Y53" s="109"/>
      <c r="Z53" s="109"/>
    </row>
    <row r="54" spans="2:26">
      <c r="B54" s="191"/>
      <c r="C54" s="90"/>
      <c r="D54" s="137" t="s">
        <v>506</v>
      </c>
      <c r="E54" s="137"/>
      <c r="F54" s="151"/>
      <c r="G54" s="137"/>
      <c r="H54" s="153">
        <f>ROUND(+H53*(1+H$24),2)</f>
        <v>16.54</v>
      </c>
      <c r="I54" s="210"/>
      <c r="J54" s="137"/>
      <c r="K54" s="137"/>
      <c r="L54" s="81"/>
      <c r="T54" s="75"/>
      <c r="U54" s="179"/>
      <c r="V54" s="71" t="s">
        <v>86</v>
      </c>
      <c r="W54" s="109"/>
      <c r="X54" s="109"/>
      <c r="Y54" s="109"/>
      <c r="Z54" s="109"/>
    </row>
    <row r="55" spans="2:26">
      <c r="B55" s="191"/>
      <c r="C55" s="90"/>
      <c r="D55" s="137" t="s">
        <v>505</v>
      </c>
      <c r="E55" s="137"/>
      <c r="F55" s="151"/>
      <c r="G55" s="137"/>
      <c r="H55" s="206">
        <f>+H54/R55</f>
        <v>0.44872490504612045</v>
      </c>
      <c r="I55" s="210"/>
      <c r="J55" s="137"/>
      <c r="K55" s="137"/>
      <c r="L55" s="81"/>
      <c r="O55" s="71" t="s">
        <v>575</v>
      </c>
      <c r="R55" s="71">
        <f>ROUNDDOWN(1659/45,2)</f>
        <v>36.86</v>
      </c>
      <c r="T55" s="75"/>
      <c r="W55" s="109"/>
      <c r="X55" s="109"/>
      <c r="Y55" s="109"/>
      <c r="Z55" s="109"/>
    </row>
    <row r="56" spans="2:26">
      <c r="B56" s="191"/>
      <c r="C56" s="90"/>
      <c r="D56" s="100" t="s">
        <v>508</v>
      </c>
      <c r="E56" s="100"/>
      <c r="F56" s="151" t="s">
        <v>507</v>
      </c>
      <c r="G56" s="100"/>
      <c r="H56" s="171">
        <f>(H49*H50+H55)*3/13</f>
        <v>0.35836728577987392</v>
      </c>
      <c r="I56" s="210"/>
      <c r="J56" s="137"/>
      <c r="K56" s="137"/>
      <c r="L56" s="81"/>
      <c r="T56" s="75"/>
      <c r="W56" s="109"/>
      <c r="X56" s="109"/>
      <c r="Y56" s="109"/>
      <c r="Z56" s="109"/>
    </row>
    <row r="57" spans="2:26">
      <c r="B57" s="191"/>
      <c r="C57" s="137"/>
      <c r="D57" s="137"/>
      <c r="E57" s="137"/>
      <c r="F57" s="151"/>
      <c r="G57" s="137"/>
      <c r="H57" s="137"/>
      <c r="I57" s="210"/>
      <c r="J57" s="137"/>
      <c r="K57" s="137"/>
      <c r="L57" s="81"/>
      <c r="T57" s="75"/>
      <c r="W57" s="109"/>
      <c r="X57" s="109"/>
      <c r="Y57" s="109"/>
      <c r="Z57" s="109"/>
    </row>
    <row r="58" spans="2:26">
      <c r="B58" s="191"/>
      <c r="C58" s="137"/>
      <c r="D58" s="155" t="s">
        <v>493</v>
      </c>
      <c r="E58" s="155"/>
      <c r="F58" s="151"/>
      <c r="G58" s="137"/>
      <c r="H58" s="137"/>
      <c r="I58" s="210"/>
      <c r="J58" s="137"/>
      <c r="K58" s="137"/>
      <c r="L58" s="81"/>
      <c r="T58" s="75"/>
      <c r="W58" s="109"/>
      <c r="X58" s="109"/>
      <c r="Y58" s="109"/>
      <c r="Z58" s="109"/>
    </row>
    <row r="59" spans="2:26">
      <c r="B59" s="191"/>
      <c r="C59" s="137"/>
      <c r="D59" s="137" t="s">
        <v>543</v>
      </c>
      <c r="E59" s="137"/>
      <c r="F59" s="151"/>
      <c r="G59" s="137"/>
      <c r="H59" s="123" t="s">
        <v>495</v>
      </c>
      <c r="I59" s="234"/>
      <c r="J59" s="137"/>
      <c r="K59" s="137"/>
      <c r="L59" s="81"/>
      <c r="T59" s="75"/>
      <c r="W59" s="109"/>
      <c r="X59" s="109"/>
      <c r="Y59" s="109"/>
      <c r="Z59" s="109"/>
    </row>
    <row r="60" spans="2:26">
      <c r="B60" s="191"/>
      <c r="C60" s="137"/>
      <c r="D60" s="137" t="s">
        <v>544</v>
      </c>
      <c r="E60" s="137"/>
      <c r="F60" s="151"/>
      <c r="G60" s="137"/>
      <c r="H60" s="123" t="s">
        <v>432</v>
      </c>
      <c r="I60" s="234"/>
      <c r="J60" s="137"/>
      <c r="K60" s="137"/>
      <c r="L60" s="81"/>
      <c r="T60" s="75"/>
      <c r="W60" s="109"/>
      <c r="X60" s="109"/>
      <c r="Y60" s="109"/>
      <c r="Z60" s="109"/>
    </row>
    <row r="61" spans="2:26">
      <c r="B61" s="191"/>
      <c r="C61" s="137"/>
      <c r="D61" s="137" t="s">
        <v>545</v>
      </c>
      <c r="E61" s="137"/>
      <c r="F61" s="151"/>
      <c r="G61" s="137"/>
      <c r="H61" s="123">
        <v>15</v>
      </c>
      <c r="I61" s="234"/>
      <c r="J61" s="137"/>
      <c r="K61" s="137"/>
      <c r="L61" s="81"/>
      <c r="T61" s="75"/>
      <c r="W61" s="109"/>
      <c r="X61" s="109"/>
      <c r="Y61" s="109"/>
      <c r="Z61" s="109"/>
    </row>
    <row r="62" spans="2:26">
      <c r="B62" s="191"/>
      <c r="C62" s="137"/>
      <c r="D62" s="137" t="s">
        <v>494</v>
      </c>
      <c r="E62" s="137"/>
      <c r="F62" s="151"/>
      <c r="G62" s="137"/>
      <c r="H62" s="199">
        <f>H56*VLOOKUP(H60,salaristabel,H61+1,FALSE)</f>
        <v>1173.2944936433073</v>
      </c>
      <c r="I62" s="212"/>
      <c r="J62" s="137"/>
      <c r="K62" s="137"/>
      <c r="L62" s="81"/>
      <c r="T62" s="75"/>
      <c r="W62" s="109"/>
      <c r="X62" s="109"/>
      <c r="Y62" s="109"/>
      <c r="Z62" s="109"/>
    </row>
    <row r="63" spans="2:26">
      <c r="B63" s="191"/>
      <c r="C63" s="137"/>
      <c r="D63" s="137"/>
      <c r="E63" s="137"/>
      <c r="F63" s="151"/>
      <c r="G63" s="137"/>
      <c r="H63" s="137"/>
      <c r="I63" s="210"/>
      <c r="J63" s="137"/>
      <c r="K63" s="137"/>
      <c r="L63" s="81"/>
      <c r="T63" s="75"/>
      <c r="W63" s="109"/>
      <c r="X63" s="109"/>
      <c r="Y63" s="109"/>
      <c r="Z63" s="109"/>
    </row>
    <row r="64" spans="2:26">
      <c r="B64" s="191"/>
      <c r="C64" s="160"/>
      <c r="D64" s="160"/>
      <c r="E64" s="160"/>
      <c r="F64" s="209"/>
      <c r="G64" s="160"/>
      <c r="H64" s="160"/>
      <c r="I64" s="211"/>
      <c r="J64" s="160"/>
      <c r="K64" s="160"/>
      <c r="L64" s="81"/>
      <c r="T64" s="75"/>
      <c r="W64" s="109"/>
      <c r="X64" s="109"/>
      <c r="Y64" s="109"/>
      <c r="Z64" s="109"/>
    </row>
    <row r="65" spans="2:26">
      <c r="B65" s="191"/>
      <c r="C65" s="137"/>
      <c r="D65" s="137"/>
      <c r="E65" s="137"/>
      <c r="F65" s="151"/>
      <c r="G65" s="137"/>
      <c r="H65" s="137"/>
      <c r="I65" s="210"/>
      <c r="J65" s="137"/>
      <c r="K65" s="137"/>
      <c r="L65" s="81"/>
      <c r="T65" s="75"/>
      <c r="W65" s="109"/>
      <c r="X65" s="109"/>
      <c r="Y65" s="109"/>
      <c r="Z65" s="109"/>
    </row>
    <row r="66" spans="2:26" ht="12" customHeight="1">
      <c r="B66" s="191"/>
      <c r="C66" s="90"/>
      <c r="D66" s="100" t="s">
        <v>541</v>
      </c>
      <c r="E66" s="100"/>
      <c r="F66" s="255"/>
      <c r="G66" s="100"/>
      <c r="H66" s="137"/>
      <c r="I66" s="210"/>
      <c r="J66" s="137"/>
      <c r="K66" s="137"/>
      <c r="L66" s="81"/>
      <c r="T66" s="75"/>
      <c r="W66" s="109"/>
      <c r="X66" s="109"/>
      <c r="Y66" s="109"/>
      <c r="Z66" s="109"/>
    </row>
    <row r="67" spans="2:26">
      <c r="B67" s="191"/>
      <c r="C67" s="90"/>
      <c r="D67" s="100"/>
      <c r="E67" s="100"/>
      <c r="F67" s="103"/>
      <c r="G67" s="100"/>
      <c r="H67" s="137"/>
      <c r="I67" s="210"/>
      <c r="J67" s="137"/>
      <c r="K67" s="137"/>
      <c r="L67" s="81"/>
      <c r="T67" s="75"/>
      <c r="W67" s="109"/>
      <c r="X67" s="109"/>
      <c r="Y67" s="109"/>
      <c r="Z67" s="109"/>
    </row>
    <row r="68" spans="2:26">
      <c r="B68" s="191"/>
      <c r="C68" s="137"/>
      <c r="D68" s="155" t="s">
        <v>510</v>
      </c>
      <c r="E68" s="155"/>
      <c r="F68" s="151"/>
      <c r="G68" s="137"/>
      <c r="H68" s="137"/>
      <c r="I68" s="210"/>
      <c r="J68" s="137"/>
      <c r="K68" s="137"/>
      <c r="L68" s="81"/>
      <c r="T68" s="75"/>
      <c r="W68" s="109"/>
      <c r="X68" s="109"/>
      <c r="Y68" s="109"/>
      <c r="Z68" s="109"/>
    </row>
    <row r="69" spans="2:26">
      <c r="B69" s="191"/>
      <c r="C69" s="90"/>
      <c r="D69" s="137" t="s">
        <v>504</v>
      </c>
      <c r="E69" s="137"/>
      <c r="F69" s="151" t="s">
        <v>503</v>
      </c>
      <c r="G69" s="137"/>
      <c r="H69" s="83">
        <v>0.55210000000000004</v>
      </c>
      <c r="I69" s="210"/>
      <c r="J69" s="137"/>
      <c r="K69" s="137"/>
      <c r="L69" s="81"/>
      <c r="T69" s="75"/>
      <c r="W69" s="109"/>
      <c r="X69" s="109"/>
      <c r="Y69" s="109"/>
      <c r="Z69" s="109"/>
    </row>
    <row r="70" spans="2:26">
      <c r="B70" s="191"/>
      <c r="C70" s="90"/>
      <c r="D70" s="137" t="s">
        <v>500</v>
      </c>
      <c r="E70" s="137"/>
      <c r="F70" s="151" t="s">
        <v>497</v>
      </c>
      <c r="G70" s="137"/>
      <c r="H70" s="83">
        <v>2</v>
      </c>
      <c r="I70" s="210" t="s">
        <v>502</v>
      </c>
      <c r="J70" s="137"/>
      <c r="K70" s="137"/>
      <c r="L70" s="81"/>
      <c r="T70" s="75"/>
      <c r="W70" s="109"/>
      <c r="X70" s="109"/>
      <c r="Y70" s="109"/>
      <c r="Z70" s="109"/>
    </row>
    <row r="71" spans="2:26">
      <c r="B71" s="191"/>
      <c r="C71" s="90"/>
      <c r="D71" s="137"/>
      <c r="E71" s="137"/>
      <c r="F71" s="151"/>
      <c r="G71" s="137"/>
      <c r="H71" s="92"/>
      <c r="I71" s="210"/>
      <c r="J71" s="137"/>
      <c r="K71" s="137"/>
      <c r="L71" s="81"/>
      <c r="T71" s="75"/>
      <c r="W71" s="109"/>
      <c r="X71" s="109"/>
      <c r="Y71" s="109"/>
      <c r="Z71" s="109"/>
    </row>
    <row r="72" spans="2:26">
      <c r="B72" s="191"/>
      <c r="C72" s="90"/>
      <c r="D72" s="155" t="s">
        <v>499</v>
      </c>
      <c r="E72" s="155"/>
      <c r="F72" s="151" t="s">
        <v>498</v>
      </c>
      <c r="G72" s="137"/>
      <c r="H72" s="92"/>
      <c r="I72" s="210"/>
      <c r="J72" s="137"/>
      <c r="K72" s="137"/>
      <c r="L72" s="81"/>
      <c r="T72" s="75"/>
      <c r="W72" s="109"/>
      <c r="X72" s="109"/>
      <c r="Y72" s="109"/>
      <c r="Z72" s="109"/>
    </row>
    <row r="73" spans="2:26">
      <c r="B73" s="191"/>
      <c r="C73" s="90"/>
      <c r="D73" s="137" t="s">
        <v>511</v>
      </c>
      <c r="E73" s="137"/>
      <c r="F73" s="151"/>
      <c r="G73" s="137"/>
      <c r="H73" s="207">
        <v>2</v>
      </c>
      <c r="I73" s="210"/>
      <c r="J73" s="137"/>
      <c r="K73" s="137"/>
      <c r="L73" s="81"/>
      <c r="Q73" s="251" t="s">
        <v>571</v>
      </c>
      <c r="T73" s="75"/>
      <c r="W73" s="109"/>
      <c r="X73" s="109"/>
      <c r="Y73" s="109"/>
      <c r="Z73" s="109"/>
    </row>
    <row r="74" spans="2:26">
      <c r="B74" s="191"/>
      <c r="C74" s="90"/>
      <c r="D74" s="137" t="s">
        <v>290</v>
      </c>
      <c r="E74" s="137"/>
      <c r="F74" s="151"/>
      <c r="G74" s="137"/>
      <c r="H74" s="207">
        <v>1</v>
      </c>
      <c r="I74" s="210"/>
      <c r="J74" s="137"/>
      <c r="K74" s="137"/>
      <c r="L74" s="81"/>
      <c r="Q74" s="252" t="s">
        <v>511</v>
      </c>
      <c r="R74" s="179">
        <v>0.2306</v>
      </c>
      <c r="S74" s="179"/>
      <c r="T74" s="75"/>
      <c r="W74" s="109"/>
      <c r="X74" s="109"/>
      <c r="Y74" s="109"/>
      <c r="Z74" s="109"/>
    </row>
    <row r="75" spans="2:26">
      <c r="B75" s="191"/>
      <c r="C75" s="90"/>
      <c r="D75" s="137" t="s">
        <v>291</v>
      </c>
      <c r="E75" s="137"/>
      <c r="F75" s="151"/>
      <c r="G75" s="137"/>
      <c r="H75" s="207">
        <v>0</v>
      </c>
      <c r="I75" s="210"/>
      <c r="J75" s="137"/>
      <c r="K75" s="137"/>
      <c r="L75" s="81"/>
      <c r="Q75" s="252" t="s">
        <v>290</v>
      </c>
      <c r="R75" s="179">
        <v>0.1356</v>
      </c>
      <c r="S75" s="179"/>
      <c r="T75" s="75"/>
      <c r="W75" s="109"/>
      <c r="X75" s="109"/>
      <c r="Y75" s="109"/>
      <c r="Z75" s="109"/>
    </row>
    <row r="76" spans="2:26">
      <c r="B76" s="191"/>
      <c r="C76" s="90"/>
      <c r="D76" s="137" t="s">
        <v>512</v>
      </c>
      <c r="E76" s="137"/>
      <c r="F76" s="151"/>
      <c r="G76" s="137"/>
      <c r="H76" s="207">
        <v>1</v>
      </c>
      <c r="I76" s="210"/>
      <c r="J76" s="137"/>
      <c r="K76" s="137"/>
      <c r="L76" s="81"/>
      <c r="Q76" s="252" t="s">
        <v>291</v>
      </c>
      <c r="R76" s="179">
        <v>9.5000000000000001E-2</v>
      </c>
      <c r="S76" s="179"/>
      <c r="T76" s="75"/>
      <c r="W76" s="109"/>
      <c r="X76" s="109"/>
      <c r="Y76" s="109"/>
      <c r="Z76" s="109"/>
    </row>
    <row r="77" spans="2:26">
      <c r="B77" s="191"/>
      <c r="C77" s="90"/>
      <c r="D77" s="137" t="s">
        <v>513</v>
      </c>
      <c r="E77" s="137"/>
      <c r="F77" s="151"/>
      <c r="G77" s="137"/>
      <c r="H77" s="206">
        <f>+H73*R74+H74*R75+H75*R76+H76*R77</f>
        <v>0.75960000000000005</v>
      </c>
      <c r="I77" s="210"/>
      <c r="J77" s="137"/>
      <c r="K77" s="137"/>
      <c r="L77" s="81"/>
      <c r="Q77" s="253" t="s">
        <v>572</v>
      </c>
      <c r="R77" s="179">
        <v>0.1628</v>
      </c>
      <c r="S77" s="179" t="s">
        <v>86</v>
      </c>
      <c r="T77" s="75"/>
      <c r="W77" s="109"/>
      <c r="X77" s="109"/>
      <c r="Y77" s="109"/>
      <c r="Z77" s="109"/>
    </row>
    <row r="78" spans="2:26">
      <c r="B78" s="191"/>
      <c r="C78" s="90"/>
      <c r="D78" s="100" t="s">
        <v>508</v>
      </c>
      <c r="E78" s="100"/>
      <c r="F78" s="151" t="s">
        <v>507</v>
      </c>
      <c r="G78" s="100"/>
      <c r="H78" s="171">
        <f>(H69*H70+H77)*3/13</f>
        <v>0.4301076923076923</v>
      </c>
      <c r="I78" s="210"/>
      <c r="J78" s="137"/>
      <c r="K78" s="137"/>
      <c r="L78" s="81"/>
      <c r="Q78" s="254"/>
      <c r="T78" s="75"/>
      <c r="W78" s="109"/>
      <c r="X78" s="109"/>
      <c r="Y78" s="109"/>
      <c r="Z78" s="109"/>
    </row>
    <row r="79" spans="2:26">
      <c r="B79" s="191"/>
      <c r="C79" s="137"/>
      <c r="D79" s="137"/>
      <c r="E79" s="137"/>
      <c r="F79" s="151"/>
      <c r="G79" s="137"/>
      <c r="H79" s="137"/>
      <c r="I79" s="210"/>
      <c r="J79" s="137"/>
      <c r="K79" s="137"/>
      <c r="L79" s="81"/>
      <c r="Q79" s="252" t="s">
        <v>573</v>
      </c>
      <c r="R79" s="71">
        <f>+R74*4+R77</f>
        <v>1.0851999999999999</v>
      </c>
      <c r="W79" s="109"/>
      <c r="X79" s="109"/>
      <c r="Y79" s="109"/>
      <c r="Z79" s="109"/>
    </row>
    <row r="80" spans="2:26">
      <c r="B80" s="191"/>
      <c r="C80" s="137"/>
      <c r="D80" s="155" t="s">
        <v>493</v>
      </c>
      <c r="E80" s="155"/>
      <c r="F80" s="151"/>
      <c r="G80" s="137"/>
      <c r="H80" s="137"/>
      <c r="I80" s="210"/>
      <c r="J80" s="137"/>
      <c r="K80" s="137"/>
      <c r="L80" s="81"/>
      <c r="Q80" s="252" t="s">
        <v>574</v>
      </c>
      <c r="R80" s="71">
        <f>+R74*3+R77*2</f>
        <v>1.0173999999999999</v>
      </c>
    </row>
    <row r="81" spans="2:12">
      <c r="B81" s="191"/>
      <c r="C81" s="137"/>
      <c r="D81" s="137" t="s">
        <v>543</v>
      </c>
      <c r="E81" s="137"/>
      <c r="F81" s="151"/>
      <c r="G81" s="137"/>
      <c r="H81" s="123" t="s">
        <v>495</v>
      </c>
      <c r="I81" s="234"/>
      <c r="J81" s="137"/>
      <c r="K81" s="137"/>
      <c r="L81" s="81"/>
    </row>
    <row r="82" spans="2:12">
      <c r="B82" s="191"/>
      <c r="C82" s="137"/>
      <c r="D82" s="137" t="s">
        <v>544</v>
      </c>
      <c r="E82" s="137"/>
      <c r="F82" s="151"/>
      <c r="G82" s="137"/>
      <c r="H82" s="123" t="s">
        <v>432</v>
      </c>
      <c r="I82" s="234"/>
      <c r="J82" s="137"/>
      <c r="K82" s="137"/>
      <c r="L82" s="81"/>
    </row>
    <row r="83" spans="2:12">
      <c r="B83" s="191"/>
      <c r="C83" s="137"/>
      <c r="D83" s="137" t="s">
        <v>545</v>
      </c>
      <c r="E83" s="137"/>
      <c r="F83" s="151"/>
      <c r="G83" s="137"/>
      <c r="H83" s="123">
        <v>15</v>
      </c>
      <c r="I83" s="234"/>
      <c r="J83" s="137"/>
      <c r="K83" s="137"/>
      <c r="L83" s="81"/>
    </row>
    <row r="84" spans="2:12">
      <c r="B84" s="191"/>
      <c r="C84" s="137"/>
      <c r="D84" s="137" t="s">
        <v>494</v>
      </c>
      <c r="E84" s="137"/>
      <c r="F84" s="151"/>
      <c r="G84" s="137"/>
      <c r="H84" s="199">
        <f>H78*VLOOKUP(H82,salaristabel,H83+1,FALSE)</f>
        <v>1408.1725846153845</v>
      </c>
      <c r="I84" s="212"/>
      <c r="J84" s="137"/>
      <c r="K84" s="137"/>
      <c r="L84" s="81"/>
    </row>
    <row r="85" spans="2:12">
      <c r="B85" s="191"/>
      <c r="C85" s="137"/>
      <c r="D85" s="137"/>
      <c r="E85" s="137"/>
      <c r="F85" s="151"/>
      <c r="G85" s="137"/>
      <c r="H85" s="137"/>
      <c r="I85" s="210"/>
      <c r="J85" s="137"/>
      <c r="K85" s="137"/>
      <c r="L85" s="81"/>
    </row>
    <row r="86" spans="2:12">
      <c r="B86" s="191"/>
      <c r="C86" s="160"/>
      <c r="D86" s="160"/>
      <c r="E86" s="160"/>
      <c r="F86" s="209"/>
      <c r="G86" s="160"/>
      <c r="H86" s="160"/>
      <c r="I86" s="211"/>
      <c r="J86" s="160"/>
      <c r="K86" s="160"/>
      <c r="L86" s="81"/>
    </row>
    <row r="87" spans="2:12">
      <c r="B87" s="191"/>
      <c r="C87" s="137"/>
      <c r="D87" s="137"/>
      <c r="E87" s="137"/>
      <c r="F87" s="151"/>
      <c r="G87" s="137"/>
      <c r="H87" s="137"/>
      <c r="I87" s="210"/>
      <c r="J87" s="137"/>
      <c r="K87" s="137"/>
      <c r="L87" s="81"/>
    </row>
    <row r="88" spans="2:12" ht="12" customHeight="1">
      <c r="B88" s="191"/>
      <c r="C88" s="90"/>
      <c r="D88" s="100" t="s">
        <v>542</v>
      </c>
      <c r="E88" s="100"/>
      <c r="F88" s="255"/>
      <c r="G88" s="100"/>
      <c r="H88" s="137"/>
      <c r="I88" s="210"/>
      <c r="J88" s="137"/>
      <c r="K88" s="137"/>
      <c r="L88" s="81"/>
    </row>
    <row r="89" spans="2:12">
      <c r="B89" s="191"/>
      <c r="C89" s="90"/>
      <c r="D89" s="100"/>
      <c r="E89" s="100"/>
      <c r="F89" s="103"/>
      <c r="G89" s="100"/>
      <c r="H89" s="137"/>
      <c r="I89" s="210"/>
      <c r="J89" s="137"/>
      <c r="K89" s="137"/>
      <c r="L89" s="81"/>
    </row>
    <row r="90" spans="2:12">
      <c r="B90" s="191"/>
      <c r="C90" s="137"/>
      <c r="D90" s="137" t="s">
        <v>510</v>
      </c>
      <c r="E90" s="137"/>
      <c r="F90" s="151"/>
      <c r="G90" s="137"/>
      <c r="H90" s="137"/>
      <c r="I90" s="210"/>
      <c r="J90" s="137"/>
      <c r="K90" s="137"/>
      <c r="L90" s="81"/>
    </row>
    <row r="91" spans="2:12">
      <c r="B91" s="191"/>
      <c r="C91" s="90"/>
      <c r="D91" s="137" t="s">
        <v>504</v>
      </c>
      <c r="E91" s="137"/>
      <c r="F91" s="151" t="s">
        <v>503</v>
      </c>
      <c r="G91" s="137"/>
      <c r="H91" s="83">
        <v>0.55210000000000004</v>
      </c>
      <c r="I91" s="210"/>
      <c r="J91" s="137"/>
      <c r="K91" s="137"/>
      <c r="L91" s="81"/>
    </row>
    <row r="92" spans="2:12">
      <c r="B92" s="191"/>
      <c r="C92" s="90"/>
      <c r="D92" s="137" t="s">
        <v>500</v>
      </c>
      <c r="E92" s="137"/>
      <c r="F92" s="151" t="s">
        <v>497</v>
      </c>
      <c r="G92" s="137"/>
      <c r="H92" s="83">
        <v>2</v>
      </c>
      <c r="I92" s="210" t="s">
        <v>502</v>
      </c>
      <c r="J92" s="137"/>
      <c r="K92" s="137"/>
      <c r="L92" s="81"/>
    </row>
    <row r="93" spans="2:12">
      <c r="B93" s="191"/>
      <c r="C93" s="90"/>
      <c r="D93" s="137"/>
      <c r="E93" s="137"/>
      <c r="F93" s="151"/>
      <c r="G93" s="137"/>
      <c r="H93" s="92"/>
      <c r="I93" s="210"/>
      <c r="J93" s="137"/>
      <c r="K93" s="137"/>
      <c r="L93" s="81"/>
    </row>
    <row r="94" spans="2:12">
      <c r="B94" s="191"/>
      <c r="C94" s="90"/>
      <c r="D94" s="155" t="s">
        <v>499</v>
      </c>
      <c r="E94" s="155"/>
      <c r="F94" s="151" t="s">
        <v>498</v>
      </c>
      <c r="G94" s="137"/>
      <c r="H94" s="137"/>
      <c r="I94" s="210"/>
      <c r="J94" s="137"/>
      <c r="K94" s="137"/>
      <c r="L94" s="81"/>
    </row>
    <row r="95" spans="2:12">
      <c r="B95" s="191"/>
      <c r="C95" s="90"/>
      <c r="D95" s="137" t="s">
        <v>511</v>
      </c>
      <c r="E95" s="137"/>
      <c r="F95" s="151"/>
      <c r="G95" s="137"/>
      <c r="H95" s="207">
        <v>1</v>
      </c>
      <c r="I95" s="210"/>
      <c r="J95" s="137"/>
      <c r="K95" s="137"/>
      <c r="L95" s="81"/>
    </row>
    <row r="96" spans="2:12">
      <c r="B96" s="191"/>
      <c r="C96" s="90"/>
      <c r="D96" s="137" t="s">
        <v>290</v>
      </c>
      <c r="E96" s="137"/>
      <c r="F96" s="151"/>
      <c r="G96" s="137"/>
      <c r="H96" s="207">
        <v>1</v>
      </c>
      <c r="I96" s="210"/>
      <c r="J96" s="137"/>
      <c r="K96" s="137"/>
      <c r="L96" s="81"/>
    </row>
    <row r="97" spans="2:15">
      <c r="B97" s="191"/>
      <c r="C97" s="90"/>
      <c r="D97" s="137" t="s">
        <v>291</v>
      </c>
      <c r="E97" s="137"/>
      <c r="F97" s="151"/>
      <c r="G97" s="137"/>
      <c r="H97" s="207">
        <v>1</v>
      </c>
      <c r="I97" s="210"/>
      <c r="J97" s="137"/>
      <c r="K97" s="137"/>
      <c r="L97" s="81"/>
    </row>
    <row r="98" spans="2:15">
      <c r="B98" s="191"/>
      <c r="C98" s="90"/>
      <c r="D98" s="137" t="s">
        <v>512</v>
      </c>
      <c r="E98" s="137"/>
      <c r="F98" s="151"/>
      <c r="G98" s="137"/>
      <c r="H98" s="207">
        <v>1</v>
      </c>
      <c r="I98" s="210"/>
      <c r="J98" s="137"/>
      <c r="K98" s="137"/>
      <c r="L98" s="81"/>
    </row>
    <row r="99" spans="2:15">
      <c r="B99" s="191"/>
      <c r="C99" s="90"/>
      <c r="D99" s="137" t="s">
        <v>515</v>
      </c>
      <c r="E99" s="137"/>
      <c r="F99" s="151"/>
      <c r="G99" s="137"/>
      <c r="H99" s="84">
        <v>2.75</v>
      </c>
      <c r="I99" s="210" t="s">
        <v>514</v>
      </c>
      <c r="J99" s="137"/>
      <c r="K99" s="137"/>
      <c r="L99" s="81"/>
    </row>
    <row r="100" spans="2:15">
      <c r="B100" s="191"/>
      <c r="C100" s="90"/>
      <c r="D100" s="137" t="s">
        <v>506</v>
      </c>
      <c r="E100" s="137"/>
      <c r="F100" s="151"/>
      <c r="G100" s="137"/>
      <c r="H100" s="153">
        <f>+H99*1.5385</f>
        <v>4.2308750000000002</v>
      </c>
      <c r="I100" s="210"/>
      <c r="J100" s="137"/>
      <c r="K100" s="137"/>
      <c r="L100" s="81"/>
      <c r="O100" s="109" t="s">
        <v>88</v>
      </c>
    </row>
    <row r="101" spans="2:15">
      <c r="B101" s="191"/>
      <c r="C101" s="90"/>
      <c r="D101" s="137" t="s">
        <v>513</v>
      </c>
      <c r="E101" s="137"/>
      <c r="F101" s="151"/>
      <c r="G101" s="137"/>
      <c r="H101" s="206">
        <f>+H95*R74+H96*R75+H97*R76+H98*R77+H100/R55</f>
        <v>0.73878228431904491</v>
      </c>
      <c r="I101" s="210"/>
      <c r="J101" s="137"/>
      <c r="K101" s="137"/>
      <c r="L101" s="81"/>
    </row>
    <row r="102" spans="2:15">
      <c r="B102" s="191"/>
      <c r="C102" s="90"/>
      <c r="D102" s="100" t="s">
        <v>508</v>
      </c>
      <c r="E102" s="100"/>
      <c r="F102" s="151" t="s">
        <v>507</v>
      </c>
      <c r="G102" s="100"/>
      <c r="H102" s="171">
        <f>(H91*H92+H101)*3/13</f>
        <v>0.42530360407362572</v>
      </c>
      <c r="I102" s="210"/>
      <c r="J102" s="137"/>
      <c r="K102" s="137"/>
      <c r="L102" s="81"/>
    </row>
    <row r="103" spans="2:15">
      <c r="B103" s="191"/>
      <c r="C103" s="137"/>
      <c r="D103" s="137"/>
      <c r="E103" s="137"/>
      <c r="F103" s="151"/>
      <c r="G103" s="137"/>
      <c r="H103" s="137"/>
      <c r="I103" s="155"/>
      <c r="J103" s="137"/>
      <c r="K103" s="137"/>
      <c r="L103" s="81"/>
    </row>
    <row r="104" spans="2:15">
      <c r="B104" s="191"/>
      <c r="C104" s="137"/>
      <c r="D104" s="155" t="s">
        <v>493</v>
      </c>
      <c r="E104" s="155"/>
      <c r="F104" s="151"/>
      <c r="G104" s="137"/>
      <c r="H104" s="137"/>
      <c r="I104" s="155"/>
      <c r="J104" s="137"/>
      <c r="K104" s="137"/>
      <c r="L104" s="81"/>
    </row>
    <row r="105" spans="2:15">
      <c r="B105" s="191"/>
      <c r="C105" s="137"/>
      <c r="D105" s="137" t="s">
        <v>543</v>
      </c>
      <c r="E105" s="137"/>
      <c r="F105" s="151"/>
      <c r="G105" s="137"/>
      <c r="H105" s="123" t="s">
        <v>495</v>
      </c>
      <c r="I105" s="204"/>
      <c r="J105" s="137"/>
      <c r="K105" s="137"/>
      <c r="L105" s="81"/>
    </row>
    <row r="106" spans="2:15">
      <c r="B106" s="191"/>
      <c r="C106" s="137"/>
      <c r="D106" s="137" t="s">
        <v>544</v>
      </c>
      <c r="E106" s="137"/>
      <c r="F106" s="151"/>
      <c r="G106" s="137"/>
      <c r="H106" s="123" t="s">
        <v>432</v>
      </c>
      <c r="I106" s="204"/>
      <c r="J106" s="137"/>
      <c r="K106" s="137"/>
      <c r="L106" s="81"/>
    </row>
    <row r="107" spans="2:15">
      <c r="B107" s="191"/>
      <c r="C107" s="137"/>
      <c r="D107" s="137" t="s">
        <v>545</v>
      </c>
      <c r="E107" s="137"/>
      <c r="F107" s="151"/>
      <c r="G107" s="137"/>
      <c r="H107" s="123">
        <v>15</v>
      </c>
      <c r="I107" s="204"/>
      <c r="J107" s="137"/>
      <c r="K107" s="137"/>
      <c r="L107" s="81"/>
    </row>
    <row r="108" spans="2:15">
      <c r="B108" s="191"/>
      <c r="C108" s="137"/>
      <c r="D108" s="137" t="s">
        <v>494</v>
      </c>
      <c r="E108" s="137"/>
      <c r="F108" s="151"/>
      <c r="G108" s="137"/>
      <c r="H108" s="199">
        <f>H102*VLOOKUP(H106,salaristabel,H107+1,FALSE)</f>
        <v>1392.4439997370505</v>
      </c>
      <c r="I108" s="202"/>
      <c r="J108" s="137"/>
      <c r="K108" s="137"/>
      <c r="L108" s="81"/>
    </row>
    <row r="109" spans="2:15">
      <c r="B109" s="191"/>
      <c r="C109" s="137"/>
      <c r="D109" s="137"/>
      <c r="E109" s="137"/>
      <c r="F109" s="151"/>
      <c r="G109" s="137"/>
      <c r="H109" s="137"/>
      <c r="I109" s="155"/>
      <c r="J109" s="137"/>
      <c r="K109" s="137"/>
      <c r="L109" s="81"/>
    </row>
    <row r="110" spans="2:15" ht="13.5" thickBot="1">
      <c r="B110" s="86"/>
      <c r="C110" s="87"/>
      <c r="D110" s="87"/>
      <c r="E110" s="87"/>
      <c r="F110" s="88"/>
      <c r="G110" s="87"/>
      <c r="H110" s="87"/>
      <c r="I110" s="203"/>
      <c r="J110" s="87"/>
      <c r="K110" s="87"/>
      <c r="L110" s="89"/>
    </row>
    <row r="112" spans="2:15">
      <c r="J112" s="109"/>
      <c r="K112" s="109"/>
      <c r="L112" s="109"/>
    </row>
    <row r="113" spans="6:12">
      <c r="J113" s="109"/>
      <c r="K113" s="109"/>
      <c r="L113" s="109"/>
    </row>
    <row r="114" spans="6:12">
      <c r="J114" s="109"/>
      <c r="K114" s="109"/>
      <c r="L114" s="109"/>
    </row>
    <row r="115" spans="6:12">
      <c r="J115" s="109"/>
      <c r="K115" s="109"/>
      <c r="L115" s="109"/>
    </row>
    <row r="116" spans="6:12">
      <c r="J116" s="109"/>
      <c r="K116" s="109"/>
      <c r="L116" s="109"/>
    </row>
    <row r="117" spans="6:12">
      <c r="J117" s="109"/>
      <c r="K117" s="109"/>
      <c r="L117" s="109"/>
    </row>
    <row r="118" spans="6:12">
      <c r="F118" s="71"/>
      <c r="I118" s="71"/>
    </row>
    <row r="119" spans="6:12">
      <c r="F119" s="71"/>
      <c r="I119" s="71"/>
    </row>
    <row r="120" spans="6:12">
      <c r="F120" s="71"/>
      <c r="I120" s="71"/>
    </row>
    <row r="121" spans="6:12">
      <c r="J121" s="109"/>
      <c r="K121" s="109"/>
      <c r="L121" s="109"/>
    </row>
    <row r="122" spans="6:12">
      <c r="J122" s="109"/>
      <c r="K122" s="109"/>
      <c r="L122" s="109"/>
    </row>
    <row r="123" spans="6:12">
      <c r="J123" s="109"/>
      <c r="K123" s="109"/>
      <c r="L123" s="109"/>
    </row>
    <row r="124" spans="6:12">
      <c r="J124" s="109"/>
      <c r="K124" s="109"/>
      <c r="L124" s="109"/>
    </row>
    <row r="125" spans="6:12">
      <c r="J125" s="109"/>
      <c r="K125" s="109"/>
      <c r="L125" s="109"/>
    </row>
    <row r="126" spans="6:12">
      <c r="J126" s="109"/>
      <c r="K126" s="109"/>
      <c r="L126" s="109"/>
    </row>
    <row r="127" spans="6:12">
      <c r="J127" s="109"/>
      <c r="K127" s="109"/>
      <c r="L127" s="109"/>
    </row>
    <row r="128" spans="6:12">
      <c r="J128" s="109"/>
      <c r="K128" s="109"/>
      <c r="L128" s="109"/>
    </row>
    <row r="129" spans="10:12">
      <c r="J129" s="109"/>
      <c r="K129" s="109"/>
      <c r="L129" s="109"/>
    </row>
    <row r="130" spans="10:12">
      <c r="J130" s="109"/>
      <c r="K130" s="109"/>
      <c r="L130" s="109"/>
    </row>
    <row r="131" spans="10:12">
      <c r="J131" s="109"/>
      <c r="K131" s="109"/>
      <c r="L131" s="109"/>
    </row>
    <row r="132" spans="10:12">
      <c r="J132" s="109"/>
      <c r="K132" s="109"/>
      <c r="L132" s="109"/>
    </row>
    <row r="133" spans="10:12">
      <c r="J133" s="109"/>
      <c r="K133" s="109"/>
      <c r="L133" s="109"/>
    </row>
    <row r="134" spans="10:12">
      <c r="J134" s="109"/>
      <c r="K134" s="109"/>
      <c r="L134" s="109"/>
    </row>
    <row r="135" spans="10:12">
      <c r="J135" s="109"/>
      <c r="K135" s="109"/>
      <c r="L135" s="109"/>
    </row>
    <row r="136" spans="10:12">
      <c r="J136" s="109"/>
      <c r="K136" s="109"/>
      <c r="L136" s="109"/>
    </row>
    <row r="137" spans="10:12">
      <c r="J137" s="109"/>
      <c r="K137" s="109"/>
      <c r="L137" s="109"/>
    </row>
    <row r="138" spans="10:12">
      <c r="J138" s="109"/>
      <c r="K138" s="109"/>
      <c r="L138" s="109"/>
    </row>
    <row r="139" spans="10:12">
      <c r="J139" s="109"/>
      <c r="K139" s="109"/>
      <c r="L139" s="109"/>
    </row>
    <row r="140" spans="10:12">
      <c r="J140" s="109"/>
      <c r="K140" s="109"/>
      <c r="L140" s="109"/>
    </row>
    <row r="141" spans="10:12">
      <c r="J141" s="109"/>
      <c r="K141" s="109"/>
      <c r="L141" s="109"/>
    </row>
    <row r="142" spans="10:12">
      <c r="J142" s="109"/>
      <c r="K142" s="109"/>
      <c r="L142" s="109"/>
    </row>
    <row r="143" spans="10:12">
      <c r="J143" s="109"/>
      <c r="K143" s="109"/>
      <c r="L143" s="109"/>
    </row>
    <row r="144" spans="10:12">
      <c r="J144" s="109"/>
      <c r="K144" s="109"/>
      <c r="L144" s="109"/>
    </row>
    <row r="145" spans="6:12">
      <c r="J145" s="109"/>
      <c r="K145" s="109"/>
      <c r="L145" s="109"/>
    </row>
    <row r="146" spans="6:12">
      <c r="J146" s="109"/>
      <c r="K146" s="109"/>
      <c r="L146" s="109"/>
    </row>
    <row r="147" spans="6:12">
      <c r="J147" s="109"/>
      <c r="K147" s="109"/>
      <c r="L147" s="109"/>
    </row>
    <row r="148" spans="6:12">
      <c r="J148" s="109"/>
      <c r="K148" s="109"/>
      <c r="L148" s="109"/>
    </row>
    <row r="149" spans="6:12">
      <c r="J149" s="109"/>
      <c r="K149" s="109"/>
      <c r="L149" s="109"/>
    </row>
    <row r="150" spans="6:12">
      <c r="J150" s="109"/>
      <c r="K150" s="109"/>
      <c r="L150" s="109"/>
    </row>
    <row r="151" spans="6:12">
      <c r="F151" s="71"/>
      <c r="I151" s="71"/>
    </row>
    <row r="152" spans="6:12">
      <c r="F152" s="71"/>
      <c r="I152" s="71"/>
    </row>
    <row r="153" spans="6:12">
      <c r="F153" s="71"/>
      <c r="I153" s="71"/>
    </row>
    <row r="154" spans="6:12">
      <c r="F154" s="71"/>
      <c r="I154" s="71"/>
    </row>
    <row r="155" spans="6:12">
      <c r="F155" s="71"/>
      <c r="I155" s="71"/>
    </row>
    <row r="156" spans="6:12">
      <c r="F156" s="71"/>
      <c r="I156" s="71"/>
    </row>
    <row r="157" spans="6:12">
      <c r="F157" s="71"/>
      <c r="I157" s="71"/>
    </row>
    <row r="158" spans="6:12">
      <c r="F158" s="71"/>
      <c r="I158" s="71"/>
    </row>
    <row r="159" spans="6:12">
      <c r="F159" s="71"/>
      <c r="I159" s="71"/>
    </row>
    <row r="160" spans="6:12">
      <c r="F160" s="71"/>
      <c r="I160" s="71"/>
    </row>
    <row r="161" spans="6:9">
      <c r="F161" s="71"/>
      <c r="I161" s="71"/>
    </row>
    <row r="162" spans="6:9">
      <c r="F162" s="71"/>
      <c r="I162" s="71"/>
    </row>
    <row r="163" spans="6:9">
      <c r="F163" s="71"/>
      <c r="I163" s="71"/>
    </row>
    <row r="164" spans="6:9">
      <c r="F164" s="71"/>
      <c r="I164" s="71"/>
    </row>
    <row r="165" spans="6:9">
      <c r="F165" s="71"/>
      <c r="I165" s="71"/>
    </row>
    <row r="166" spans="6:9">
      <c r="F166" s="71"/>
      <c r="I166" s="71"/>
    </row>
    <row r="167" spans="6:9">
      <c r="F167" s="71"/>
      <c r="I167" s="71"/>
    </row>
    <row r="168" spans="6:9">
      <c r="F168" s="71"/>
      <c r="I168" s="71"/>
    </row>
    <row r="169" spans="6:9">
      <c r="F169" s="71"/>
      <c r="I169" s="71"/>
    </row>
    <row r="170" spans="6:9">
      <c r="F170" s="71"/>
      <c r="I170" s="71"/>
    </row>
    <row r="171" spans="6:9">
      <c r="F171" s="71"/>
      <c r="I171" s="71"/>
    </row>
    <row r="172" spans="6:9">
      <c r="F172" s="71"/>
      <c r="I172" s="71"/>
    </row>
    <row r="173" spans="6:9">
      <c r="F173" s="71"/>
      <c r="I173" s="71"/>
    </row>
    <row r="174" spans="6:9">
      <c r="F174" s="71"/>
      <c r="I174" s="71"/>
    </row>
    <row r="175" spans="6:9">
      <c r="F175" s="71"/>
      <c r="I175" s="71"/>
    </row>
    <row r="176" spans="6:9">
      <c r="F176" s="71"/>
      <c r="I176" s="71"/>
    </row>
    <row r="177" spans="6:12">
      <c r="F177" s="71"/>
      <c r="I177" s="71"/>
    </row>
    <row r="178" spans="6:12">
      <c r="F178" s="71"/>
      <c r="I178" s="71"/>
    </row>
    <row r="179" spans="6:12">
      <c r="F179" s="71"/>
      <c r="I179" s="71"/>
    </row>
    <row r="180" spans="6:12">
      <c r="F180" s="71"/>
      <c r="I180" s="71"/>
    </row>
    <row r="181" spans="6:12">
      <c r="F181" s="71"/>
      <c r="I181" s="71"/>
    </row>
    <row r="182" spans="6:12">
      <c r="F182" s="71"/>
      <c r="I182" s="71"/>
    </row>
    <row r="183" spans="6:12">
      <c r="F183" s="71"/>
      <c r="I183" s="71"/>
    </row>
    <row r="184" spans="6:12">
      <c r="F184" s="71"/>
      <c r="I184" s="71"/>
    </row>
    <row r="185" spans="6:12">
      <c r="F185" s="71"/>
      <c r="I185" s="71"/>
    </row>
    <row r="186" spans="6:12">
      <c r="F186" s="71"/>
      <c r="I186" s="71"/>
    </row>
    <row r="187" spans="6:12">
      <c r="F187" s="71"/>
      <c r="I187" s="71"/>
    </row>
    <row r="188" spans="6:12">
      <c r="F188" s="71"/>
      <c r="I188" s="71"/>
    </row>
    <row r="189" spans="6:12">
      <c r="J189" s="109"/>
      <c r="K189" s="109"/>
      <c r="L189" s="109"/>
    </row>
    <row r="190" spans="6:12">
      <c r="J190" s="109"/>
      <c r="K190" s="109"/>
      <c r="L190" s="109"/>
    </row>
    <row r="191" spans="6:12">
      <c r="J191" s="109"/>
      <c r="K191" s="109"/>
      <c r="L191" s="109"/>
    </row>
    <row r="192" spans="6:12">
      <c r="J192" s="109"/>
      <c r="K192" s="109"/>
      <c r="L192" s="109"/>
    </row>
    <row r="193" spans="10:12">
      <c r="J193" s="109"/>
      <c r="K193" s="109"/>
      <c r="L193" s="109"/>
    </row>
    <row r="194" spans="10:12">
      <c r="J194" s="109"/>
      <c r="K194" s="109"/>
      <c r="L194" s="109"/>
    </row>
    <row r="195" spans="10:12">
      <c r="J195" s="109"/>
      <c r="K195" s="109"/>
      <c r="L195" s="109"/>
    </row>
    <row r="196" spans="10:12">
      <c r="J196" s="109"/>
      <c r="K196" s="109"/>
      <c r="L196" s="109"/>
    </row>
    <row r="197" spans="10:12">
      <c r="J197" s="109"/>
      <c r="K197" s="109"/>
      <c r="L197" s="109"/>
    </row>
    <row r="198" spans="10:12">
      <c r="J198" s="109"/>
      <c r="K198" s="109"/>
      <c r="L198" s="109"/>
    </row>
    <row r="199" spans="10:12">
      <c r="J199" s="109"/>
      <c r="K199" s="109"/>
      <c r="L199" s="109"/>
    </row>
    <row r="200" spans="10:12">
      <c r="J200" s="109"/>
      <c r="K200" s="109"/>
      <c r="L200" s="109"/>
    </row>
    <row r="201" spans="10:12">
      <c r="J201" s="109"/>
      <c r="K201" s="109"/>
      <c r="L201" s="109"/>
    </row>
    <row r="202" spans="10:12">
      <c r="J202" s="109"/>
      <c r="K202" s="109"/>
      <c r="L202" s="109"/>
    </row>
    <row r="203" spans="10:12">
      <c r="J203" s="109"/>
      <c r="K203" s="109"/>
      <c r="L203" s="109"/>
    </row>
    <row r="204" spans="10:12">
      <c r="J204" s="109"/>
      <c r="K204" s="109"/>
      <c r="L204" s="109"/>
    </row>
    <row r="205" spans="10:12">
      <c r="J205" s="109"/>
      <c r="K205" s="109"/>
      <c r="L205" s="109"/>
    </row>
    <row r="206" spans="10:12">
      <c r="J206" s="109"/>
      <c r="K206" s="109"/>
      <c r="L206" s="109"/>
    </row>
    <row r="207" spans="10:12">
      <c r="J207" s="109"/>
      <c r="K207" s="109"/>
      <c r="L207" s="109"/>
    </row>
    <row r="208" spans="10:12">
      <c r="J208" s="109"/>
      <c r="K208" s="109"/>
      <c r="L208" s="109"/>
    </row>
    <row r="209" spans="10:12">
      <c r="J209" s="109"/>
      <c r="K209" s="109"/>
      <c r="L209" s="109"/>
    </row>
    <row r="210" spans="10:12">
      <c r="J210" s="109"/>
      <c r="K210" s="109"/>
      <c r="L210" s="109"/>
    </row>
    <row r="211" spans="10:12">
      <c r="J211" s="109"/>
      <c r="K211" s="109"/>
      <c r="L211" s="109"/>
    </row>
    <row r="212" spans="10:12">
      <c r="J212" s="109"/>
      <c r="K212" s="109"/>
      <c r="L212" s="109"/>
    </row>
    <row r="213" spans="10:12">
      <c r="J213" s="109"/>
      <c r="K213" s="109"/>
      <c r="L213" s="109"/>
    </row>
    <row r="214" spans="10:12">
      <c r="J214" s="109"/>
      <c r="K214" s="109"/>
      <c r="L214" s="109"/>
    </row>
    <row r="215" spans="10:12">
      <c r="J215" s="109"/>
      <c r="K215" s="109"/>
      <c r="L215" s="109"/>
    </row>
    <row r="216" spans="10:12">
      <c r="J216" s="109"/>
      <c r="K216" s="109"/>
      <c r="L216" s="109"/>
    </row>
    <row r="217" spans="10:12">
      <c r="J217" s="109"/>
      <c r="K217" s="109"/>
      <c r="L217" s="109"/>
    </row>
    <row r="218" spans="10:12">
      <c r="J218" s="109"/>
      <c r="K218" s="109"/>
      <c r="L218" s="109"/>
    </row>
    <row r="219" spans="10:12">
      <c r="J219" s="109"/>
      <c r="K219" s="109"/>
      <c r="L219" s="109"/>
    </row>
    <row r="220" spans="10:12">
      <c r="J220" s="109"/>
      <c r="K220" s="109"/>
      <c r="L220" s="109"/>
    </row>
    <row r="221" spans="10:12">
      <c r="J221" s="109"/>
      <c r="K221" s="109"/>
      <c r="L221" s="109"/>
    </row>
    <row r="222" spans="10:12">
      <c r="J222" s="109"/>
      <c r="K222" s="109"/>
      <c r="L222" s="109"/>
    </row>
    <row r="223" spans="10:12">
      <c r="J223" s="109"/>
      <c r="K223" s="109"/>
      <c r="L223" s="109"/>
    </row>
    <row r="224" spans="10:12">
      <c r="J224" s="109"/>
      <c r="K224" s="109"/>
      <c r="L224" s="109"/>
    </row>
    <row r="225" spans="10:12">
      <c r="J225" s="109"/>
      <c r="K225" s="109"/>
      <c r="L225" s="109"/>
    </row>
    <row r="226" spans="10:12">
      <c r="J226" s="109"/>
      <c r="K226" s="109"/>
      <c r="L226" s="109"/>
    </row>
    <row r="227" spans="10:12">
      <c r="J227" s="109"/>
      <c r="K227" s="109"/>
      <c r="L227" s="109"/>
    </row>
    <row r="228" spans="10:12">
      <c r="J228" s="109"/>
      <c r="K228" s="109"/>
      <c r="L228" s="109"/>
    </row>
    <row r="229" spans="10:12">
      <c r="J229" s="109"/>
      <c r="K229" s="109"/>
      <c r="L229" s="109"/>
    </row>
    <row r="230" spans="10:12">
      <c r="J230" s="109"/>
      <c r="K230" s="109"/>
      <c r="L230" s="109"/>
    </row>
    <row r="231" spans="10:12">
      <c r="J231" s="109"/>
      <c r="K231" s="109"/>
      <c r="L231" s="109"/>
    </row>
    <row r="232" spans="10:12">
      <c r="J232" s="109"/>
      <c r="K232" s="109"/>
      <c r="L232" s="109"/>
    </row>
    <row r="233" spans="10:12">
      <c r="J233" s="109"/>
      <c r="K233" s="109"/>
      <c r="L233" s="109"/>
    </row>
    <row r="234" spans="10:12">
      <c r="J234" s="109"/>
      <c r="K234" s="109"/>
      <c r="L234" s="109"/>
    </row>
    <row r="235" spans="10:12">
      <c r="J235" s="109"/>
      <c r="K235" s="109"/>
      <c r="L235" s="109"/>
    </row>
    <row r="236" spans="10:12">
      <c r="J236" s="109"/>
      <c r="K236" s="109"/>
      <c r="L236" s="109"/>
    </row>
    <row r="237" spans="10:12">
      <c r="J237" s="109"/>
      <c r="K237" s="109"/>
      <c r="L237" s="109"/>
    </row>
    <row r="238" spans="10:12">
      <c r="J238" s="109"/>
      <c r="K238" s="109"/>
      <c r="L238" s="109"/>
    </row>
    <row r="239" spans="10:12">
      <c r="J239" s="109"/>
      <c r="K239" s="109"/>
      <c r="L239" s="109"/>
    </row>
    <row r="240" spans="10:12">
      <c r="J240" s="109"/>
      <c r="K240" s="109"/>
      <c r="L240" s="109"/>
    </row>
    <row r="241" spans="10:12">
      <c r="J241" s="109"/>
      <c r="K241" s="109"/>
      <c r="L241" s="109"/>
    </row>
    <row r="242" spans="10:12">
      <c r="J242" s="109"/>
      <c r="K242" s="109"/>
      <c r="L242" s="109"/>
    </row>
    <row r="243" spans="10:12">
      <c r="J243" s="109"/>
      <c r="K243" s="109"/>
      <c r="L243" s="109"/>
    </row>
    <row r="244" spans="10:12">
      <c r="J244" s="109"/>
      <c r="K244" s="109"/>
      <c r="L244" s="109"/>
    </row>
    <row r="245" spans="10:12">
      <c r="J245" s="109"/>
      <c r="K245" s="109"/>
      <c r="L245" s="109"/>
    </row>
    <row r="246" spans="10:12">
      <c r="J246" s="109"/>
      <c r="K246" s="109"/>
      <c r="L246" s="109"/>
    </row>
    <row r="247" spans="10:12">
      <c r="J247" s="109"/>
      <c r="K247" s="109"/>
      <c r="L247" s="109"/>
    </row>
    <row r="248" spans="10:12">
      <c r="J248" s="109"/>
      <c r="K248" s="109"/>
      <c r="L248" s="109"/>
    </row>
    <row r="249" spans="10:12">
      <c r="J249" s="109"/>
      <c r="K249" s="109"/>
      <c r="L249" s="109"/>
    </row>
    <row r="250" spans="10:12">
      <c r="J250" s="109"/>
      <c r="K250" s="109"/>
      <c r="L250" s="109"/>
    </row>
    <row r="251" spans="10:12">
      <c r="J251" s="109"/>
      <c r="K251" s="109"/>
      <c r="L251" s="109"/>
    </row>
    <row r="252" spans="10:12">
      <c r="J252" s="109"/>
      <c r="K252" s="109"/>
      <c r="L252" s="109"/>
    </row>
    <row r="253" spans="10:12">
      <c r="J253" s="109"/>
      <c r="K253" s="109"/>
      <c r="L253" s="109"/>
    </row>
    <row r="254" spans="10:12">
      <c r="J254" s="109"/>
      <c r="K254" s="109"/>
      <c r="L254" s="109"/>
    </row>
    <row r="255" spans="10:12">
      <c r="J255" s="109"/>
      <c r="K255" s="109"/>
      <c r="L255" s="109"/>
    </row>
    <row r="256" spans="10:12">
      <c r="J256" s="109"/>
      <c r="K256" s="109"/>
      <c r="L256" s="109"/>
    </row>
    <row r="257" spans="10:12">
      <c r="J257" s="109"/>
      <c r="K257" s="109"/>
      <c r="L257" s="109"/>
    </row>
    <row r="258" spans="10:12">
      <c r="J258" s="109"/>
      <c r="K258" s="109"/>
      <c r="L258" s="109"/>
    </row>
    <row r="259" spans="10:12">
      <c r="J259" s="109"/>
      <c r="K259" s="109"/>
      <c r="L259" s="109"/>
    </row>
    <row r="260" spans="10:12">
      <c r="J260" s="109"/>
      <c r="K260" s="109"/>
      <c r="L260" s="109"/>
    </row>
    <row r="261" spans="10:12">
      <c r="J261" s="109"/>
      <c r="K261" s="109"/>
      <c r="L261" s="109"/>
    </row>
    <row r="262" spans="10:12">
      <c r="J262" s="109"/>
      <c r="K262" s="109"/>
      <c r="L262" s="109"/>
    </row>
    <row r="263" spans="10:12">
      <c r="J263" s="109"/>
      <c r="K263" s="109"/>
      <c r="L263" s="109"/>
    </row>
    <row r="264" spans="10:12">
      <c r="J264" s="109"/>
      <c r="K264" s="109"/>
      <c r="L264" s="109"/>
    </row>
    <row r="265" spans="10:12">
      <c r="J265" s="109"/>
      <c r="K265" s="109"/>
      <c r="L265" s="109"/>
    </row>
    <row r="266" spans="10:12">
      <c r="J266" s="109"/>
      <c r="K266" s="109"/>
      <c r="L266" s="109"/>
    </row>
    <row r="267" spans="10:12">
      <c r="J267" s="109"/>
      <c r="K267" s="109"/>
      <c r="L267" s="109"/>
    </row>
    <row r="268" spans="10:12">
      <c r="J268" s="109"/>
      <c r="K268" s="109"/>
      <c r="L268" s="109"/>
    </row>
    <row r="269" spans="10:12">
      <c r="J269" s="109"/>
      <c r="K269" s="109"/>
      <c r="L269" s="109"/>
    </row>
    <row r="270" spans="10:12">
      <c r="J270" s="109"/>
      <c r="K270" s="109"/>
      <c r="L270" s="109"/>
    </row>
    <row r="271" spans="10:12">
      <c r="J271" s="109"/>
      <c r="K271" s="109"/>
      <c r="L271" s="109"/>
    </row>
    <row r="272" spans="10:12">
      <c r="J272" s="109"/>
      <c r="K272" s="109"/>
      <c r="L272" s="109"/>
    </row>
    <row r="273" spans="10:12">
      <c r="J273" s="109"/>
      <c r="K273" s="109"/>
      <c r="L273" s="109"/>
    </row>
    <row r="274" spans="10:12">
      <c r="J274" s="109"/>
      <c r="K274" s="109"/>
      <c r="L274" s="109"/>
    </row>
    <row r="275" spans="10:12">
      <c r="J275" s="109"/>
      <c r="K275" s="109"/>
      <c r="L275" s="109"/>
    </row>
    <row r="276" spans="10:12">
      <c r="J276" s="109"/>
      <c r="K276" s="109"/>
      <c r="L276" s="109"/>
    </row>
    <row r="277" spans="10:12">
      <c r="J277" s="109"/>
      <c r="K277" s="109"/>
      <c r="L277" s="109"/>
    </row>
    <row r="278" spans="10:12">
      <c r="J278" s="109"/>
      <c r="K278" s="109"/>
      <c r="L278" s="109"/>
    </row>
    <row r="279" spans="10:12">
      <c r="J279" s="109"/>
      <c r="K279" s="109"/>
      <c r="L279" s="109"/>
    </row>
    <row r="280" spans="10:12">
      <c r="J280" s="109"/>
      <c r="K280" s="109"/>
      <c r="L280" s="109"/>
    </row>
    <row r="281" spans="10:12">
      <c r="J281" s="109"/>
      <c r="K281" s="109"/>
      <c r="L281" s="109"/>
    </row>
    <row r="282" spans="10:12">
      <c r="J282" s="109"/>
      <c r="K282" s="109"/>
      <c r="L282" s="109"/>
    </row>
    <row r="283" spans="10:12">
      <c r="J283" s="109"/>
      <c r="K283" s="109"/>
      <c r="L283" s="109"/>
    </row>
    <row r="284" spans="10:12">
      <c r="J284" s="109"/>
      <c r="K284" s="109"/>
      <c r="L284" s="109"/>
    </row>
    <row r="285" spans="10:12">
      <c r="J285" s="109"/>
      <c r="K285" s="109"/>
      <c r="L285" s="109"/>
    </row>
    <row r="286" spans="10:12">
      <c r="J286" s="109"/>
      <c r="K286" s="109"/>
      <c r="L286" s="109"/>
    </row>
    <row r="287" spans="10:12">
      <c r="J287" s="109"/>
      <c r="K287" s="109"/>
      <c r="L287" s="109"/>
    </row>
    <row r="288" spans="10:12">
      <c r="J288" s="109"/>
      <c r="K288" s="109"/>
      <c r="L288" s="109"/>
    </row>
    <row r="289" spans="10:12">
      <c r="J289" s="109"/>
      <c r="K289" s="109"/>
      <c r="L289" s="109"/>
    </row>
    <row r="290" spans="10:12">
      <c r="J290" s="109"/>
      <c r="K290" s="109"/>
      <c r="L290" s="109"/>
    </row>
    <row r="291" spans="10:12">
      <c r="J291" s="109"/>
      <c r="K291" s="109"/>
      <c r="L291" s="109"/>
    </row>
    <row r="292" spans="10:12">
      <c r="J292" s="109"/>
      <c r="K292" s="109"/>
      <c r="L292" s="109"/>
    </row>
    <row r="293" spans="10:12">
      <c r="J293" s="109"/>
      <c r="K293" s="109"/>
      <c r="L293" s="109"/>
    </row>
    <row r="294" spans="10:12">
      <c r="J294" s="109"/>
      <c r="K294" s="109"/>
      <c r="L294" s="109"/>
    </row>
  </sheetData>
  <sheetProtection password="DE55" sheet="1" objects="1" scenarios="1"/>
  <phoneticPr fontId="0" type="noConversion"/>
  <dataValidations count="4">
    <dataValidation type="whole" allowBlank="1" showInputMessage="1" showErrorMessage="1" sqref="H107 H83 H61 H41">
      <formula1>1</formula1>
      <formula2>18</formula2>
    </dataValidation>
    <dataValidation type="list" allowBlank="1" showInputMessage="1" showErrorMessage="1" sqref="H10">
      <formula1>$P$14:$P$25</formula1>
    </dataValidation>
    <dataValidation type="list" allowBlank="1" showInputMessage="1" showErrorMessage="1" sqref="H16 H106 H82 H60 H40">
      <formula1>$T$14:$T$49</formula1>
    </dataValidation>
    <dataValidation type="whole" allowBlank="1" showInputMessage="1" showErrorMessage="1" sqref="H17">
      <formula1>1</formula1>
      <formula2>20</formula2>
    </dataValidation>
  </dataValidations>
  <printOptions gridLines="1"/>
  <pageMargins left="0.75" right="0.75" top="1" bottom="1" header="0.5" footer="0.5"/>
  <pageSetup paperSize="9" scale="50" orientation="portrait" verticalDpi="0" r:id="rId1"/>
  <headerFooter alignWithMargins="0">
    <oddHeader>&amp;L&amp;"Arial,Vet"&amp;F&amp;C&amp;"Arial,Vet"&amp;A&amp;R&amp;"Arial,Vet"&amp;D</oddHeader>
    <oddFooter>&amp;L&amp;"Arial,Vet"VOS/ABB&amp;C&amp;"Arial,Vet"&amp;P&amp;R&amp;"Arial,Vet"Toolbox</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23</vt:i4>
      </vt:variant>
    </vt:vector>
  </HeadingPairs>
  <TitlesOfParts>
    <vt:vector size="35" baseType="lpstr">
      <vt:lpstr>toelichting</vt:lpstr>
      <vt:lpstr>rooster</vt:lpstr>
      <vt:lpstr>wtf op en inzet (1)</vt:lpstr>
      <vt:lpstr>WTF OBP</vt:lpstr>
      <vt:lpstr>wtf op en inzet (2)</vt:lpstr>
      <vt:lpstr>wtf obp en inzet</vt:lpstr>
      <vt:lpstr>wtf dir en inzet</vt:lpstr>
      <vt:lpstr>wtf vrijgesteld pers</vt:lpstr>
      <vt:lpstr>kort-tijdelijk</vt:lpstr>
      <vt:lpstr>OBP</vt:lpstr>
      <vt:lpstr>tab</vt:lpstr>
      <vt:lpstr>Tabellen</vt:lpstr>
      <vt:lpstr>toelichting!_ftn1</vt:lpstr>
      <vt:lpstr>toelichting!_ftnref1</vt:lpstr>
      <vt:lpstr>'kort-tijdelijk'!Afdrukbereik</vt:lpstr>
      <vt:lpstr>OBP!Afdrukbereik</vt:lpstr>
      <vt:lpstr>rooster!Afdrukbereik</vt:lpstr>
      <vt:lpstr>tab!Afdrukbereik</vt:lpstr>
      <vt:lpstr>toelichting!Afdrukbereik</vt:lpstr>
      <vt:lpstr>'wtf dir en inzet'!Afdrukbereik</vt:lpstr>
      <vt:lpstr>'wtf obp en inzet'!Afdrukbereik</vt:lpstr>
      <vt:lpstr>'wtf op en inzet (1)'!Afdrukbereik</vt:lpstr>
      <vt:lpstr>'wtf op en inzet (2)'!Afdrukbereik</vt:lpstr>
      <vt:lpstr>'wtf vrijgesteld pers'!Afdrukbereik</vt:lpstr>
      <vt:lpstr>'wtf dir en inzet'!bapo</vt:lpstr>
      <vt:lpstr>bapo</vt:lpstr>
      <vt:lpstr>groepen</vt:lpstr>
      <vt:lpstr>leeftijdsuren</vt:lpstr>
      <vt:lpstr>maanden</vt:lpstr>
      <vt:lpstr>maxregel</vt:lpstr>
      <vt:lpstr>maxregelOOP</vt:lpstr>
      <vt:lpstr>salarisOOP</vt:lpstr>
      <vt:lpstr>salaristabel</vt:lpstr>
      <vt:lpstr>'wtf dir en inzet'!vakverlofOOP</vt:lpstr>
      <vt:lpstr>vakverlofOOP</vt:lpstr>
    </vt:vector>
  </TitlesOfParts>
  <Company>VOS/ABB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Werktijdfactor PO</dc:title>
  <dc:creator>Keizer</dc:creator>
  <cp:lastModifiedBy>Ronald Bloemers</cp:lastModifiedBy>
  <cp:lastPrinted>2013-06-02T21:33:13Z</cp:lastPrinted>
  <dcterms:created xsi:type="dcterms:W3CDTF">2004-11-20T20:38:24Z</dcterms:created>
  <dcterms:modified xsi:type="dcterms:W3CDTF">2013-06-25T06:54:38Z</dcterms:modified>
</cp:coreProperties>
</file>