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535" tabRatio="746" activeTab="2"/>
  </bookViews>
  <sheets>
    <sheet name="Toelichting" sheetId="1" r:id="rId1"/>
    <sheet name="WAO-WIA" sheetId="2" state="hidden" r:id="rId2"/>
    <sheet name="Werkgeverslasten" sheetId="3" r:id="rId3"/>
    <sheet name="Ouderschapsverlof" sheetId="4" r:id="rId4"/>
    <sheet name="Functiedifferentiatie" sheetId="5" r:id="rId5"/>
    <sheet name="Extra periodieken" sheetId="6" r:id="rId6"/>
    <sheet name="tabellen" sheetId="7" r:id="rId7"/>
  </sheets>
  <definedNames>
    <definedName name="_xlnm.Print_Area" localSheetId="5">'Extra periodieken'!$B$2:$K$54</definedName>
    <definedName name="_xlnm.Print_Area" localSheetId="4">Functiedifferentiatie!$B$2:$K$50</definedName>
    <definedName name="_xlnm.Print_Area" localSheetId="3">Ouderschapsverlof!$B$2:$L$63</definedName>
    <definedName name="_xlnm.Print_Area" localSheetId="6">tabellen!$A$1:$J$79</definedName>
    <definedName name="_xlnm.Print_Area" localSheetId="0">Toelichting!$B$2:$S$173</definedName>
    <definedName name="_xlnm.Print_Area" localSheetId="2">Werkgeverslasten!$B$2:$O$80</definedName>
    <definedName name="bindingstoelage">tabellen!$B$52:$D$55</definedName>
    <definedName name="eindejaarsuitkering_OOP">tabellen!$C$66:$D$68</definedName>
    <definedName name="salaristabellen">tabellen!$A$7:$T$31</definedName>
    <definedName name="uitlooptoeslag">tabellen!$B$48:$C$50</definedName>
  </definedNames>
  <calcPr calcId="145621"/>
</workbook>
</file>

<file path=xl/calcChain.xml><?xml version="1.0" encoding="utf-8"?>
<calcChain xmlns="http://schemas.openxmlformats.org/spreadsheetml/2006/main">
  <c r="J68" i="3" l="1"/>
  <c r="I68" i="3"/>
  <c r="C43" i="7" l="1"/>
  <c r="H38" i="4" l="1"/>
  <c r="F42" i="5"/>
  <c r="F29" i="6"/>
  <c r="C28" i="7" l="1"/>
  <c r="D36" i="7" l="1"/>
  <c r="C36" i="7"/>
  <c r="F18" i="6" l="1"/>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F31" i="5"/>
  <c r="F17" i="5"/>
  <c r="H15" i="4"/>
  <c r="I29" i="3"/>
  <c r="I21" i="3"/>
  <c r="I16" i="3"/>
  <c r="E5" i="2" l="1"/>
  <c r="J4" i="2"/>
  <c r="H11" i="2" s="1"/>
  <c r="E4" i="2"/>
  <c r="J3" i="2"/>
  <c r="J2" i="2"/>
  <c r="G76" i="3"/>
  <c r="G75" i="3"/>
  <c r="G74" i="3"/>
  <c r="G73"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Y43" i="5"/>
  <c r="T43" i="5"/>
  <c r="S43" i="5"/>
  <c r="Q43" i="5"/>
  <c r="P43" i="5"/>
  <c r="Y42" i="5"/>
  <c r="T42" i="5"/>
  <c r="S42" i="5"/>
  <c r="Q42" i="5"/>
  <c r="P42" i="5"/>
  <c r="Y41" i="5"/>
  <c r="T41" i="5"/>
  <c r="S41" i="5"/>
  <c r="Q41" i="5"/>
  <c r="P41" i="5"/>
  <c r="Y40" i="5"/>
  <c r="T40" i="5"/>
  <c r="S40" i="5"/>
  <c r="Q40" i="5"/>
  <c r="P40" i="5"/>
  <c r="Y39" i="5"/>
  <c r="T39" i="5"/>
  <c r="S39" i="5"/>
  <c r="Q39" i="5"/>
  <c r="P39" i="5"/>
  <c r="Y38" i="5"/>
  <c r="T38" i="5"/>
  <c r="S38" i="5"/>
  <c r="Q38" i="5"/>
  <c r="P38" i="5"/>
  <c r="Y37" i="5"/>
  <c r="T37" i="5"/>
  <c r="S37" i="5"/>
  <c r="Q37" i="5"/>
  <c r="P37" i="5"/>
  <c r="Y36" i="5"/>
  <c r="T36" i="5"/>
  <c r="S36" i="5"/>
  <c r="Q36" i="5"/>
  <c r="P36" i="5"/>
  <c r="Y35" i="5"/>
  <c r="T35" i="5"/>
  <c r="S35" i="5"/>
  <c r="Q35" i="5"/>
  <c r="P35" i="5"/>
  <c r="Y34" i="5"/>
  <c r="T34" i="5"/>
  <c r="S34" i="5"/>
  <c r="Q34" i="5"/>
  <c r="P34" i="5"/>
  <c r="Y33" i="5"/>
  <c r="T33" i="5"/>
  <c r="S33" i="5"/>
  <c r="Q33" i="5"/>
  <c r="P33" i="5"/>
  <c r="Y32"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8" i="4"/>
  <c r="H60" i="4" s="1"/>
  <c r="H56" i="4"/>
  <c r="H31" i="4"/>
  <c r="I28" i="4"/>
  <c r="I25" i="4"/>
  <c r="H30" i="4" s="1"/>
  <c r="H25" i="4"/>
  <c r="H27" i="4" s="1"/>
  <c r="H17" i="4"/>
  <c r="F9" i="2"/>
  <c r="I18" i="3"/>
  <c r="I22" i="3" s="1"/>
  <c r="J14" i="3"/>
  <c r="G25" i="3" s="1"/>
  <c r="I25" i="3" s="1"/>
  <c r="J12" i="3"/>
  <c r="G23" i="3" s="1"/>
  <c r="I6" i="3"/>
  <c r="D55" i="7"/>
  <c r="D54" i="7"/>
  <c r="D53" i="7"/>
  <c r="D52" i="7"/>
  <c r="G43" i="7"/>
  <c r="H43" i="7" s="1"/>
  <c r="C46" i="7"/>
  <c r="G42" i="7"/>
  <c r="H42" i="7" s="1"/>
  <c r="G40" i="7"/>
  <c r="H40" i="7" s="1"/>
  <c r="H39" i="7"/>
  <c r="D46" i="7"/>
  <c r="F37" i="7"/>
  <c r="F36" i="7"/>
  <c r="T31" i="7"/>
  <c r="T30" i="7"/>
  <c r="T29" i="7"/>
  <c r="T28" i="7"/>
  <c r="T27" i="7"/>
  <c r="T26" i="7"/>
  <c r="I30" i="5" s="1"/>
  <c r="V17" i="5" s="1"/>
  <c r="T25" i="7"/>
  <c r="I16" i="5" s="1"/>
  <c r="W17" i="5" s="1"/>
  <c r="T24" i="7"/>
  <c r="T23" i="7"/>
  <c r="T22" i="7"/>
  <c r="T21" i="7"/>
  <c r="T20" i="7"/>
  <c r="T19" i="7"/>
  <c r="T18" i="7"/>
  <c r="T17" i="7"/>
  <c r="T16" i="7"/>
  <c r="T15" i="7"/>
  <c r="T14" i="7"/>
  <c r="T13" i="7"/>
  <c r="T12" i="7"/>
  <c r="T11" i="7"/>
  <c r="T10" i="7"/>
  <c r="T9" i="7"/>
  <c r="T8" i="7"/>
  <c r="T7" i="7"/>
  <c r="W21" i="5" l="1"/>
  <c r="W25" i="5"/>
  <c r="W29" i="5"/>
  <c r="W15" i="5"/>
  <c r="V21" i="5"/>
  <c r="V25" i="5"/>
  <c r="V29" i="5"/>
  <c r="V15" i="5"/>
  <c r="W18" i="5"/>
  <c r="W22" i="5"/>
  <c r="W26" i="5"/>
  <c r="W30" i="5"/>
  <c r="V18" i="5"/>
  <c r="V22" i="5"/>
  <c r="V26" i="5"/>
  <c r="V30" i="5"/>
  <c r="W19" i="5"/>
  <c r="W23" i="5"/>
  <c r="W27" i="5"/>
  <c r="W31" i="5"/>
  <c r="V19" i="5"/>
  <c r="V23" i="5"/>
  <c r="V27" i="5"/>
  <c r="V31" i="5"/>
  <c r="W16" i="5"/>
  <c r="W20" i="5"/>
  <c r="W24" i="5"/>
  <c r="W28" i="5"/>
  <c r="V16" i="5"/>
  <c r="V20" i="5"/>
  <c r="Y20" i="5" s="1"/>
  <c r="V24" i="5"/>
  <c r="Y24" i="5" s="1"/>
  <c r="V28" i="5"/>
  <c r="Y28" i="5" s="1"/>
  <c r="F18" i="5"/>
  <c r="F6" i="2"/>
  <c r="F4" i="2"/>
  <c r="F5" i="2"/>
  <c r="E9" i="2"/>
  <c r="M11" i="3"/>
  <c r="Y29" i="5"/>
  <c r="Y19" i="5"/>
  <c r="I17" i="6"/>
  <c r="M15" i="3"/>
  <c r="J15" i="3" s="1"/>
  <c r="E46" i="7"/>
  <c r="Y15" i="5"/>
  <c r="Y16" i="5"/>
  <c r="F20" i="5"/>
  <c r="F41" i="5" s="1"/>
  <c r="F43" i="5" s="1"/>
  <c r="Y17" i="5"/>
  <c r="Y18" i="5"/>
  <c r="Y22" i="5"/>
  <c r="Y23" i="5"/>
  <c r="Y26" i="5"/>
  <c r="Y27" i="5"/>
  <c r="Y30" i="5"/>
  <c r="Y21" i="5"/>
  <c r="Y25" i="5"/>
  <c r="Y31" i="5"/>
  <c r="Y60" i="5"/>
  <c r="Y44" i="5"/>
  <c r="Y45" i="5"/>
  <c r="Y46" i="5"/>
  <c r="Y47" i="5"/>
  <c r="Y48" i="5"/>
  <c r="Y49" i="5"/>
  <c r="Y50" i="5"/>
  <c r="Y51" i="5"/>
  <c r="Y52" i="5"/>
  <c r="Y53" i="5"/>
  <c r="Y54" i="5"/>
  <c r="Y55" i="5"/>
  <c r="Y56" i="5"/>
  <c r="Y57" i="5"/>
  <c r="Y58" i="5"/>
  <c r="Y59" i="5"/>
  <c r="K33" i="4"/>
  <c r="K31" i="4"/>
  <c r="J31" i="4"/>
  <c r="H34" i="4"/>
  <c r="J34" i="4" s="1"/>
  <c r="I27" i="4"/>
  <c r="H33" i="4" s="1"/>
  <c r="M37" i="3"/>
  <c r="I23" i="3"/>
  <c r="I26" i="3" s="1"/>
  <c r="I28" i="3" s="1"/>
  <c r="I30" i="3" s="1"/>
  <c r="L11" i="3"/>
  <c r="J11" i="3"/>
  <c r="E11" i="2" l="1"/>
  <c r="E8" i="2" s="1"/>
  <c r="T18" i="6"/>
  <c r="S35" i="6"/>
  <c r="S31" i="6"/>
  <c r="S27" i="6"/>
  <c r="S23" i="6"/>
  <c r="S19" i="6"/>
  <c r="T35" i="6"/>
  <c r="T31" i="6"/>
  <c r="T27" i="6"/>
  <c r="T23" i="6"/>
  <c r="T19" i="6"/>
  <c r="S36" i="6"/>
  <c r="S32" i="6"/>
  <c r="S28" i="6"/>
  <c r="S24" i="6"/>
  <c r="S20" i="6"/>
  <c r="T36" i="6"/>
  <c r="T32" i="6"/>
  <c r="T28" i="6"/>
  <c r="T24" i="6"/>
  <c r="T20" i="6"/>
  <c r="F31" i="6"/>
  <c r="S17" i="6"/>
  <c r="S33" i="6"/>
  <c r="S29" i="6"/>
  <c r="S25" i="6"/>
  <c r="S21" i="6"/>
  <c r="T17" i="6"/>
  <c r="T33" i="6"/>
  <c r="T29" i="6"/>
  <c r="T25" i="6"/>
  <c r="T21" i="6"/>
  <c r="F28" i="6"/>
  <c r="F30" i="6" s="1"/>
  <c r="S34" i="6"/>
  <c r="S30" i="6"/>
  <c r="S26" i="6"/>
  <c r="S22" i="6"/>
  <c r="S18" i="6"/>
  <c r="T34" i="6"/>
  <c r="T30" i="6"/>
  <c r="T26" i="6"/>
  <c r="T22" i="6"/>
  <c r="Y62" i="5"/>
  <c r="H35" i="4"/>
  <c r="J33" i="4"/>
  <c r="J38" i="3"/>
  <c r="I32" i="3"/>
  <c r="J33" i="3" s="1"/>
  <c r="I38" i="3"/>
  <c r="L37" i="3"/>
  <c r="J7" i="2" l="1"/>
  <c r="G11" i="2" s="1"/>
  <c r="U18" i="6"/>
  <c r="U26" i="6"/>
  <c r="U34" i="6"/>
  <c r="U25" i="6"/>
  <c r="U33" i="6"/>
  <c r="U20" i="6"/>
  <c r="U28" i="6"/>
  <c r="U36" i="6"/>
  <c r="U19" i="6"/>
  <c r="U27" i="6"/>
  <c r="U35" i="6"/>
  <c r="U22" i="6"/>
  <c r="U30" i="6"/>
  <c r="U21" i="6"/>
  <c r="U29" i="6"/>
  <c r="U17" i="6"/>
  <c r="U24" i="6"/>
  <c r="U32" i="6"/>
  <c r="U23" i="6"/>
  <c r="U31" i="6"/>
  <c r="Y63" i="5"/>
  <c r="F45" i="5" s="1"/>
  <c r="F47" i="5"/>
  <c r="J35" i="4"/>
  <c r="J36" i="4"/>
  <c r="J38" i="4" s="1"/>
  <c r="J39" i="4" s="1"/>
  <c r="I34" i="3"/>
  <c r="U38" i="6" l="1"/>
  <c r="J61" i="3"/>
  <c r="J60" i="3"/>
  <c r="J59" i="3"/>
  <c r="J41" i="3"/>
  <c r="J40" i="3"/>
  <c r="J39" i="3"/>
  <c r="I61" i="3"/>
  <c r="I60" i="3"/>
  <c r="I59" i="3"/>
  <c r="I41" i="3"/>
  <c r="I40" i="3"/>
  <c r="I39" i="3"/>
  <c r="I57" i="3"/>
  <c r="J57" i="3"/>
  <c r="F34" i="6" l="1"/>
  <c r="U39" i="6"/>
  <c r="F32" i="6" s="1"/>
  <c r="I62" i="3"/>
  <c r="I64" i="3" s="1"/>
  <c r="M39" i="3"/>
  <c r="L39" i="3"/>
  <c r="M41" i="3"/>
  <c r="L41" i="3"/>
  <c r="J62" i="3"/>
  <c r="J64" i="3" s="1"/>
  <c r="M40" i="3"/>
  <c r="L40" i="3"/>
  <c r="I43" i="3" l="1"/>
  <c r="C15" i="2"/>
  <c r="F76" i="3"/>
  <c r="F75" i="3"/>
  <c r="F74" i="3"/>
  <c r="F73" i="3"/>
  <c r="E2" i="2"/>
  <c r="H12" i="2" s="1"/>
  <c r="J47" i="3"/>
  <c r="J45" i="3"/>
  <c r="J46" i="3"/>
  <c r="J44" i="3"/>
  <c r="I71" i="3"/>
  <c r="I47" i="3"/>
  <c r="I46" i="3"/>
  <c r="I45" i="3"/>
  <c r="I44" i="3"/>
  <c r="J71" i="3"/>
  <c r="G12" i="2" l="1"/>
  <c r="M44" i="3"/>
  <c r="L44" i="3"/>
  <c r="M46" i="3"/>
  <c r="L46" i="3"/>
  <c r="F77" i="3"/>
  <c r="I73" i="3"/>
  <c r="J73" i="3"/>
  <c r="I75" i="3"/>
  <c r="J75" i="3"/>
  <c r="M45" i="3"/>
  <c r="L45" i="3"/>
  <c r="M47" i="3"/>
  <c r="L47" i="3"/>
  <c r="I74" i="3"/>
  <c r="J74" i="3"/>
  <c r="I76" i="3"/>
  <c r="J76" i="3"/>
  <c r="I12" i="2" l="1"/>
  <c r="I77" i="3"/>
  <c r="I66" i="3" s="1"/>
  <c r="J77" i="3"/>
  <c r="J66" i="3" s="1"/>
  <c r="J43" i="3" l="1"/>
  <c r="I49" i="3"/>
  <c r="I51" i="3" s="1"/>
  <c r="L43" i="3" l="1"/>
  <c r="M43" i="3"/>
  <c r="J49" i="3"/>
  <c r="M49" i="3" l="1"/>
  <c r="L49" i="3"/>
</calcChain>
</file>

<file path=xl/comments1.xml><?xml version="1.0" encoding="utf-8"?>
<comments xmlns="http://schemas.openxmlformats.org/spreadsheetml/2006/main">
  <authors>
    <author>Bé Keizer</author>
    <author>Arno Osinga</author>
    <author>Keizer</author>
  </authors>
  <commentList>
    <comment ref="G14" author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3" authorId="1">
      <text>
        <r>
          <rPr>
            <b/>
            <sz val="10"/>
            <color indexed="81"/>
            <rFont val="Arial"/>
            <family val="2"/>
          </rPr>
          <t>De opslag van 0,8% voor levensloop wordt toegevoegd aan de eindejaarsuitkering. Degene die onder het overgangsrecht VPL valt komt op die grond niet in aanmerking voor de opslag van 0,8%. De grens daarvoor ligt bij: geboren voor 1950.</t>
        </r>
        <r>
          <rPr>
            <sz val="9"/>
            <color indexed="81"/>
            <rFont val="Tahoma"/>
            <family val="2"/>
          </rPr>
          <t xml:space="preserve">
</t>
        </r>
      </text>
    </comment>
    <comment ref="F25" authorId="2">
      <text>
        <r>
          <rPr>
            <b/>
            <sz val="10"/>
            <color indexed="81"/>
            <rFont val="Arial"/>
            <family val="2"/>
          </rPr>
          <t>Deze eindejaarsuitkering wordt toegekend aan de schalen 1 t/m 8. Zie tabellen.</t>
        </r>
      </text>
    </comment>
    <comment ref="E34" authorId="2">
      <text>
        <r>
          <rPr>
            <b/>
            <sz val="9"/>
            <color indexed="81"/>
            <rFont val="Tahoma"/>
            <family val="2"/>
          </rPr>
          <t>Het jaarinkomen ABP wordt bepaald op basis van de maand januari van dat jaar.</t>
        </r>
      </text>
    </comment>
    <comment ref="E43" authorId="2">
      <text>
        <r>
          <rPr>
            <sz val="9"/>
            <color indexed="81"/>
            <rFont val="Tahoma"/>
            <family val="2"/>
          </rPr>
          <t xml:space="preserve">
Voor de WAO/WIA geldt een basispremie (4,65%) plus de WGA vast premie. Daaraan is toegevoegd de premie kinderopvang van 0,5%. Er geldt vrijstelling basispremie voor werknemers die op 1 januari 2008 in dienst waren, per 1 januari 2014 nog geen 60,5 jaar waren en nog geen 62 jaar. De WGA-vast premie is gesteld op 0,50% voor kleine werkgevers. Daarnaast geldt voor de grote werkgever een individueel vastgestelde premie die door de Belastingdienst wordt vastgesteld. Voor middelgrote werkgevers wordt het een gewogen gemiddelde van de sectorale en de individuele premie. Die opslag dient u in hetwerkblad tabellen in te voeren (cel C61).
Voor de premieheffing voor oudere werknemers, zie de toelichting.</t>
        </r>
      </text>
    </comment>
    <comment ref="E46" authorId="1">
      <text>
        <r>
          <rPr>
            <b/>
            <sz val="10"/>
            <color indexed="81"/>
            <rFont val="Arial"/>
            <family val="2"/>
          </rPr>
          <t>In het VO is de werkgever eigen risicodrager.  In de tabellen kan een raming in percentage worden opgenomen.</t>
        </r>
      </text>
    </comment>
    <comment ref="E47" authorId="1">
      <text>
        <r>
          <rPr>
            <b/>
            <sz val="10"/>
            <color indexed="81"/>
            <rFont val="Arial"/>
            <family val="2"/>
          </rPr>
          <t>In het VO is de werkgever voor een belangrijk deel eigen risicodrager.  In de tabellen kan een raming in percentage worden opgenomen.</t>
        </r>
      </text>
    </comment>
  </commentList>
</comments>
</file>

<file path=xl/comments2.xml><?xml version="1.0" encoding="utf-8"?>
<comments xmlns="http://schemas.openxmlformats.org/spreadsheetml/2006/main">
  <authors>
    <author>Bé Keizer</author>
    <author>Gebruiker</author>
  </authors>
  <commentList>
    <comment ref="D13" author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text>
        <r>
          <rPr>
            <b/>
            <sz val="8"/>
            <color indexed="81"/>
            <rFont val="Arial"/>
            <family val="2"/>
          </rPr>
          <t>Delen van een maand als hele maand rekenen</t>
        </r>
      </text>
    </comment>
    <comment ref="I43" authorId="0">
      <text>
        <r>
          <rPr>
            <b/>
            <sz val="8"/>
            <color indexed="81"/>
            <rFont val="Arial"/>
            <family val="2"/>
          </rPr>
          <t>Betreft niveau 2012 en geldt voor 26 weken.De korting is niet meer dan het bedrag dat u in 2012 minder krijgt aan belastbaar loon in vergelijking met 2011. De korting bedraagt € 4,18 per opgenomen uur (Belastingen, inkomstenbelasting 2012).</t>
        </r>
      </text>
    </comment>
  </commentList>
</comments>
</file>

<file path=xl/comments3.xml><?xml version="1.0" encoding="utf-8"?>
<comments xmlns="http://schemas.openxmlformats.org/spreadsheetml/2006/main">
  <authors>
    <author>Keizer</author>
  </authors>
  <commentList>
    <comment ref="D9" author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text>
        <r>
          <rPr>
            <b/>
            <sz val="8"/>
            <color indexed="81"/>
            <rFont val="Arial"/>
            <family val="2"/>
          </rPr>
          <t>Omvang personeelsbestand bestuur in aantal fte.</t>
        </r>
      </text>
    </comment>
    <comment ref="F44" authorId="0">
      <text>
        <r>
          <rPr>
            <b/>
            <sz val="8"/>
            <color indexed="81"/>
            <rFont val="Arial"/>
            <family val="2"/>
          </rPr>
          <t>Vaststellen op basis van totaal aantal fte gedeeld door het totaal aantal personeelsleden bij het betreffende bestuur. 
De 75% is een globale landelijke raming.</t>
        </r>
      </text>
    </comment>
    <comment ref="F47" author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Arno Osinga</author>
    <author>Bé Keizer</author>
  </authors>
  <commentList>
    <comment ref="B5" authorId="0">
      <text>
        <r>
          <rPr>
            <b/>
            <sz val="8"/>
            <color indexed="81"/>
            <rFont val="Arial"/>
            <family val="2"/>
          </rPr>
          <t xml:space="preserve">
CAO VO: niveau van 1 okt. 2009  met inkorting lerarenschalen t/m 1 januari 2014, plus min. loon per 1 jan. 2014.</t>
        </r>
      </text>
    </comment>
    <comment ref="A28" authorId="1">
      <text>
        <r>
          <rPr>
            <b/>
            <sz val="8"/>
            <color indexed="81"/>
            <rFont val="Arial"/>
            <family val="2"/>
          </rPr>
          <t xml:space="preserve">Verhoging At1 per 1 jan. 2014 vanwege verhoging min. loon.  </t>
        </r>
      </text>
    </comment>
    <comment ref="B28" authorId="0">
      <text>
        <r>
          <rPr>
            <sz val="9"/>
            <color indexed="81"/>
            <rFont val="Tahoma"/>
            <family val="2"/>
          </rPr>
          <t xml:space="preserve">
Min. loon per 1-1-2014.At-2 wordt (At-1 + 1-0)/2 
(C249+C232)/2</t>
        </r>
      </text>
    </comment>
    <comment ref="A34" authorId="2">
      <text>
        <r>
          <rPr>
            <b/>
            <sz val="8"/>
            <color indexed="81"/>
            <rFont val="Arial"/>
            <family val="2"/>
          </rPr>
          <t xml:space="preserve">
Conform normen per jan. 2014. </t>
        </r>
      </text>
    </comment>
    <comment ref="A36" authorId="2">
      <text>
        <r>
          <rPr>
            <b/>
            <sz val="8"/>
            <color indexed="81"/>
            <rFont val="Arial"/>
            <family val="2"/>
          </rPr>
          <t>Is incl. Anw-compensatie van 0,075% - WG en 0,225% - WN</t>
        </r>
      </text>
    </comment>
    <comment ref="A39" authorId="0">
      <text>
        <r>
          <rPr>
            <sz val="8"/>
            <color indexed="81"/>
            <rFont val="Arial"/>
            <family val="2"/>
          </rPr>
          <t xml:space="preserve">
Voor werknemers van 60,5 jaar per 1 jan. 2014 en ouder geldt premievrijstelling van de WAO/WIA-basispremie. De premie kinderopvang van 0,5% is aan de premie toegevoegd. Zie verder de toelichting.</t>
        </r>
      </text>
    </comment>
    <comment ref="A40" authorId="0">
      <text>
        <r>
          <rPr>
            <sz val="9"/>
            <color indexed="81"/>
            <rFont val="Tahoma"/>
            <family val="2"/>
          </rPr>
          <t xml:space="preserve">
De gedifferentieerde premie WGA gaat op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2">
      <text>
        <r>
          <rPr>
            <b/>
            <sz val="8"/>
            <color indexed="81"/>
            <rFont val="Arial"/>
            <family val="2"/>
          </rPr>
          <t>De pseudo-WW premie is per 1 januari 2009 afgeschaft. De compensatie ervoor is geregeld en komt overeen met een opslag van 1,97% op het norm maandloon.
Nu de compensatie verwerkt is (juni 2009) is het percentage op 0,0% gesteld.</t>
        </r>
        <r>
          <rPr>
            <sz val="9"/>
            <color indexed="81"/>
            <rFont val="Tahoma"/>
            <family val="2"/>
          </rPr>
          <t xml:space="preserve">
</t>
        </r>
      </text>
    </comment>
    <comment ref="A43" authorId="2">
      <text>
        <r>
          <rPr>
            <sz val="9"/>
            <color indexed="81"/>
            <rFont val="Tahoma"/>
            <family val="2"/>
          </rPr>
          <t xml:space="preserve">
Betreft: Uitvoering Fonds Overheid. Is exclusief premie kinderopvang van 0,50% die nu bij de basispremie WAO is opgenomen (Regeling vaststelling premiepercentages werknemersverzekeringen, volksverzekeringen en opslag kinderopvang 2014, art. 4 en 10).</t>
        </r>
      </text>
    </comment>
    <comment ref="A44" authorId="0">
      <text>
        <r>
          <rPr>
            <b/>
            <sz val="8"/>
            <color indexed="81"/>
            <rFont val="Arial"/>
            <family val="2"/>
          </rPr>
          <t>Dit kan bijv. de premie van het Risicofonds zijn.</t>
        </r>
      </text>
    </comment>
    <comment ref="A45" authorId="1">
      <text>
        <r>
          <rPr>
            <b/>
            <sz val="8"/>
            <color indexed="81"/>
            <rFont val="Arial"/>
            <family val="2"/>
          </rPr>
          <t>In het VO is de werkgever voor een belangrijk deel eigen risicodrager.  Op basis van de gegevens van 2011 kan hier een percentage geraamd worden voor de kosten collectief en prive. Voor de kosten collectief geldt een vermindering van 0,903% op de lumpsum van 2011.</t>
        </r>
      </text>
    </comment>
    <comment ref="C52" authorId="1">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9" authorId="1">
      <text>
        <r>
          <rPr>
            <b/>
            <sz val="8"/>
            <color indexed="81"/>
            <rFont val="Arial"/>
            <family val="2"/>
          </rPr>
          <t>De 0,8% wordt in het VO toegevoegd aan de eindejaarsuitkering wanneer uitbetaling plaatsvindt.</t>
        </r>
        <r>
          <rPr>
            <sz val="9"/>
            <color indexed="81"/>
            <rFont val="Tahoma"/>
            <family val="2"/>
          </rPr>
          <t xml:space="preserve">
</t>
        </r>
      </text>
    </comment>
    <comment ref="A61" author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<sst xmlns="http://schemas.openxmlformats.org/spreadsheetml/2006/main" count="466" uniqueCount="344">
  <si>
    <t>kalenderjaar</t>
  </si>
  <si>
    <t>na 1 januari</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</si>
  <si>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</si>
  <si>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</si>
  <si>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</si>
  <si>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</si>
  <si>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</si>
  <si>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</si>
  <si>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</si>
  <si>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</si>
  <si>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</si>
  <si>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</si>
  <si>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</si>
  <si>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</si>
  <si>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</si>
  <si>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</si>
  <si>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</si>
  <si>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</si>
  <si>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</si>
  <si>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</si>
  <si>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</si>
  <si>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</si>
  <si>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</si>
  <si>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</si>
  <si>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</si>
  <si>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</si>
  <si>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</si>
  <si>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</si>
  <si>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</si>
  <si>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</si>
  <si>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</si>
  <si>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</si>
  <si>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</si>
  <si>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</si>
  <si>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</si>
  <si>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</si>
  <si>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</si>
  <si>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Inzet 0,8% levensloop</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</si>
  <si>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</si>
  <si>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</si>
  <si>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</si>
  <si>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</si>
  <si>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</si>
  <si>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</si>
  <si>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</si>
  <si>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</si>
  <si>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</si>
  <si>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</si>
  <si>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</si>
  <si>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</si>
  <si>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</si>
  <si>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</si>
  <si>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</si>
  <si>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</si>
  <si>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</si>
  <si>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</si>
  <si>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</si>
  <si>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</si>
  <si>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</si>
  <si>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</si>
  <si>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</si>
  <si>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</si>
  <si>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</si>
  <si>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</si>
  <si>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</si>
  <si>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</si>
  <si>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</si>
  <si>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Debrutering</t>
  </si>
  <si>
    <t>Maximumdebrutering:</t>
  </si>
  <si>
    <t>Jaarinkomen ABP</t>
  </si>
  <si>
    <t>Berekening Werkgeverslasten</t>
  </si>
  <si>
    <t>per maand</t>
  </si>
  <si>
    <t>per jaar</t>
  </si>
  <si>
    <t>% jaarinkomen</t>
  </si>
  <si>
    <t>% normsalaris</t>
  </si>
  <si>
    <t>a</t>
  </si>
  <si>
    <t>Jaarinkomen</t>
  </si>
  <si>
    <t>b</t>
  </si>
  <si>
    <t>c</t>
  </si>
  <si>
    <t>AAOP</t>
  </si>
  <si>
    <t>d</t>
  </si>
  <si>
    <t>FPU</t>
  </si>
  <si>
    <t>VUT/FPU basis</t>
  </si>
  <si>
    <t>Vrijstelling WAO/WIA-basispremie in 2008?:</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</si>
  <si>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</si>
  <si>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</si>
  <si>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</si>
  <si>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</si>
  <si>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</si>
  <si>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</si>
  <si>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</si>
  <si>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</si>
  <si>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</si>
  <si>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</si>
  <si>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</si>
  <si>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</si>
  <si>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</si>
  <si>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</si>
  <si>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</si>
  <si>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</si>
  <si>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</si>
  <si>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</si>
  <si>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</si>
  <si>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</si>
  <si>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</si>
  <si>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</si>
  <si>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</si>
  <si>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</si>
  <si>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</si>
  <si>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bijdrage-inkomen</t>
  </si>
  <si>
    <t>max grondslag WAO/WIA (AOF)</t>
  </si>
  <si>
    <t>geboortedatum</t>
  </si>
  <si>
    <t>WAO-premievrijstelling in 2008?</t>
  </si>
  <si>
    <t>Premievrijstelling basis WAO/WIA</t>
  </si>
  <si>
    <t>ouder dan 62 jaar:</t>
  </si>
  <si>
    <t>Relevante tijdstippen</t>
  </si>
  <si>
    <t>Toelichting</t>
  </si>
  <si>
    <t>De werkbladen zijn beveiligd met het wachtwoord:</t>
  </si>
  <si>
    <t>vosabb</t>
  </si>
  <si>
    <t>versie</t>
  </si>
  <si>
    <t>Alleen de witte velden kunnen daardoor worden gewijzigd, en bevatten de op te geven variabelen voor de berekeningen.</t>
  </si>
  <si>
    <t xml:space="preserve">De gegevens omtrent de grondslag van uitkeringen e.d. zijn ontleend aan de Internetpublicaties van de </t>
  </si>
  <si>
    <t>Belastingdienst, ABP, UWV en OCW.</t>
  </si>
  <si>
    <t xml:space="preserve">De pseudo-WW premie is afgeschaft nadat de WW-premie als zodanig was afgeschaft per 1-1-2009. </t>
  </si>
  <si>
    <t>In verband met deze afschaffing is compensatie verstrekt in de bekostiging door een ophoging van de GPL.</t>
  </si>
  <si>
    <t xml:space="preserve">In 2008 had u recht op premievrijstelling van de basispremie Wao/Wia voor oudere werknemers die op 1 januari 2008 </t>
  </si>
  <si>
    <t>bij u in dienst waren, op die datum 54,5 jaar of ouder waren.</t>
  </si>
  <si>
    <t xml:space="preserve">In feite vindt een geleidelijke afbouw plaats en betekent het op termijn dat de regeling voor de werknemers </t>
  </si>
  <si>
    <t>vanaf 54,5 jaar per 1 januari 2008 geleidelijk verdwijnt door telkens ophoging met één jaar.</t>
  </si>
  <si>
    <t>In het Lenteakkoord is opgenomen dat de korting voor degenen die 62 jaar of ouder zijn per 1 jan. 2013 is afgeschaft.</t>
  </si>
  <si>
    <t>1.</t>
  </si>
  <si>
    <t>Werkbladen</t>
  </si>
  <si>
    <t>Werkblad Werkgeverslasten</t>
  </si>
  <si>
    <t xml:space="preserve">Dit programmaonderdeel heeft niet de pretentie een juiste salarisberekening te maken! Zo wordt de vakantieuitkering en de </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</si>
  <si>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</si>
  <si>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</si>
  <si>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</si>
  <si>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</si>
  <si>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</si>
  <si>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</si>
  <si>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</si>
  <si>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</si>
  <si>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</si>
  <si>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</si>
  <si>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</si>
  <si>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</si>
  <si>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</si>
  <si>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</si>
  <si>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</si>
  <si>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</si>
  <si>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</si>
  <si>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</si>
  <si>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</si>
  <si>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</si>
  <si>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</si>
  <si>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</si>
  <si>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</si>
  <si>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Deze toeslag wordt toegekend op basis van CAO artikel 3.5.</t>
  </si>
  <si>
    <t>Uitlooptoeslag OP</t>
  </si>
  <si>
    <t>Deze toeslag wordt toegekend op basis van CAO artikel 24.2.</t>
  </si>
  <si>
    <t>Overige toelagen</t>
  </si>
  <si>
    <t>Deze zijn nader aangegeven en voor zover nodig nader toegelicht.</t>
  </si>
  <si>
    <t>Overige loonkosten</t>
  </si>
  <si>
    <t xml:space="preserve">In individuele gevallen zal er nog sprake zijn van loonkosten die hier niet zijn opgenomen. Bijvoorbeeld een jubileumuitkering, </t>
  </si>
  <si>
    <t>reiskosten of spaarloon. Dergelijke componenten zijn in dit model niet verwerkt.</t>
  </si>
  <si>
    <t>2.</t>
  </si>
  <si>
    <t>Werkblad Ouderschapsverlof</t>
  </si>
  <si>
    <t xml:space="preserve">In dit werkblad worden de kosten en baten berekend van het betaalde ouderschapsverlof. De opgave van de gegevens van de </t>
  </si>
  <si>
    <t>betreffende werknemer laat enerzijds de salariskosten zien die de werkgever moet betalen uit eigen middelen, anderzijds worden</t>
  </si>
  <si>
    <t>ook de fiscale voordelen voor de werknemer aangegeven.</t>
  </si>
  <si>
    <t xml:space="preserve">De betaling aan de verlofganger is veranderd per 1 januari 2007 in 55%. Die heeft een belastingvoordeel waarvoor vanaf 1 jan. 2009 </t>
  </si>
  <si>
    <t>deelname aan de levensloopregeling niet langer verplicht is.</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</si>
  <si>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</si>
  <si>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</si>
  <si>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</si>
  <si>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</si>
  <si>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</si>
  <si>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</si>
  <si>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</si>
  <si>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</si>
  <si>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</si>
  <si>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</si>
  <si>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</si>
  <si>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cf. art. 12.3 van de CAO.</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</si>
  <si>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</si>
  <si>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</si>
  <si>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</si>
  <si>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</si>
  <si>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</si>
  <si>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</si>
  <si>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</si>
  <si>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</si>
  <si>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</si>
  <si>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</si>
  <si>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</si>
  <si>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</si>
  <si>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</si>
  <si>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</si>
  <si>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</si>
  <si>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</si>
  <si>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</si>
  <si>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</si>
  <si>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</si>
  <si>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</si>
  <si>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</si>
  <si>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</si>
  <si>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</si>
  <si>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</si>
  <si>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</si>
  <si>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</si>
  <si>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</si>
  <si>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Er is nog een verborgen werkblad in verband met de complexe berekening van de WAO-WIA voor oudere werknemers.</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</si>
  <si>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</si>
  <si>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</si>
  <si>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</si>
  <si>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</si>
  <si>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</si>
  <si>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</si>
  <si>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</si>
  <si>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</si>
  <si>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</si>
  <si>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</si>
  <si>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</si>
  <si>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</si>
  <si>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</si>
  <si>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</si>
  <si>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</si>
  <si>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</si>
  <si>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</si>
  <si>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</si>
  <si>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</si>
  <si>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</si>
  <si>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</si>
  <si>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</si>
  <si>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</si>
  <si>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</si>
  <si>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Belastingvoordeel werknemer: Wie (on)betaald ouderschapsverlof opneemt, krijgt een fiscaal voordeel van</t>
  </si>
  <si>
    <t xml:space="preserve">per opgenomen </t>
  </si>
  <si>
    <t xml:space="preserve">verlofuur. </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</si>
  <si>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</si>
  <si>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</si>
  <si>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</si>
  <si>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</si>
  <si>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</si>
  <si>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</si>
  <si>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</si>
  <si>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</si>
  <si>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</si>
  <si>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</si>
  <si>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</si>
  <si>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</si>
  <si>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</si>
  <si>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</si>
  <si>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</si>
  <si>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</si>
  <si>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</si>
  <si>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</si>
  <si>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</si>
  <si>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Functiedifferentiatie of pro- of demotie: vanaf 1 januari 2013</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</si>
  <si>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</si>
  <si>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</si>
  <si>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</si>
  <si>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</si>
  <si>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</si>
  <si>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</si>
  <si>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</si>
  <si>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</si>
  <si>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Leeftijd per 1 augustus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</si>
  <si>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</si>
  <si>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</si>
  <si>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</si>
  <si>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</si>
  <si>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</si>
  <si>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</si>
  <si>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</si>
  <si>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</si>
  <si>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</si>
  <si>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</si>
  <si>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</si>
  <si>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</si>
  <si>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</si>
  <si>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</si>
  <si>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</si>
  <si>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</si>
  <si>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</si>
  <si>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</si>
  <si>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</si>
  <si>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</si>
  <si>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</si>
  <si>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</si>
  <si>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</si>
  <si>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</si>
  <si>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</si>
  <si>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</si>
  <si>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</si>
  <si>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</si>
  <si>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</si>
  <si>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</si>
  <si>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</si>
  <si>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</si>
  <si>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2013/2014</t>
  </si>
  <si>
    <t>De laatste gegevens zijn ontleend aan de CAO VO 2011-2012 zoals geldend per 1 jan. 2014.</t>
  </si>
  <si>
    <r>
      <t xml:space="preserve">De algemene premies zijn van toepassing vanaf </t>
    </r>
    <r>
      <rPr>
        <b/>
        <i/>
        <sz val="10"/>
        <rFont val="Arial"/>
        <family val="2"/>
      </rPr>
      <t>1 januari 2014</t>
    </r>
    <r>
      <rPr>
        <sz val="10"/>
        <rFont val="Arial"/>
        <family val="2"/>
      </rPr>
      <t xml:space="preserve">. </t>
    </r>
  </si>
  <si>
    <r>
      <t xml:space="preserve">De premies van het ABP zijn bijgesteld m.i.v. </t>
    </r>
    <r>
      <rPr>
        <b/>
        <i/>
        <sz val="10"/>
        <rFont val="Arial"/>
        <family val="2"/>
      </rPr>
      <t>1 jan. 2014.</t>
    </r>
  </si>
  <si>
    <t>De verschuiving van de WG- en WN-premies ABP brengen de werkgeverslasten al gauw één procentpunt omhoog.</t>
  </si>
  <si>
    <t>Vanaf 1 jan. 2014 geldt het alleen nog voor degenen die 60,5 jaar zijn, totdat de leeftijd van 62 jaar is bereikt.</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</si>
  <si>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</si>
  <si>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</si>
  <si>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</si>
  <si>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</si>
  <si>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&gt;60,5</t>
  </si>
  <si>
    <t>WAO/WIA-basispremie (AOF, incl. KO)</t>
  </si>
  <si>
    <t>WGA-vast</t>
  </si>
  <si>
    <t>WG-premie WGA-vast</t>
  </si>
  <si>
    <t>leeftijd 60,5 jaar of ouder</t>
  </si>
  <si>
    <t>WGA vast</t>
  </si>
  <si>
    <t>Belastingen 2014</t>
  </si>
  <si>
    <t>Tarieven, bedragen en percentages vanaf 1 januari 2014</t>
  </si>
  <si>
    <t>NB: Uitsluitend gebruik gemaakt van onderstaande tabellen</t>
  </si>
  <si>
    <t>Heffingskortingen</t>
  </si>
  <si>
    <t>algemene heffingskorting</t>
  </si>
  <si>
    <t xml:space="preserve">per werkgever verschillend, </t>
  </si>
  <si>
    <t>afhankelijk van grootte</t>
  </si>
  <si>
    <t>WG-premie WAO/WIA (incl. premie KO)</t>
  </si>
  <si>
    <t xml:space="preserve">vanaf 60,5 jaar per 1 januari 2014, stopt zodra de betrokkene 62 jaar geworden is. De hele overgangsregeling stopt dus zodra </t>
  </si>
  <si>
    <t>de datum van 1 juli 2015 is bereikt.</t>
  </si>
  <si>
    <t>Premies</t>
  </si>
  <si>
    <t xml:space="preserve">Voor 2014 is sprake van enkele wijzigingen in de premievaststelling. Het deel voor de kinderopvang dat bij de UFO was ondergebracht,  </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</si>
  <si>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</si>
  <si>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</si>
  <si>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</si>
  <si>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 xml:space="preserve">in de werkorganisatie. Per 1 januari 2014 moet nu ook een gedifferentieerde premie betaald worden voor flexwerkers. Omdat verwerking </t>
  </si>
  <si>
    <t>daarvan te complex wordt voor dit instrument laten we deze premiebetaling buiten beschouwing.</t>
  </si>
  <si>
    <t xml:space="preserve">De gedifferentieerde premie WGA wordt nu de gedifferentieerde premie Werkhervattingskas waarbij de premie voor de vaste dienstbetrekkingen </t>
  </si>
  <si>
    <t>aangeduid wordt als het premiedeel WGA vaste dienstbetrekkingen (WGA-vast). Daarnaast zijn er premies voor de flexibele dienstbetrekkingen.</t>
  </si>
  <si>
    <t>Premie WGA-vast</t>
  </si>
  <si>
    <t xml:space="preserve">Voor het vaststellen van het percentage is van belang of er sprake is van een grote, een middelgrote of kleine werkgever. Voor kleine werkgevers </t>
  </si>
  <si>
    <t xml:space="preserve">is de gedifferentieerde premies per sector vastgesteld. Voor grote werkgevers gebeurt dat individueel. Voor middelgrote werkgevers wordt </t>
  </si>
  <si>
    <t>de premie vastgesteld als een gewogen gemiddelde van de sectorale en de individuele premie.</t>
  </si>
  <si>
    <t>Het door de Belastingdienst opgegeven percentage WGA-vast dient u op te geven in het werkblad tabellen.</t>
  </si>
  <si>
    <t>raming werkgeverslasten</t>
  </si>
  <si>
    <t>Het jaarinkomen ABP wordt bepaald op basis van de situatie in januari van het betreffende jaar.</t>
  </si>
  <si>
    <t>Dit werkblad bevat relevante tabellen, conform de gegevens zoals die per 1 januari 2014 gelden.</t>
  </si>
  <si>
    <t>Daarbij is de CAO gevolgd incl. de inkorting van de schalen voor leraren per 1 januari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</si>
</sst>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quot;€&quot;\ * #,##0_ ;_ &quot;€&quot;\ * \-#,##0_ ;_ &quot;€&quot;\ * &quot;-&quot;_ ;_ @_ "/>
    <numFmt numFmtId="44" formatCode="_ &quot;€&quot;\ * #,##0.00_ ;_ &quot;€&quot;\ * \-#,##0.00_ ;_ &quot;€&quot;\ * &quot;-&quot;??_ ;_ @_ "/>
    <numFmt numFmtId="43" formatCode="_ * #,##0.00_ ;_ * \-#,##0.00_ ;_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_ * #,##0.0000_ ;_ * \-#,##0.0000_ ;_ * &quot;-&quot;??_ ;_ @_ "/>
    <numFmt numFmtId="173" formatCode="_-* #,##0.00_-;_-* #,##0.00\-;_-* &quot;-&quot;??_-;_-@_-"/>
    <numFmt numFmtId="174" formatCode="[$-413]mmm/yy;@"/>
    <numFmt numFmtId="175" formatCode="#,##0_-"/>
    <numFmt numFmtId="176" formatCode="0.0%"/>
    <numFmt numFmtId="177" formatCode="&quot;€&quot;\ #,##0.00_);[Red]\(&quot;€&quot;\ #,##0.00\)"/>
    <numFmt numFmtId="178" formatCode="#,##0.0000_ ;\-#,##0.0000\ "/>
    <numFmt numFmtId="179" formatCode="_(&quot;€&quot;\ * #,##0_);_(&quot;€&quot;\ * \(#,##0\);_(&quot;€&quot;\ * &quot;-&quot;_);_(@_)"/>
    <numFmt numFmtId="180" formatCode="[$-413]d\ mmmm\ yyyy;@"/>
  </numFmts>
  <fonts count="50"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rgb="FFFFC000"/>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sz val="11"/>
      <color indexed="8"/>
      <name val="Arial"/>
      <family val="2"/>
    </font>
    <font>
      <i/>
      <u/>
      <sz val="11"/>
      <color indexed="8"/>
      <name val="Arial"/>
      <family val="2"/>
    </font>
    <font>
      <sz val="11"/>
      <name val="Arial"/>
      <family val="2"/>
    </font>
    <font>
      <i/>
      <sz val="11"/>
      <color indexed="8"/>
      <name val="Arial"/>
      <family val="2"/>
    </font>
    <font>
      <b/>
      <i/>
      <sz val="10"/>
      <color indexed="10"/>
      <name val="Arial"/>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11"/>
      <color theme="0" tint="-0.249977111117893"/>
      <name val="Arial"/>
      <family val="2"/>
    </font>
    <font>
      <sz val="8"/>
      <color indexed="81"/>
      <name val="Arial"/>
      <family val="2"/>
    </font>
    <font>
      <b/>
      <sz val="10"/>
      <name val="Calibri"/>
      <family val="2"/>
    </font>
    <font>
      <sz val="11"/>
      <color theme="0" tint="-0.499984740745262"/>
      <name val="Arial"/>
      <family val="2"/>
    </font>
    <font>
      <b/>
      <i/>
      <sz val="10"/>
      <name val="Calibri"/>
      <family val="2"/>
      <scheme val="minor"/>
    </font>
    <font>
      <sz val="10"/>
      <name val="Calibri"/>
      <family val="2"/>
      <scheme val="minor"/>
    </font>
    <font>
      <i/>
      <sz val="10"/>
      <name val="Calibri"/>
      <family val="2"/>
    </font>
    <font>
      <b/>
      <i/>
      <sz val="10"/>
      <name val="Calibri"/>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indexed="11"/>
        <bgColor indexed="64"/>
      </patternFill>
    </fill>
    <fill>
      <patternFill patternType="solid">
        <fgColor indexed="55"/>
        <bgColor indexed="64"/>
      </patternFill>
    </fill>
    <fill>
      <patternFill patternType="solid">
        <fgColor rgb="FFFFFF99"/>
        <bgColor indexed="64"/>
      </patternFill>
    </fill>
    <fill>
      <patternFill patternType="solid">
        <fgColor rgb="FFFFCC99"/>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47"/>
      </left>
      <right style="thin">
        <color indexed="47"/>
      </right>
      <top style="thin">
        <color indexed="47"/>
      </top>
      <bottom style="thin">
        <color indexed="47"/>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45">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lignment horizontal="left"/>
    </xf>
    <xf numFmtId="1" fontId="0" fillId="0" borderId="0" xfId="0" applyNumberFormat="1" applyFill="1" applyAlignment="1" applyProtection="1">
      <alignment horizontal="left"/>
    </xf>
    <xf numFmtId="165" fontId="2" fillId="2" borderId="0" xfId="0" applyNumberFormat="1" applyFont="1" applyFill="1" applyBorder="1" applyAlignment="1" applyProtection="1">
      <alignment horizontal="left"/>
      <protection locked="0"/>
    </xf>
    <xf numFmtId="3" fontId="2" fillId="2" borderId="0" xfId="0" applyNumberFormat="1" applyFont="1" applyFill="1" applyBorder="1" applyAlignment="1" applyProtection="1">
      <alignment horizontal="left"/>
      <protection locked="0"/>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10" fillId="4" borderId="0" xfId="0" applyNumberFormat="1" applyFont="1" applyFill="1" applyBorder="1" applyProtection="1"/>
    <xf numFmtId="14" fontId="2" fillId="4" borderId="0" xfId="0" applyNumberFormat="1" applyFont="1" applyFill="1" applyBorder="1" applyProtection="1"/>
    <xf numFmtId="0" fontId="2" fillId="5" borderId="6" xfId="0" applyFont="1" applyFill="1" applyBorder="1" applyProtection="1"/>
    <xf numFmtId="0" fontId="9" fillId="5" borderId="6" xfId="0" applyFont="1" applyFill="1" applyBorder="1" applyProtection="1"/>
    <xf numFmtId="0" fontId="2" fillId="5" borderId="6" xfId="0" applyFont="1" applyFill="1" applyBorder="1" applyAlignment="1" applyProtection="1">
      <alignment horizontal="left"/>
    </xf>
    <xf numFmtId="0" fontId="2" fillId="5" borderId="6" xfId="0" applyFont="1" applyFill="1" applyBorder="1" applyAlignment="1" applyProtection="1">
      <alignment horizontal="center"/>
    </xf>
    <xf numFmtId="0" fontId="3" fillId="5" borderId="6" xfId="0" applyFont="1" applyFill="1" applyBorder="1" applyProtection="1"/>
    <xf numFmtId="0" fontId="3" fillId="4" borderId="4" xfId="0" applyFont="1" applyFill="1" applyBorder="1" applyProtection="1"/>
    <xf numFmtId="0" fontId="3" fillId="5" borderId="6" xfId="0" applyFont="1" applyFill="1" applyBorder="1" applyAlignment="1" applyProtection="1">
      <alignment horizontal="right"/>
    </xf>
    <xf numFmtId="14" fontId="2" fillId="4" borderId="6" xfId="0" applyNumberFormat="1" applyFont="1" applyFill="1" applyBorder="1" applyAlignment="1" applyProtection="1">
      <alignment horizontal="center"/>
      <protection locked="0"/>
    </xf>
    <xf numFmtId="1" fontId="11" fillId="5" borderId="6" xfId="0" applyNumberFormat="1" applyFont="1" applyFill="1" applyBorder="1" applyAlignment="1" applyProtection="1">
      <alignment horizontal="center"/>
    </xf>
    <xf numFmtId="0" fontId="12" fillId="5" borderId="6" xfId="0" applyFont="1" applyFill="1" applyBorder="1" applyAlignment="1" applyProtection="1">
      <alignment horizontal="right"/>
    </xf>
    <xf numFmtId="1" fontId="12" fillId="5" borderId="6" xfId="0" applyNumberFormat="1" applyFont="1" applyFill="1" applyBorder="1" applyProtection="1"/>
    <xf numFmtId="0" fontId="12" fillId="5" borderId="6" xfId="0" applyFont="1" applyFill="1" applyBorder="1" applyAlignment="1" applyProtection="1">
      <alignment horizontal="center"/>
    </xf>
    <xf numFmtId="0" fontId="12" fillId="5" borderId="6" xfId="0" applyFont="1" applyFill="1" applyBorder="1" applyProtection="1"/>
    <xf numFmtId="0" fontId="13" fillId="5" borderId="6" xfId="0" applyFont="1" applyFill="1" applyBorder="1" applyProtection="1"/>
    <xf numFmtId="167" fontId="14" fillId="5" borderId="6" xfId="0" applyNumberFormat="1" applyFont="1" applyFill="1" applyBorder="1" applyAlignment="1" applyProtection="1">
      <alignment horizontal="center"/>
    </xf>
    <xf numFmtId="0" fontId="2" fillId="4" borderId="6" xfId="0" applyFont="1" applyFill="1" applyBorder="1" applyAlignment="1" applyProtection="1">
      <alignment horizontal="center"/>
      <protection locked="0"/>
    </xf>
    <xf numFmtId="0" fontId="15" fillId="5" borderId="6" xfId="0" applyFont="1" applyFill="1" applyBorder="1" applyAlignment="1" applyProtection="1">
      <alignment horizontal="center"/>
    </xf>
    <xf numFmtId="0" fontId="16" fillId="5" borderId="6" xfId="0" applyFont="1" applyFill="1" applyBorder="1" applyProtection="1"/>
    <xf numFmtId="0" fontId="16" fillId="5" borderId="6" xfId="0" applyFont="1" applyFill="1" applyBorder="1" applyAlignment="1" applyProtection="1">
      <alignment horizontal="left"/>
    </xf>
    <xf numFmtId="0" fontId="17" fillId="3" borderId="0" xfId="0" applyFont="1" applyFill="1" applyBorder="1" applyProtection="1"/>
    <xf numFmtId="167" fontId="2" fillId="6" borderId="6" xfId="0" applyNumberFormat="1" applyFont="1" applyFill="1" applyBorder="1" applyProtection="1"/>
    <xf numFmtId="168" fontId="2" fillId="4" borderId="6" xfId="0" applyNumberFormat="1" applyFont="1" applyFill="1" applyBorder="1" applyProtection="1">
      <protection locked="0"/>
    </xf>
    <xf numFmtId="4" fontId="2" fillId="5" borderId="6" xfId="0" applyNumberFormat="1" applyFont="1" applyFill="1" applyBorder="1" applyProtection="1"/>
    <xf numFmtId="0" fontId="2" fillId="4" borderId="6" xfId="0" applyFont="1" applyFill="1" applyBorder="1" applyAlignment="1" applyProtection="1">
      <alignment horizontal="left"/>
      <protection locked="0"/>
    </xf>
    <xf numFmtId="167" fontId="2" fillId="2" borderId="6" xfId="0" applyNumberFormat="1" applyFont="1" applyFill="1" applyBorder="1" applyProtection="1"/>
    <xf numFmtId="9" fontId="18" fillId="5" borderId="6" xfId="0" applyNumberFormat="1" applyFont="1" applyFill="1" applyBorder="1" applyAlignment="1" applyProtection="1">
      <alignment horizontal="center"/>
    </xf>
    <xf numFmtId="9" fontId="2" fillId="5" borderId="6" xfId="0" applyNumberFormat="1" applyFont="1" applyFill="1" applyBorder="1" applyAlignment="1" applyProtection="1">
      <alignment horizontal="center"/>
    </xf>
    <xf numFmtId="10" fontId="18" fillId="5" borderId="6" xfId="0" applyNumberFormat="1" applyFont="1" applyFill="1" applyBorder="1" applyAlignment="1" applyProtection="1">
      <alignment horizontal="center"/>
    </xf>
    <xf numFmtId="10" fontId="2" fillId="5" borderId="6" xfId="0" applyNumberFormat="1" applyFont="1" applyFill="1" applyBorder="1" applyAlignment="1" applyProtection="1">
      <alignment horizontal="center"/>
    </xf>
    <xf numFmtId="0" fontId="2" fillId="5" borderId="6" xfId="0" applyFont="1" applyFill="1" applyBorder="1" applyAlignment="1" applyProtection="1">
      <alignment horizontal="right"/>
    </xf>
    <xf numFmtId="1" fontId="18" fillId="5" borderId="6" xfId="0" applyNumberFormat="1" applyFont="1" applyFill="1" applyBorder="1" applyAlignment="1" applyProtection="1">
      <alignment horizontal="center"/>
    </xf>
    <xf numFmtId="0" fontId="3" fillId="5" borderId="6" xfId="0" applyFont="1" applyFill="1" applyBorder="1" applyAlignment="1" applyProtection="1">
      <alignment horizontal="left"/>
    </xf>
    <xf numFmtId="0" fontId="3" fillId="5" borderId="6" xfId="0" applyFont="1" applyFill="1" applyBorder="1" applyAlignment="1" applyProtection="1">
      <alignment horizontal="center"/>
    </xf>
    <xf numFmtId="167" fontId="3" fillId="6" borderId="6" xfId="0" applyNumberFormat="1" applyFont="1" applyFill="1" applyBorder="1" applyProtection="1"/>
    <xf numFmtId="0" fontId="15" fillId="5" borderId="6" xfId="0" applyFont="1" applyFill="1" applyBorder="1" applyProtection="1"/>
    <xf numFmtId="0" fontId="3" fillId="4" borderId="5" xfId="0" applyFont="1" applyFill="1" applyBorder="1" applyProtection="1"/>
    <xf numFmtId="0" fontId="3" fillId="3" borderId="0" xfId="0" applyFont="1" applyFill="1" applyBorder="1" applyProtection="1"/>
    <xf numFmtId="167" fontId="2" fillId="5" borderId="6" xfId="0" applyNumberFormat="1" applyFont="1" applyFill="1" applyBorder="1" applyProtection="1"/>
    <xf numFmtId="167" fontId="12" fillId="5" borderId="6" xfId="0" applyNumberFormat="1" applyFont="1" applyFill="1" applyBorder="1" applyProtection="1"/>
    <xf numFmtId="2" fontId="12" fillId="5" borderId="6" xfId="0" applyNumberFormat="1" applyFont="1" applyFill="1" applyBorder="1" applyProtection="1"/>
    <xf numFmtId="1" fontId="2" fillId="5" borderId="6" xfId="0" applyNumberFormat="1" applyFont="1" applyFill="1" applyBorder="1" applyProtection="1"/>
    <xf numFmtId="0" fontId="19" fillId="4" borderId="4" xfId="0" applyFont="1" applyFill="1" applyBorder="1" applyProtection="1"/>
    <xf numFmtId="0" fontId="19" fillId="5" borderId="6" xfId="0" applyFont="1" applyFill="1" applyBorder="1" applyProtection="1"/>
    <xf numFmtId="0" fontId="19" fillId="5" borderId="6" xfId="0" applyFont="1" applyFill="1" applyBorder="1" applyAlignment="1" applyProtection="1">
      <alignment horizontal="left"/>
    </xf>
    <xf numFmtId="0" fontId="19" fillId="5" borderId="6" xfId="0" applyFont="1" applyFill="1" applyBorder="1" applyAlignment="1" applyProtection="1">
      <alignment horizontal="center"/>
    </xf>
    <xf numFmtId="167" fontId="18" fillId="5" borderId="6" xfId="0" applyNumberFormat="1" applyFont="1" applyFill="1" applyBorder="1" applyAlignment="1" applyProtection="1">
      <alignment horizontal="center"/>
    </xf>
    <xf numFmtId="0" fontId="14" fillId="5" borderId="6" xfId="0" applyFont="1" applyFill="1" applyBorder="1" applyAlignment="1" applyProtection="1">
      <alignment horizontal="center"/>
    </xf>
    <xf numFmtId="0" fontId="18" fillId="5" borderId="6" xfId="0" applyFont="1" applyFill="1" applyBorder="1" applyAlignment="1" applyProtection="1">
      <alignment horizontal="center"/>
    </xf>
    <xf numFmtId="0" fontId="19" fillId="4" borderId="5" xfId="0" applyFont="1" applyFill="1" applyBorder="1" applyProtection="1"/>
    <xf numFmtId="0" fontId="19" fillId="3" borderId="0" xfId="0" applyFont="1" applyFill="1" applyBorder="1" applyProtection="1"/>
    <xf numFmtId="167" fontId="3" fillId="5" borderId="6" xfId="0" applyNumberFormat="1" applyFont="1" applyFill="1" applyBorder="1" applyAlignment="1" applyProtection="1">
      <alignment horizontal="center"/>
    </xf>
    <xf numFmtId="169" fontId="20" fillId="6" borderId="6" xfId="2" applyNumberFormat="1" applyFont="1" applyFill="1" applyBorder="1" applyAlignment="1" applyProtection="1">
      <alignment horizontal="center"/>
    </xf>
    <xf numFmtId="170" fontId="20" fillId="6" borderId="6" xfId="2" applyNumberFormat="1" applyFont="1" applyFill="1" applyBorder="1" applyAlignment="1" applyProtection="1">
      <alignment horizontal="center"/>
    </xf>
    <xf numFmtId="0" fontId="10" fillId="4" borderId="5" xfId="0" applyFont="1" applyFill="1" applyBorder="1" applyProtection="1"/>
    <xf numFmtId="10" fontId="18" fillId="2" borderId="6" xfId="0" applyNumberFormat="1" applyFont="1" applyFill="1" applyBorder="1" applyAlignment="1" applyProtection="1">
      <alignment horizontal="center"/>
    </xf>
    <xf numFmtId="0" fontId="18" fillId="5" borderId="6" xfId="0" applyFont="1" applyFill="1" applyBorder="1" applyAlignment="1" applyProtection="1">
      <alignment horizontal="left"/>
    </xf>
    <xf numFmtId="0" fontId="2" fillId="5" borderId="6" xfId="3" applyNumberFormat="1" applyFont="1" applyFill="1" applyBorder="1" applyAlignment="1" applyProtection="1">
      <alignment horizontal="center"/>
    </xf>
    <xf numFmtId="4" fontId="3" fillId="5" borderId="6" xfId="0" applyNumberFormat="1" applyFont="1" applyFill="1" applyBorder="1" applyProtection="1"/>
    <xf numFmtId="10" fontId="20" fillId="6" borderId="6" xfId="0" applyNumberFormat="1" applyFont="1" applyFill="1" applyBorder="1" applyAlignment="1" applyProtection="1">
      <alignment horizontal="center"/>
    </xf>
    <xf numFmtId="0" fontId="21" fillId="4" borderId="5" xfId="0" applyFont="1" applyFill="1" applyBorder="1" applyProtection="1"/>
    <xf numFmtId="10" fontId="2" fillId="5" borderId="6" xfId="3" applyNumberFormat="1" applyFont="1" applyFill="1" applyBorder="1" applyProtection="1"/>
    <xf numFmtId="10" fontId="2" fillId="5" borderId="6" xfId="0" applyNumberFormat="1" applyFont="1" applyFill="1" applyBorder="1" applyProtection="1"/>
    <xf numFmtId="10" fontId="22" fillId="5" borderId="6" xfId="0" applyNumberFormat="1" applyFont="1" applyFill="1" applyBorder="1" applyProtection="1"/>
    <xf numFmtId="0" fontId="4" fillId="5" borderId="6" xfId="0" applyFont="1" applyFill="1" applyBorder="1" applyProtection="1"/>
    <xf numFmtId="0" fontId="4" fillId="5" borderId="6" xfId="0" applyFont="1" applyFill="1" applyBorder="1" applyAlignment="1" applyProtection="1">
      <alignment horizontal="left"/>
    </xf>
    <xf numFmtId="0" fontId="4" fillId="5" borderId="6" xfId="0" applyFont="1" applyFill="1" applyBorder="1" applyAlignment="1" applyProtection="1">
      <alignment horizontal="center"/>
    </xf>
    <xf numFmtId="10" fontId="4" fillId="5" borderId="6" xfId="0" applyNumberFormat="1" applyFont="1" applyFill="1" applyBorder="1" applyProtection="1"/>
    <xf numFmtId="0" fontId="2" fillId="4" borderId="7" xfId="0" applyFont="1" applyFill="1" applyBorder="1" applyProtection="1"/>
    <xf numFmtId="0" fontId="2" fillId="4" borderId="7" xfId="0" applyFont="1" applyFill="1" applyBorder="1" applyAlignment="1" applyProtection="1">
      <alignment horizontal="left"/>
    </xf>
    <xf numFmtId="0" fontId="2" fillId="4" borderId="7" xfId="0" applyFont="1" applyFill="1" applyBorder="1" applyAlignment="1" applyProtection="1">
      <alignment horizontal="center"/>
    </xf>
    <xf numFmtId="167" fontId="2" fillId="4" borderId="7" xfId="0" applyNumberFormat="1" applyFont="1" applyFill="1" applyBorder="1" applyProtection="1"/>
    <xf numFmtId="1" fontId="3" fillId="5" borderId="6" xfId="0" applyNumberFormat="1" applyFont="1" applyFill="1" applyBorder="1" applyProtection="1"/>
    <xf numFmtId="0" fontId="3" fillId="5" borderId="6" xfId="0" applyFont="1" applyFill="1" applyBorder="1" applyAlignment="1" applyProtection="1"/>
    <xf numFmtId="167" fontId="3" fillId="5" borderId="6" xfId="0" applyNumberFormat="1" applyFont="1" applyFill="1" applyBorder="1" applyProtection="1"/>
    <xf numFmtId="0" fontId="18" fillId="5" borderId="6" xfId="0" applyFont="1" applyFill="1" applyBorder="1" applyProtection="1"/>
    <xf numFmtId="0" fontId="18" fillId="5" borderId="6" xfId="0" applyFont="1" applyFill="1" applyBorder="1" applyAlignment="1" applyProtection="1"/>
    <xf numFmtId="4" fontId="18" fillId="5"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left"/>
    </xf>
    <xf numFmtId="4" fontId="18" fillId="5" borderId="6" xfId="0" applyNumberFormat="1" applyFont="1" applyFill="1" applyBorder="1" applyProtection="1"/>
    <xf numFmtId="0" fontId="23" fillId="5" borderId="6" xfId="0" applyFont="1" applyFill="1" applyBorder="1" applyProtection="1"/>
    <xf numFmtId="1" fontId="18" fillId="5" borderId="6" xfId="0" applyNumberFormat="1" applyFont="1" applyFill="1" applyBorder="1" applyProtection="1"/>
    <xf numFmtId="0" fontId="20" fillId="5" borderId="6" xfId="0" applyFont="1" applyFill="1" applyBorder="1" applyProtection="1"/>
    <xf numFmtId="0" fontId="20" fillId="5" borderId="6" xfId="0" applyFont="1" applyFill="1" applyBorder="1" applyAlignment="1" applyProtection="1"/>
    <xf numFmtId="0" fontId="20" fillId="5" borderId="6" xfId="0" applyFont="1" applyFill="1" applyBorder="1" applyAlignment="1" applyProtection="1">
      <alignment horizontal="left"/>
    </xf>
    <xf numFmtId="0" fontId="20" fillId="5" borderId="6" xfId="0" applyFont="1" applyFill="1" applyBorder="1" applyAlignment="1" applyProtection="1">
      <alignment horizontal="center"/>
    </xf>
    <xf numFmtId="4" fontId="20" fillId="5" borderId="6" xfId="0" applyNumberFormat="1" applyFont="1" applyFill="1" applyBorder="1" applyAlignment="1" applyProtection="1">
      <alignment horizontal="center"/>
    </xf>
    <xf numFmtId="167" fontId="24" fillId="6" borderId="6" xfId="0" applyNumberFormat="1" applyFont="1" applyFill="1" applyBorder="1" applyAlignment="1" applyProtection="1">
      <alignment horizontal="right"/>
    </xf>
    <xf numFmtId="4" fontId="20" fillId="5" borderId="6" xfId="0" applyNumberFormat="1" applyFont="1" applyFill="1" applyBorder="1" applyProtection="1"/>
    <xf numFmtId="0" fontId="25" fillId="5" borderId="6" xfId="0" applyFont="1" applyFill="1" applyBorder="1" applyProtection="1"/>
    <xf numFmtId="167" fontId="20" fillId="5" borderId="6" xfId="0" applyNumberFormat="1" applyFont="1" applyFill="1" applyBorder="1" applyAlignment="1" applyProtection="1">
      <alignment horizontal="left"/>
    </xf>
    <xf numFmtId="0" fontId="2" fillId="5" borderId="6" xfId="0" applyFont="1" applyFill="1" applyBorder="1" applyAlignment="1" applyProtection="1"/>
    <xf numFmtId="167" fontId="14" fillId="5" borderId="6" xfId="0" applyNumberFormat="1" applyFont="1" applyFill="1" applyBorder="1" applyAlignment="1" applyProtection="1">
      <alignment horizontal="right"/>
    </xf>
    <xf numFmtId="4" fontId="4" fillId="5" borderId="6" xfId="0" applyNumberFormat="1" applyFont="1" applyFill="1" applyBorder="1" applyProtection="1"/>
    <xf numFmtId="167" fontId="2" fillId="2" borderId="6" xfId="2" applyNumberFormat="1" applyFont="1" applyFill="1" applyBorder="1" applyAlignment="1" applyProtection="1">
      <alignment horizontal="center"/>
    </xf>
    <xf numFmtId="10" fontId="2" fillId="2" borderId="6" xfId="3" applyNumberFormat="1" applyFont="1" applyFill="1" applyBorder="1" applyAlignment="1" applyProtection="1">
      <alignment horizontal="center"/>
    </xf>
    <xf numFmtId="4" fontId="10" fillId="4" borderId="5" xfId="0" applyNumberFormat="1" applyFont="1" applyFill="1" applyBorder="1" applyProtection="1"/>
    <xf numFmtId="167" fontId="3" fillId="6" borderId="6" xfId="2" applyNumberFormat="1" applyFont="1" applyFill="1" applyBorder="1" applyAlignment="1" applyProtection="1">
      <alignment horizontal="right"/>
    </xf>
    <xf numFmtId="167" fontId="3" fillId="5" borderId="6" xfId="0" applyNumberFormat="1" applyFont="1" applyFill="1" applyBorder="1" applyAlignment="1" applyProtection="1">
      <alignment horizontal="right"/>
    </xf>
    <xf numFmtId="171" fontId="2" fillId="5" borderId="6" xfId="2" applyNumberFormat="1" applyFont="1" applyFill="1" applyBorder="1" applyAlignment="1" applyProtection="1">
      <alignment horizontal="left"/>
    </xf>
    <xf numFmtId="167" fontId="2" fillId="4" borderId="0" xfId="0" applyNumberFormat="1" applyFont="1" applyFill="1" applyBorder="1" applyProtection="1"/>
    <xf numFmtId="0" fontId="2" fillId="7" borderId="8" xfId="0" applyFont="1" applyFill="1" applyBorder="1" applyProtection="1"/>
    <xf numFmtId="0" fontId="2" fillId="7" borderId="9" xfId="0" applyFont="1" applyFill="1" applyBorder="1" applyProtection="1"/>
    <xf numFmtId="0" fontId="21" fillId="7" borderId="9" xfId="0" applyFont="1" applyFill="1" applyBorder="1" applyProtection="1"/>
    <xf numFmtId="9" fontId="18" fillId="7" borderId="9" xfId="3" applyFont="1" applyFill="1" applyBorder="1" applyAlignment="1" applyProtection="1">
      <alignment horizontal="center"/>
    </xf>
    <xf numFmtId="0" fontId="21" fillId="7" borderId="9" xfId="0" applyFont="1" applyFill="1" applyBorder="1" applyAlignment="1" applyProtection="1">
      <alignment horizontal="right"/>
    </xf>
    <xf numFmtId="0" fontId="2" fillId="7" borderId="10" xfId="0" applyFont="1" applyFill="1" applyBorder="1" applyProtection="1"/>
    <xf numFmtId="49" fontId="16" fillId="3" borderId="0" xfId="0" applyNumberFormat="1" applyFont="1" applyFill="1" applyBorder="1" applyAlignment="1" applyProtection="1">
      <alignment horizontal="left"/>
    </xf>
    <xf numFmtId="0" fontId="16" fillId="3" borderId="0" xfId="0" applyFont="1" applyFill="1" applyBorder="1" applyAlignment="1" applyProtection="1">
      <alignment horizontal="left"/>
    </xf>
    <xf numFmtId="0" fontId="28" fillId="0" borderId="0" xfId="0" applyFont="1" applyFill="1" applyProtection="1"/>
    <xf numFmtId="0" fontId="29" fillId="0" borderId="0" xfId="0" applyFont="1" applyFill="1" applyAlignment="1" applyProtection="1">
      <alignment horizontal="left"/>
    </xf>
    <xf numFmtId="0" fontId="28" fillId="0" borderId="0" xfId="0" applyFont="1" applyProtection="1"/>
    <xf numFmtId="0" fontId="0" fillId="0" borderId="0" xfId="0" applyProtection="1"/>
    <xf numFmtId="43" fontId="28" fillId="0" borderId="0" xfId="1" applyFont="1" applyFill="1" applyProtection="1"/>
    <xf numFmtId="43" fontId="28" fillId="0" borderId="0" xfId="1" applyFont="1" applyProtection="1"/>
    <xf numFmtId="14" fontId="28" fillId="0" borderId="0" xfId="0" applyNumberFormat="1" applyFont="1" applyFill="1" applyProtection="1"/>
    <xf numFmtId="10" fontId="28" fillId="0" borderId="0" xfId="0" applyNumberFormat="1" applyFont="1" applyProtection="1"/>
    <xf numFmtId="0" fontId="30" fillId="0" borderId="0" xfId="0" applyFont="1" applyFill="1" applyProtection="1"/>
    <xf numFmtId="0" fontId="0" fillId="0" borderId="0" xfId="0" applyAlignment="1">
      <alignment horizontal="center"/>
    </xf>
    <xf numFmtId="172" fontId="28" fillId="0" borderId="0" xfId="1" applyNumberFormat="1" applyFont="1" applyFill="1" applyProtection="1"/>
    <xf numFmtId="0" fontId="31" fillId="0" borderId="0" xfId="0" applyFont="1" applyFill="1" applyProtection="1"/>
    <xf numFmtId="14" fontId="28" fillId="0" borderId="0" xfId="0" applyNumberFormat="1" applyFont="1" applyProtection="1"/>
    <xf numFmtId="15" fontId="28" fillId="0" borderId="0" xfId="0" applyNumberFormat="1" applyFont="1" applyProtection="1"/>
    <xf numFmtId="0" fontId="31" fillId="0" borderId="0" xfId="0" quotePrefix="1" applyFont="1" applyAlignment="1" applyProtection="1">
      <alignment horizontal="center"/>
    </xf>
    <xf numFmtId="0" fontId="31" fillId="0" borderId="0" xfId="0" applyFont="1" applyAlignment="1" applyProtection="1">
      <alignment horizontal="center"/>
    </xf>
    <xf numFmtId="0" fontId="31" fillId="0" borderId="0" xfId="0" applyFont="1" applyFill="1" applyAlignment="1" applyProtection="1">
      <alignment horizontal="center"/>
    </xf>
    <xf numFmtId="0" fontId="28" fillId="0" borderId="0" xfId="0" applyFont="1" applyAlignment="1" applyProtection="1">
      <alignment horizontal="left"/>
    </xf>
    <xf numFmtId="14" fontId="28" fillId="0" borderId="0" xfId="0" applyNumberFormat="1" applyFont="1" applyAlignment="1" applyProtection="1">
      <alignment horizontal="right"/>
    </xf>
    <xf numFmtId="10" fontId="3" fillId="8" borderId="0" xfId="3" applyNumberFormat="1" applyFont="1" applyFill="1" applyProtection="1"/>
    <xf numFmtId="10" fontId="3" fillId="8" borderId="0" xfId="0" applyNumberFormat="1" applyFont="1" applyFill="1" applyProtection="1"/>
    <xf numFmtId="0" fontId="20" fillId="0" borderId="0" xfId="0" applyFont="1" applyFill="1" applyAlignment="1" applyProtection="1">
      <alignment horizontal="center"/>
    </xf>
    <xf numFmtId="167" fontId="28" fillId="0" borderId="0" xfId="2" applyNumberFormat="1" applyFont="1" applyProtection="1"/>
    <xf numFmtId="173" fontId="28" fillId="0" borderId="0" xfId="1" applyNumberFormat="1" applyFont="1" applyFill="1" applyProtection="1"/>
    <xf numFmtId="0" fontId="30" fillId="0" borderId="0" xfId="0" applyFont="1" applyAlignment="1" applyProtection="1">
      <alignment horizontal="left"/>
    </xf>
    <xf numFmtId="14" fontId="30" fillId="0" borderId="0" xfId="0" applyNumberFormat="1" applyFont="1" applyAlignment="1" applyProtection="1">
      <alignment horizontal="right"/>
    </xf>
    <xf numFmtId="14" fontId="31" fillId="0" borderId="0" xfId="0" applyNumberFormat="1" applyFont="1" applyFill="1" applyAlignment="1" applyProtection="1">
      <alignment horizontal="center"/>
    </xf>
    <xf numFmtId="14" fontId="28" fillId="0" borderId="0" xfId="0" applyNumberFormat="1" applyFont="1" applyAlignment="1" applyProtection="1">
      <alignment horizontal="center"/>
    </xf>
    <xf numFmtId="14" fontId="31" fillId="0" borderId="0" xfId="0" applyNumberFormat="1" applyFont="1" applyAlignment="1" applyProtection="1">
      <alignment horizontal="center"/>
    </xf>
    <xf numFmtId="0" fontId="2" fillId="0" borderId="0" xfId="0" applyFont="1" applyProtection="1"/>
    <xf numFmtId="14" fontId="0" fillId="0" borderId="0" xfId="0" applyNumberFormat="1" applyProtection="1"/>
    <xf numFmtId="0" fontId="2" fillId="3" borderId="0" xfId="0" applyFont="1" applyFill="1" applyProtection="1"/>
    <xf numFmtId="0" fontId="8" fillId="4" borderId="0" xfId="0" applyFont="1" applyFill="1" applyBorder="1" applyProtection="1"/>
    <xf numFmtId="0" fontId="2" fillId="5" borderId="0" xfId="0" applyFont="1" applyFill="1" applyBorder="1" applyProtection="1"/>
    <xf numFmtId="0" fontId="3" fillId="5" borderId="0" xfId="0" applyFont="1" applyFill="1" applyBorder="1" applyProtection="1"/>
    <xf numFmtId="174" fontId="3" fillId="5" borderId="0" xfId="0" applyNumberFormat="1" applyFont="1" applyFill="1" applyBorder="1" applyAlignment="1" applyProtection="1">
      <alignment horizontal="center"/>
    </xf>
    <xf numFmtId="0" fontId="3" fillId="5" borderId="0" xfId="0" applyFont="1" applyFill="1" applyBorder="1" applyAlignment="1" applyProtection="1">
      <alignment horizontal="center"/>
    </xf>
    <xf numFmtId="0" fontId="4" fillId="5" borderId="0" xfId="0" applyFont="1" applyFill="1" applyBorder="1" applyProtection="1"/>
    <xf numFmtId="0" fontId="4" fillId="5" borderId="0" xfId="0" applyFont="1" applyFill="1" applyBorder="1" applyAlignment="1" applyProtection="1">
      <alignment horizontal="right"/>
    </xf>
    <xf numFmtId="0" fontId="4" fillId="3" borderId="0" xfId="0" applyFont="1" applyFill="1" applyProtection="1"/>
    <xf numFmtId="0" fontId="3" fillId="5" borderId="0" xfId="0" applyFont="1" applyFill="1" applyBorder="1" applyAlignment="1" applyProtection="1">
      <alignment horizontal="right"/>
    </xf>
    <xf numFmtId="0" fontId="19" fillId="5" borderId="0" xfId="0" applyFont="1" applyFill="1" applyBorder="1" applyProtection="1"/>
    <xf numFmtId="0" fontId="20" fillId="5" borderId="0" xfId="0" applyFont="1" applyFill="1" applyBorder="1" applyProtection="1"/>
    <xf numFmtId="0" fontId="32" fillId="5" borderId="0" xfId="0" applyFont="1" applyFill="1" applyBorder="1" applyProtection="1"/>
    <xf numFmtId="0" fontId="33"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167" fontId="2" fillId="5" borderId="6" xfId="0" applyNumberFormat="1" applyFont="1" applyFill="1" applyBorder="1" applyAlignment="1" applyProtection="1">
      <alignment horizontal="center"/>
    </xf>
    <xf numFmtId="167" fontId="2" fillId="6" borderId="6" xfId="0" applyNumberFormat="1" applyFont="1" applyFill="1" applyBorder="1" applyAlignment="1" applyProtection="1">
      <alignment horizontal="center"/>
    </xf>
    <xf numFmtId="168" fontId="2" fillId="5" borderId="6" xfId="0" applyNumberFormat="1" applyFont="1" applyFill="1" applyBorder="1" applyProtection="1"/>
    <xf numFmtId="167" fontId="2" fillId="5" borderId="6" xfId="0" applyNumberFormat="1" applyFont="1" applyFill="1" applyBorder="1" applyAlignment="1" applyProtection="1">
      <alignment horizontal="right"/>
    </xf>
    <xf numFmtId="167" fontId="2" fillId="6" borderId="6" xfId="0" applyNumberFormat="1" applyFont="1" applyFill="1" applyBorder="1" applyAlignment="1" applyProtection="1">
      <alignment horizontal="right"/>
    </xf>
    <xf numFmtId="0" fontId="3" fillId="6" borderId="6" xfId="0" applyFont="1" applyFill="1" applyBorder="1" applyAlignment="1" applyProtection="1">
      <alignment horizontal="center"/>
    </xf>
    <xf numFmtId="175" fontId="3" fillId="6" borderId="6" xfId="0" applyNumberFormat="1" applyFont="1" applyFill="1" applyBorder="1" applyAlignment="1" applyProtection="1">
      <alignment horizontal="center"/>
    </xf>
    <xf numFmtId="1" fontId="2" fillId="4" borderId="6" xfId="0" applyNumberFormat="1" applyFont="1" applyFill="1" applyBorder="1" applyAlignment="1" applyProtection="1">
      <alignment horizontal="center"/>
      <protection locked="0"/>
    </xf>
    <xf numFmtId="10" fontId="3" fillId="6" borderId="6" xfId="0" applyNumberFormat="1" applyFont="1" applyFill="1" applyBorder="1" applyAlignment="1" applyProtection="1">
      <alignment horizontal="center"/>
    </xf>
    <xf numFmtId="168" fontId="2" fillId="5" borderId="6" xfId="0" applyNumberFormat="1" applyFont="1" applyFill="1" applyBorder="1" applyAlignment="1" applyProtection="1">
      <alignment horizontal="center"/>
    </xf>
    <xf numFmtId="168" fontId="2" fillId="2" borderId="6"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0" fontId="3" fillId="5" borderId="6" xfId="0" applyNumberFormat="1" applyFont="1" applyFill="1" applyBorder="1" applyAlignment="1" applyProtection="1">
      <alignment horizontal="center"/>
    </xf>
    <xf numFmtId="167" fontId="3" fillId="6" borderId="6" xfId="0" applyNumberFormat="1" applyFont="1" applyFill="1" applyBorder="1" applyAlignment="1" applyProtection="1">
      <alignment horizontal="center"/>
    </xf>
    <xf numFmtId="167" fontId="18" fillId="2"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176" fontId="18" fillId="4" borderId="6" xfId="0" applyNumberFormat="1" applyFont="1" applyFill="1" applyBorder="1" applyAlignment="1" applyProtection="1">
      <alignment horizontal="center"/>
      <protection locked="0"/>
    </xf>
    <xf numFmtId="167" fontId="20" fillId="5" borderId="6" xfId="0" applyNumberFormat="1" applyFont="1" applyFill="1" applyBorder="1" applyAlignment="1" applyProtection="1">
      <alignment horizontal="center"/>
    </xf>
    <xf numFmtId="167" fontId="2" fillId="5" borderId="6" xfId="0" applyNumberFormat="1" applyFont="1" applyFill="1" applyBorder="1" applyAlignment="1" applyProtection="1">
      <alignment horizontal="left"/>
    </xf>
    <xf numFmtId="177" fontId="2" fillId="4" borderId="6" xfId="0" applyNumberFormat="1" applyFont="1" applyFill="1" applyBorder="1" applyAlignment="1" applyProtection="1">
      <alignment horizontal="center"/>
      <protection locked="0"/>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5" borderId="6" xfId="0" applyNumberFormat="1" applyFont="1" applyFill="1" applyBorder="1" applyAlignment="1" applyProtection="1"/>
    <xf numFmtId="3" fontId="2" fillId="5" borderId="6" xfId="0" applyNumberFormat="1" applyFont="1" applyFill="1" applyBorder="1" applyProtection="1"/>
    <xf numFmtId="3" fontId="2" fillId="4" borderId="6" xfId="0" applyNumberFormat="1" applyFont="1" applyFill="1" applyBorder="1" applyAlignment="1" applyProtection="1">
      <alignment horizontal="center"/>
      <protection locked="0"/>
    </xf>
    <xf numFmtId="167" fontId="18" fillId="5" borderId="6" xfId="0" applyNumberFormat="1" applyFont="1" applyFill="1" applyBorder="1" applyProtection="1"/>
    <xf numFmtId="176" fontId="2" fillId="5" borderId="6" xfId="0" applyNumberFormat="1" applyFont="1" applyFill="1" applyBorder="1" applyProtection="1"/>
    <xf numFmtId="176"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5" borderId="6" xfId="0" applyNumberFormat="1" applyFont="1" applyFill="1" applyBorder="1" applyProtection="1"/>
    <xf numFmtId="171" fontId="2" fillId="4" borderId="6" xfId="0" applyNumberFormat="1" applyFont="1" applyFill="1" applyBorder="1" applyAlignment="1" applyProtection="1">
      <alignment horizontal="center"/>
      <protection locked="0"/>
    </xf>
    <xf numFmtId="171" fontId="3" fillId="5" borderId="6" xfId="0" applyNumberFormat="1" applyFont="1" applyFill="1" applyBorder="1" applyProtection="1"/>
    <xf numFmtId="171" fontId="3" fillId="6" borderId="6" xfId="0" applyNumberFormat="1" applyFont="1" applyFill="1" applyBorder="1" applyAlignment="1" applyProtection="1">
      <alignment horizontal="center"/>
    </xf>
    <xf numFmtId="167" fontId="20" fillId="5" borderId="6" xfId="0" applyNumberFormat="1" applyFont="1" applyFill="1" applyBorder="1" applyProtection="1"/>
    <xf numFmtId="167" fontId="2" fillId="7" borderId="9"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8" fillId="3" borderId="0" xfId="2" applyNumberFormat="1" applyFont="1" applyFill="1" applyBorder="1" applyProtection="1"/>
    <xf numFmtId="167" fontId="18" fillId="3" borderId="0" xfId="0" applyNumberFormat="1" applyFont="1" applyFill="1" applyBorder="1" applyProtection="1"/>
    <xf numFmtId="167" fontId="2" fillId="3" borderId="0" xfId="2" applyNumberFormat="1" applyFont="1" applyFill="1" applyBorder="1" applyProtection="1"/>
    <xf numFmtId="171" fontId="2" fillId="3" borderId="0" xfId="2" applyNumberFormat="1" applyFont="1" applyFill="1" applyBorder="1" applyProtection="1"/>
    <xf numFmtId="0" fontId="2" fillId="9" borderId="0" xfId="0" applyFont="1" applyFill="1" applyBorder="1" applyProtection="1"/>
    <xf numFmtId="0" fontId="2" fillId="9" borderId="0" xfId="0" applyFont="1" applyFill="1" applyBorder="1" applyAlignment="1" applyProtection="1">
      <alignment horizontal="center"/>
    </xf>
    <xf numFmtId="0" fontId="18" fillId="4" borderId="4" xfId="0" applyFont="1" applyFill="1" applyBorder="1" applyProtection="1"/>
    <xf numFmtId="0" fontId="18" fillId="4" borderId="0" xfId="0" applyFont="1" applyFill="1" applyBorder="1" applyProtection="1"/>
    <xf numFmtId="0" fontId="18" fillId="4" borderId="0" xfId="0" applyFont="1" applyFill="1" applyBorder="1" applyAlignment="1" applyProtection="1">
      <alignment horizontal="center"/>
    </xf>
    <xf numFmtId="0" fontId="18" fillId="4" borderId="5" xfId="0" applyFont="1" applyFill="1" applyBorder="1" applyProtection="1"/>
    <xf numFmtId="0" fontId="18" fillId="9" borderId="0" xfId="0" applyFont="1" applyFill="1" applyBorder="1" applyProtection="1"/>
    <xf numFmtId="0" fontId="34" fillId="5" borderId="0" xfId="0" applyFont="1" applyFill="1" applyBorder="1" applyProtection="1"/>
    <xf numFmtId="0" fontId="34" fillId="4" borderId="0" xfId="0" applyFont="1" applyFill="1" applyBorder="1" applyAlignment="1" applyProtection="1">
      <alignment horizontal="left"/>
      <protection locked="0"/>
    </xf>
    <xf numFmtId="0" fontId="34" fillId="5" borderId="0"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2" fillId="4" borderId="0" xfId="0" applyFont="1" applyFill="1" applyBorder="1" applyAlignment="1" applyProtection="1"/>
    <xf numFmtId="0" fontId="35" fillId="9" borderId="0" xfId="0" applyFont="1" applyFill="1" applyBorder="1" applyProtection="1"/>
    <xf numFmtId="0" fontId="36" fillId="9" borderId="0" xfId="0" applyFont="1" applyFill="1" applyBorder="1" applyProtection="1"/>
    <xf numFmtId="0" fontId="36" fillId="9" borderId="0" xfId="0" applyFont="1" applyFill="1" applyBorder="1" applyAlignment="1" applyProtection="1">
      <alignment horizontal="left"/>
    </xf>
    <xf numFmtId="0" fontId="2" fillId="4" borderId="6" xfId="0" applyNumberFormat="1" applyFont="1" applyFill="1" applyBorder="1" applyAlignment="1" applyProtection="1">
      <alignment horizontal="center"/>
      <protection locked="0"/>
    </xf>
    <xf numFmtId="0" fontId="2" fillId="5" borderId="6" xfId="0" applyNumberFormat="1" applyFont="1" applyFill="1" applyBorder="1" applyAlignment="1" applyProtection="1">
      <alignment horizontal="center"/>
    </xf>
    <xf numFmtId="171" fontId="36" fillId="9" borderId="0" xfId="0" applyNumberFormat="1" applyFont="1" applyFill="1" applyBorder="1" applyProtection="1"/>
    <xf numFmtId="0" fontId="22" fillId="5" borderId="6" xfId="0" applyFont="1" applyFill="1" applyBorder="1" applyAlignment="1" applyProtection="1">
      <alignment horizontal="left"/>
    </xf>
    <xf numFmtId="0" fontId="22" fillId="5" borderId="6" xfId="0" applyFont="1" applyFill="1" applyBorder="1" applyAlignment="1" applyProtection="1">
      <alignment horizontal="center"/>
    </xf>
    <xf numFmtId="0" fontId="37" fillId="9" borderId="0" xfId="0" applyFont="1" applyFill="1" applyBorder="1" applyProtection="1"/>
    <xf numFmtId="0" fontId="18" fillId="5" borderId="6" xfId="0" applyFont="1" applyFill="1" applyBorder="1" applyAlignment="1" applyProtection="1">
      <alignment horizontal="right"/>
    </xf>
    <xf numFmtId="168" fontId="2" fillId="4" borderId="6" xfId="0" applyNumberFormat="1" applyFont="1" applyFill="1" applyBorder="1" applyAlignment="1" applyProtection="1">
      <alignment horizontal="center"/>
      <protection locked="0"/>
    </xf>
    <xf numFmtId="0" fontId="18" fillId="4" borderId="0" xfId="0" applyFont="1" applyFill="1" applyBorder="1" applyAlignment="1" applyProtection="1">
      <alignment horizontal="right"/>
    </xf>
    <xf numFmtId="178" fontId="2" fillId="4" borderId="6" xfId="0" applyNumberFormat="1" applyFont="1" applyFill="1" applyBorder="1" applyAlignment="1" applyProtection="1">
      <alignment horizontal="center"/>
      <protection locked="0"/>
    </xf>
    <xf numFmtId="178" fontId="2" fillId="5" borderId="6" xfId="0" applyNumberFormat="1" applyFont="1" applyFill="1" applyBorder="1" applyAlignment="1" applyProtection="1">
      <alignment horizontal="center"/>
    </xf>
    <xf numFmtId="0" fontId="38" fillId="9" borderId="0" xfId="0" applyFont="1" applyFill="1" applyBorder="1" applyAlignment="1" applyProtection="1">
      <alignment horizontal="left"/>
    </xf>
    <xf numFmtId="176" fontId="2" fillId="5" borderId="6" xfId="0" applyNumberFormat="1" applyFont="1" applyFill="1" applyBorder="1" applyAlignment="1" applyProtection="1">
      <alignment horizontal="center"/>
    </xf>
    <xf numFmtId="0" fontId="2" fillId="2" borderId="6" xfId="0" applyFont="1" applyFill="1" applyBorder="1" applyAlignment="1" applyProtection="1">
      <alignment horizontal="center"/>
    </xf>
    <xf numFmtId="167" fontId="2" fillId="9" borderId="0" xfId="0" applyNumberFormat="1" applyFont="1" applyFill="1" applyBorder="1" applyProtection="1"/>
    <xf numFmtId="0" fontId="38" fillId="9" borderId="0" xfId="0" applyFont="1" applyFill="1" applyProtection="1"/>
    <xf numFmtId="171" fontId="2" fillId="5" borderId="6" xfId="0" applyNumberFormat="1" applyFont="1" applyFill="1" applyBorder="1" applyAlignment="1" applyProtection="1">
      <alignment horizontal="center"/>
    </xf>
    <xf numFmtId="167" fontId="3" fillId="9" borderId="0" xfId="0" applyNumberFormat="1" applyFont="1" applyFill="1" applyBorder="1" applyProtection="1"/>
    <xf numFmtId="0" fontId="3" fillId="9" borderId="0" xfId="0" applyFont="1" applyFill="1" applyBorder="1" applyProtection="1"/>
    <xf numFmtId="171" fontId="3" fillId="5" borderId="6" xfId="0" applyNumberFormat="1" applyFont="1" applyFill="1" applyBorder="1" applyAlignment="1" applyProtection="1">
      <alignment horizontal="center"/>
    </xf>
    <xf numFmtId="167" fontId="2" fillId="4" borderId="5" xfId="0" applyNumberFormat="1" applyFont="1" applyFill="1" applyBorder="1" applyProtection="1"/>
    <xf numFmtId="167" fontId="3" fillId="4" borderId="5" xfId="0" applyNumberFormat="1" applyFont="1" applyFill="1" applyBorder="1" applyProtection="1"/>
    <xf numFmtId="0" fontId="2" fillId="7" borderId="9" xfId="0" applyFont="1" applyFill="1" applyBorder="1" applyAlignment="1" applyProtection="1">
      <alignment horizontal="center"/>
    </xf>
    <xf numFmtId="167" fontId="2" fillId="7" borderId="10" xfId="0" applyNumberFormat="1" applyFont="1" applyFill="1" applyBorder="1" applyProtection="1"/>
    <xf numFmtId="167" fontId="3" fillId="9" borderId="0" xfId="0" applyNumberFormat="1" applyFont="1" applyFill="1" applyBorder="1" applyAlignment="1" applyProtection="1">
      <alignment horizontal="right"/>
    </xf>
    <xf numFmtId="167" fontId="36" fillId="9" borderId="0" xfId="0" applyNumberFormat="1" applyFont="1" applyFill="1" applyBorder="1" applyProtection="1"/>
    <xf numFmtId="0" fontId="39" fillId="9" borderId="0" xfId="0" applyFont="1" applyFill="1" applyBorder="1" applyProtection="1"/>
    <xf numFmtId="0" fontId="40" fillId="9" borderId="0" xfId="0" applyFont="1" applyFill="1" applyBorder="1" applyAlignment="1" applyProtection="1">
      <alignment horizontal="left"/>
    </xf>
    <xf numFmtId="0" fontId="40" fillId="9" borderId="0" xfId="0" applyFont="1" applyFill="1" applyProtection="1"/>
    <xf numFmtId="0" fontId="2" fillId="9" borderId="0" xfId="0" applyFont="1" applyFill="1" applyBorder="1" applyAlignment="1" applyProtection="1">
      <alignment horizontal="left"/>
    </xf>
    <xf numFmtId="167" fontId="18" fillId="9" borderId="0" xfId="2" applyNumberFormat="1" applyFont="1" applyFill="1" applyBorder="1" applyAlignment="1" applyProtection="1">
      <alignment horizontal="center"/>
    </xf>
    <xf numFmtId="167" fontId="18" fillId="9" borderId="0" xfId="0" applyNumberFormat="1" applyFont="1" applyFill="1" applyBorder="1" applyProtection="1"/>
    <xf numFmtId="167" fontId="2" fillId="9" borderId="0" xfId="2" applyNumberFormat="1" applyFont="1" applyFill="1" applyBorder="1" applyAlignment="1" applyProtection="1">
      <alignment horizontal="center"/>
    </xf>
    <xf numFmtId="171" fontId="2" fillId="9" borderId="0" xfId="2"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9" borderId="0" xfId="0" applyFont="1" applyFill="1" applyBorder="1" applyAlignment="1" applyProtection="1">
      <alignment horizontal="right"/>
    </xf>
    <xf numFmtId="0" fontId="0" fillId="9" borderId="0" xfId="0" applyFill="1" applyAlignment="1" applyProtection="1">
      <alignment horizontal="left"/>
    </xf>
    <xf numFmtId="0" fontId="0" fillId="9" borderId="0" xfId="0" applyFill="1" applyAlignment="1" applyProtection="1">
      <alignment horizontal="right"/>
    </xf>
    <xf numFmtId="0" fontId="36" fillId="9" borderId="0" xfId="0" applyFont="1" applyFill="1" applyAlignment="1" applyProtection="1">
      <alignment horizontal="left"/>
    </xf>
    <xf numFmtId="0" fontId="22" fillId="5" borderId="6" xfId="0" applyFont="1" applyFill="1" applyBorder="1" applyAlignment="1" applyProtection="1">
      <alignment horizontal="right"/>
    </xf>
    <xf numFmtId="0" fontId="36" fillId="9" borderId="0" xfId="0" applyFont="1" applyFill="1" applyAlignment="1" applyProtection="1">
      <alignment horizontal="right"/>
    </xf>
    <xf numFmtId="42" fontId="36" fillId="9" borderId="0" xfId="0" applyNumberFormat="1" applyFont="1" applyFill="1" applyBorder="1" applyProtection="1"/>
    <xf numFmtId="179" fontId="2" fillId="6" borderId="6" xfId="0" applyNumberFormat="1" applyFont="1" applyFill="1" applyBorder="1" applyAlignment="1" applyProtection="1">
      <alignment horizontal="center"/>
    </xf>
    <xf numFmtId="179" fontId="2" fillId="5" borderId="6" xfId="0" applyNumberFormat="1" applyFont="1" applyFill="1" applyBorder="1" applyAlignment="1" applyProtection="1">
      <alignment horizontal="center"/>
    </xf>
    <xf numFmtId="179" fontId="3" fillId="6"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0" fontId="36" fillId="9" borderId="0" xfId="0" applyFont="1" applyFill="1" applyProtection="1"/>
    <xf numFmtId="3" fontId="2" fillId="5" borderId="6" xfId="0" applyNumberFormat="1" applyFont="1" applyFill="1" applyBorder="1" applyAlignment="1" applyProtection="1">
      <alignment horizontal="center"/>
    </xf>
    <xf numFmtId="10" fontId="2" fillId="4" borderId="6" xfId="0" applyNumberFormat="1" applyFont="1" applyFill="1" applyBorder="1" applyAlignment="1" applyProtection="1">
      <alignment horizontal="center"/>
      <protection locked="0"/>
    </xf>
    <xf numFmtId="167" fontId="21" fillId="7" borderId="9" xfId="0" applyNumberFormat="1" applyFont="1" applyFill="1" applyBorder="1" applyAlignment="1" applyProtection="1">
      <alignment horizontal="right"/>
    </xf>
    <xf numFmtId="171" fontId="2" fillId="9" borderId="0" xfId="0" applyNumberFormat="1" applyFont="1" applyFill="1" applyBorder="1" applyProtection="1"/>
    <xf numFmtId="167" fontId="18" fillId="9" borderId="0" xfId="2" applyNumberFormat="1" applyFont="1" applyFill="1" applyBorder="1" applyProtection="1"/>
    <xf numFmtId="167" fontId="2" fillId="9" borderId="0" xfId="2" applyNumberFormat="1" applyFont="1" applyFill="1" applyBorder="1" applyProtection="1"/>
    <xf numFmtId="171" fontId="2" fillId="9" borderId="0" xfId="2" applyNumberFormat="1" applyFont="1" applyFill="1" applyBorder="1" applyProtection="1"/>
    <xf numFmtId="0" fontId="2" fillId="4" borderId="8" xfId="0" applyFont="1" applyFill="1" applyBorder="1" applyProtection="1"/>
    <xf numFmtId="0" fontId="2" fillId="5" borderId="9" xfId="0" applyFont="1" applyFill="1" applyBorder="1" applyProtection="1"/>
    <xf numFmtId="0" fontId="2" fillId="4" borderId="10" xfId="0" applyFont="1" applyFill="1" applyBorder="1" applyProtection="1"/>
    <xf numFmtId="0" fontId="2" fillId="5" borderId="2" xfId="0" applyFont="1" applyFill="1" applyBorder="1" applyProtection="1"/>
    <xf numFmtId="0" fontId="41" fillId="5" borderId="6" xfId="0" applyFont="1" applyFill="1" applyBorder="1" applyAlignment="1" applyProtection="1">
      <alignment horizontal="center"/>
    </xf>
    <xf numFmtId="0" fontId="0" fillId="0" borderId="0" xfId="0" applyFill="1" applyAlignment="1">
      <alignment horizontal="left"/>
    </xf>
    <xf numFmtId="4" fontId="0" fillId="0" borderId="0" xfId="0" applyNumberFormat="1" applyFill="1" applyAlignment="1">
      <alignment horizontal="left"/>
    </xf>
    <xf numFmtId="9" fontId="2" fillId="10" borderId="0" xfId="0" applyNumberFormat="1" applyFont="1" applyFill="1" applyBorder="1" applyAlignment="1" applyProtection="1">
      <alignment horizontal="left"/>
      <protection locked="0"/>
    </xf>
    <xf numFmtId="0" fontId="42" fillId="0" borderId="0" xfId="0" applyFont="1" applyProtection="1"/>
    <xf numFmtId="0" fontId="42" fillId="0" borderId="0" xfId="0" applyFont="1" applyFill="1" applyProtection="1"/>
    <xf numFmtId="180" fontId="3" fillId="5" borderId="0" xfId="0" applyNumberFormat="1" applyFont="1" applyFill="1" applyBorder="1" applyAlignment="1" applyProtection="1">
      <alignment horizontal="center"/>
    </xf>
    <xf numFmtId="0" fontId="2" fillId="4" borderId="6" xfId="0" applyFont="1" applyFill="1" applyBorder="1" applyAlignment="1" applyProtection="1">
      <alignment horizontal="left"/>
      <protection locked="0"/>
    </xf>
    <xf numFmtId="10" fontId="3" fillId="6" borderId="6" xfId="3" applyNumberFormat="1" applyFont="1" applyFill="1" applyBorder="1" applyAlignment="1" applyProtection="1">
      <alignment horizontal="center"/>
    </xf>
    <xf numFmtId="167" fontId="3" fillId="5" borderId="6" xfId="0" applyNumberFormat="1" applyFont="1" applyFill="1" applyBorder="1" applyAlignment="1" applyProtection="1"/>
    <xf numFmtId="0" fontId="3" fillId="5" borderId="6" xfId="0" applyFont="1" applyFill="1" applyBorder="1" applyAlignment="1" applyProtection="1"/>
    <xf numFmtId="0" fontId="2" fillId="4" borderId="6" xfId="0" applyFont="1" applyFill="1" applyBorder="1" applyAlignment="1" applyProtection="1">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45" fillId="0" borderId="0" xfId="0" applyFont="1" applyFill="1" applyProtection="1"/>
    <xf numFmtId="0" fontId="2" fillId="11" borderId="0" xfId="0" applyFont="1" applyFill="1" applyBorder="1" applyProtection="1"/>
    <xf numFmtId="0" fontId="40" fillId="11" borderId="0" xfId="0" applyFont="1" applyFill="1" applyBorder="1"/>
    <xf numFmtId="0" fontId="44" fillId="11" borderId="0" xfId="0" applyFont="1" applyFill="1" applyBorder="1"/>
    <xf numFmtId="0" fontId="46" fillId="11" borderId="0" xfId="0" applyFont="1" applyFill="1"/>
    <xf numFmtId="0" fontId="47" fillId="11" borderId="0" xfId="0" applyFont="1" applyFill="1"/>
    <xf numFmtId="0" fontId="48" fillId="11" borderId="0" xfId="0" applyFont="1" applyFill="1" applyBorder="1"/>
    <xf numFmtId="0" fontId="49" fillId="11" borderId="0" xfId="0" applyFont="1" applyFill="1" applyBorder="1"/>
  </cellXfs>
  <cellStyles count="4">
    <cellStyle name="Komma" xfId="1" builtinId="3"/>
    <cellStyle name="Procent" xfId="3" builtinId="5"/>
    <cellStyle name="Standaard" xfId="0" builtinId="0"/>
    <cellStyle name="Valuta" xfId="2" builtinId="4"/>
  </cellStyles>
  <dxfs count="0"/>
  <tableStyles count="0" defaultTableStyle="TableStyleMedium2" defaultPivotStyle="PivotStyleLight16"/>
  <colors>
    <mruColors>
      <color rgb="FFFFCC99"/>
      <color rgb="FFFF99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369794</xdr:colOff>
      <xdr:row>2</xdr:row>
      <xdr:rowOff>38100</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3970" y="363071"/>
          <a:ext cx="145508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47625</xdr:rowOff>
    </xdr:from>
    <xdr:to>
      <xdr:col>7</xdr:col>
      <xdr:colOff>171450</xdr:colOff>
      <xdr:row>50</xdr:row>
      <xdr:rowOff>66675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7820025"/>
          <a:ext cx="1590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4"/>
  <sheetViews>
    <sheetView zoomScale="85" zoomScaleNormal="85" workbookViewId="0">
      <selection activeCell="B2" sqref="B2"/>
    </sheetView>
  </sheetViews>
  <sheetFormatPr defaultRowHeight="12.75" x14ac:dyDescent="0.2"/>
  <cols>
    <col min="1" max="3" width="2.7109375" style="190" customWidth="1"/>
    <col min="4" max="15" width="9.140625" style="190"/>
    <col min="16" max="16" width="13.7109375" style="190" bestFit="1" customWidth="1"/>
    <col min="17" max="17" width="9.140625" style="190"/>
    <col min="18" max="20" width="2.7109375" style="190" customWidth="1"/>
    <col min="21" max="16384" width="9.140625" style="190"/>
  </cols>
  <sheetData>
    <row r="1" spans="2:19" ht="13.5" thickBot="1" x14ac:dyDescent="0.25"/>
    <row r="2" spans="2:19" x14ac:dyDescent="0.2">
      <c r="B2" s="29"/>
      <c r="C2" s="30"/>
      <c r="D2" s="30"/>
      <c r="E2" s="30"/>
      <c r="F2" s="30"/>
      <c r="G2" s="30"/>
      <c r="H2" s="30"/>
      <c r="I2" s="30"/>
      <c r="J2" s="30"/>
      <c r="K2" s="30"/>
      <c r="L2" s="30"/>
      <c r="M2" s="30"/>
      <c r="N2" s="30"/>
      <c r="O2" s="30"/>
      <c r="P2" s="30"/>
      <c r="Q2" s="30"/>
      <c r="R2" s="30"/>
      <c r="S2" s="33"/>
    </row>
    <row r="3" spans="2:19" x14ac:dyDescent="0.2">
      <c r="B3" s="34"/>
      <c r="C3" s="35"/>
      <c r="D3" s="35"/>
      <c r="E3" s="35"/>
      <c r="F3" s="35"/>
      <c r="G3" s="35"/>
      <c r="H3" s="35"/>
      <c r="I3" s="35"/>
      <c r="J3" s="35"/>
      <c r="K3" s="35"/>
      <c r="L3" s="35"/>
      <c r="M3" s="35"/>
      <c r="N3" s="35"/>
      <c r="O3" s="35"/>
      <c r="P3" s="35"/>
      <c r="Q3" s="35"/>
      <c r="R3" s="35"/>
      <c r="S3" s="38"/>
    </row>
    <row r="4" spans="2:19" ht="18" x14ac:dyDescent="0.25">
      <c r="B4" s="34"/>
      <c r="C4" s="40" t="s">
        <v>116</v>
      </c>
      <c r="D4" s="35"/>
      <c r="E4" s="35"/>
      <c r="F4" s="35"/>
      <c r="G4" s="35"/>
      <c r="H4" s="35"/>
      <c r="I4" s="35"/>
      <c r="J4" s="35"/>
      <c r="K4" s="35"/>
      <c r="L4" s="35"/>
      <c r="M4" s="35"/>
      <c r="N4" s="35"/>
      <c r="O4" s="35"/>
      <c r="P4" s="35"/>
      <c r="Q4" s="35"/>
      <c r="R4" s="35"/>
      <c r="S4" s="38"/>
    </row>
    <row r="5" spans="2:19" ht="15.75" x14ac:dyDescent="0.25">
      <c r="B5" s="34"/>
      <c r="C5" s="191"/>
      <c r="D5" s="35"/>
      <c r="E5" s="35"/>
      <c r="F5" s="35"/>
      <c r="G5" s="35"/>
      <c r="H5" s="35"/>
      <c r="I5" s="35"/>
      <c r="J5" s="35"/>
      <c r="K5" s="35"/>
      <c r="L5" s="35"/>
      <c r="M5" s="35"/>
      <c r="N5" s="35"/>
      <c r="O5" s="35"/>
      <c r="P5" s="35"/>
      <c r="Q5" s="35"/>
      <c r="R5" s="35"/>
      <c r="S5" s="38"/>
    </row>
    <row r="6" spans="2:19" x14ac:dyDescent="0.2">
      <c r="B6" s="34"/>
      <c r="C6" s="192"/>
      <c r="D6" s="193"/>
      <c r="E6" s="192"/>
      <c r="F6" s="192"/>
      <c r="G6" s="192"/>
      <c r="H6" s="192"/>
      <c r="I6" s="192"/>
      <c r="J6" s="192"/>
      <c r="K6" s="192"/>
      <c r="L6" s="192"/>
      <c r="M6" s="192"/>
      <c r="N6" s="193"/>
      <c r="O6" s="194"/>
      <c r="P6" s="192"/>
      <c r="Q6" s="192"/>
      <c r="R6" s="192"/>
      <c r="S6" s="38"/>
    </row>
    <row r="7" spans="2:19" x14ac:dyDescent="0.2">
      <c r="B7" s="34"/>
      <c r="C7" s="192"/>
      <c r="D7" s="192" t="s">
        <v>117</v>
      </c>
      <c r="E7" s="192"/>
      <c r="F7" s="192"/>
      <c r="G7" s="192"/>
      <c r="H7" s="192"/>
      <c r="I7" s="195" t="s">
        <v>118</v>
      </c>
      <c r="J7" s="192"/>
      <c r="K7" s="192"/>
      <c r="L7" s="192"/>
      <c r="M7" s="192"/>
      <c r="N7" s="192"/>
      <c r="O7" s="193" t="s">
        <v>119</v>
      </c>
      <c r="P7" s="328">
        <v>41640</v>
      </c>
      <c r="Q7" s="192"/>
      <c r="R7" s="192"/>
      <c r="S7" s="38"/>
    </row>
    <row r="8" spans="2:19" s="198" customFormat="1" x14ac:dyDescent="0.2">
      <c r="B8" s="39"/>
      <c r="C8" s="192"/>
      <c r="D8" s="192" t="s">
        <v>120</v>
      </c>
      <c r="E8" s="192"/>
      <c r="F8" s="192"/>
      <c r="G8" s="192"/>
      <c r="H8" s="192"/>
      <c r="I8" s="192"/>
      <c r="J8" s="192"/>
      <c r="K8" s="192"/>
      <c r="L8" s="192"/>
      <c r="M8" s="192"/>
      <c r="N8" s="192"/>
      <c r="O8" s="192"/>
      <c r="P8" s="196"/>
      <c r="Q8" s="197"/>
      <c r="R8" s="196"/>
      <c r="S8" s="46"/>
    </row>
    <row r="9" spans="2:19" x14ac:dyDescent="0.2">
      <c r="B9" s="34"/>
      <c r="C9" s="192"/>
      <c r="D9" s="192"/>
      <c r="E9" s="192"/>
      <c r="F9" s="192"/>
      <c r="G9" s="192"/>
      <c r="H9" s="192"/>
      <c r="I9" s="192"/>
      <c r="J9" s="192"/>
      <c r="K9" s="192"/>
      <c r="L9" s="192"/>
      <c r="M9" s="192"/>
      <c r="N9" s="192"/>
      <c r="O9" s="192"/>
      <c r="P9" s="192"/>
      <c r="Q9" s="199"/>
      <c r="R9" s="200"/>
      <c r="S9" s="38"/>
    </row>
    <row r="10" spans="2:19" x14ac:dyDescent="0.2">
      <c r="B10" s="34"/>
      <c r="C10" s="192"/>
      <c r="D10" s="192" t="s">
        <v>301</v>
      </c>
      <c r="E10" s="192"/>
      <c r="F10" s="192"/>
      <c r="G10" s="192"/>
      <c r="H10" s="192"/>
      <c r="I10" s="192"/>
      <c r="J10" s="192"/>
      <c r="K10" s="192"/>
      <c r="L10" s="192"/>
      <c r="M10" s="192"/>
      <c r="N10" s="192"/>
      <c r="O10" s="192"/>
      <c r="P10" s="192"/>
      <c r="Q10" s="199"/>
      <c r="R10" s="200"/>
      <c r="S10" s="38"/>
    </row>
    <row r="11" spans="2:19" x14ac:dyDescent="0.2">
      <c r="B11" s="34"/>
      <c r="C11" s="192"/>
      <c r="D11" s="192" t="s">
        <v>121</v>
      </c>
      <c r="E11" s="192"/>
      <c r="F11" s="192"/>
      <c r="G11" s="192"/>
      <c r="H11" s="192"/>
      <c r="I11" s="192"/>
      <c r="J11" s="192"/>
      <c r="K11" s="192"/>
      <c r="L11" s="192"/>
      <c r="M11" s="192"/>
      <c r="N11" s="192"/>
      <c r="O11" s="192"/>
      <c r="P11" s="192"/>
      <c r="Q11" s="192"/>
      <c r="R11" s="200"/>
      <c r="S11" s="38"/>
    </row>
    <row r="12" spans="2:19" x14ac:dyDescent="0.2">
      <c r="B12" s="34"/>
      <c r="C12" s="192"/>
      <c r="D12" s="192" t="s">
        <v>122</v>
      </c>
      <c r="E12" s="192"/>
      <c r="F12" s="192"/>
      <c r="G12" s="192"/>
      <c r="H12" s="192"/>
      <c r="I12" s="192"/>
      <c r="J12" s="192"/>
      <c r="K12" s="192"/>
      <c r="L12" s="192"/>
      <c r="M12" s="192"/>
      <c r="N12" s="192"/>
      <c r="O12" s="192"/>
      <c r="P12" s="192"/>
      <c r="Q12" s="192"/>
      <c r="R12" s="192"/>
      <c r="S12" s="38"/>
    </row>
    <row r="13" spans="2:19" x14ac:dyDescent="0.2">
      <c r="B13" s="34"/>
      <c r="C13" s="192"/>
      <c r="D13" s="192"/>
      <c r="E13" s="192"/>
      <c r="F13" s="192"/>
      <c r="G13" s="192"/>
      <c r="H13" s="192"/>
      <c r="I13" s="192"/>
      <c r="J13" s="192"/>
      <c r="K13" s="192"/>
      <c r="L13" s="192"/>
      <c r="M13" s="192"/>
      <c r="N13" s="192"/>
      <c r="O13" s="192"/>
      <c r="P13" s="192"/>
      <c r="Q13" s="192"/>
      <c r="R13" s="192"/>
      <c r="S13" s="38"/>
    </row>
    <row r="14" spans="2:19" x14ac:dyDescent="0.2">
      <c r="B14" s="34"/>
      <c r="C14" s="192"/>
      <c r="D14" s="192" t="s">
        <v>302</v>
      </c>
      <c r="E14" s="192"/>
      <c r="F14" s="192"/>
      <c r="G14" s="192"/>
      <c r="H14" s="192"/>
      <c r="I14" s="192"/>
      <c r="J14" s="192"/>
      <c r="K14" s="192"/>
      <c r="L14" s="192"/>
      <c r="M14" s="192"/>
      <c r="N14" s="192"/>
      <c r="O14" s="192"/>
      <c r="P14" s="192"/>
      <c r="Q14" s="192"/>
      <c r="R14" s="192"/>
      <c r="S14" s="38"/>
    </row>
    <row r="15" spans="2:19" x14ac:dyDescent="0.2">
      <c r="B15" s="34"/>
      <c r="C15" s="192"/>
      <c r="D15" s="192" t="s">
        <v>303</v>
      </c>
      <c r="E15" s="192"/>
      <c r="F15" s="192"/>
      <c r="G15" s="192"/>
      <c r="H15" s="192"/>
      <c r="I15" s="192"/>
      <c r="J15" s="192"/>
      <c r="K15" s="192"/>
      <c r="L15" s="192"/>
      <c r="M15" s="192"/>
      <c r="N15" s="192"/>
      <c r="O15" s="192"/>
      <c r="P15" s="192"/>
      <c r="Q15" s="192"/>
      <c r="R15" s="192"/>
      <c r="S15" s="38"/>
    </row>
    <row r="16" spans="2:19" x14ac:dyDescent="0.2">
      <c r="B16" s="34"/>
      <c r="C16" s="192"/>
      <c r="D16" s="192" t="s">
        <v>304</v>
      </c>
      <c r="E16" s="192"/>
      <c r="F16" s="192"/>
      <c r="G16" s="192"/>
      <c r="H16" s="192"/>
      <c r="I16" s="192"/>
      <c r="J16" s="192"/>
      <c r="K16" s="192"/>
      <c r="L16" s="192"/>
      <c r="M16" s="192"/>
      <c r="N16" s="192"/>
      <c r="O16" s="192"/>
      <c r="P16" s="192"/>
      <c r="Q16" s="192"/>
      <c r="R16" s="192"/>
      <c r="S16" s="38"/>
    </row>
    <row r="17" spans="2:19" x14ac:dyDescent="0.2">
      <c r="B17" s="34"/>
      <c r="C17" s="192"/>
      <c r="D17" s="192" t="s">
        <v>123</v>
      </c>
      <c r="E17" s="192"/>
      <c r="F17" s="192"/>
      <c r="G17" s="192"/>
      <c r="H17" s="192"/>
      <c r="I17" s="192"/>
      <c r="J17" s="192"/>
      <c r="K17" s="192"/>
      <c r="L17" s="192"/>
      <c r="M17" s="192"/>
      <c r="N17" s="192"/>
      <c r="O17" s="192"/>
      <c r="P17" s="192"/>
      <c r="Q17" s="192"/>
      <c r="R17" s="192"/>
      <c r="S17" s="38"/>
    </row>
    <row r="18" spans="2:19" x14ac:dyDescent="0.2">
      <c r="B18" s="34"/>
      <c r="C18" s="192"/>
      <c r="D18" s="192" t="s">
        <v>124</v>
      </c>
      <c r="E18" s="192"/>
      <c r="F18" s="192"/>
      <c r="G18" s="192"/>
      <c r="H18" s="192"/>
      <c r="I18" s="192"/>
      <c r="J18" s="192"/>
      <c r="K18" s="192"/>
      <c r="L18" s="192"/>
      <c r="M18" s="192"/>
      <c r="N18" s="192"/>
      <c r="O18" s="192"/>
      <c r="P18" s="192"/>
      <c r="Q18" s="192"/>
      <c r="R18" s="192"/>
      <c r="S18" s="38"/>
    </row>
    <row r="19" spans="2:19" x14ac:dyDescent="0.2">
      <c r="B19" s="34"/>
      <c r="C19" s="338"/>
      <c r="D19" s="192"/>
      <c r="E19" s="192"/>
      <c r="F19" s="192"/>
      <c r="G19" s="192"/>
      <c r="H19" s="192"/>
      <c r="I19" s="192"/>
      <c r="J19" s="192"/>
      <c r="K19" s="192"/>
      <c r="L19" s="192"/>
      <c r="M19" s="192"/>
      <c r="N19" s="192"/>
      <c r="O19" s="192"/>
      <c r="P19" s="192"/>
      <c r="Q19" s="192"/>
      <c r="R19" s="192"/>
      <c r="S19" s="38"/>
    </row>
    <row r="20" spans="2:19" x14ac:dyDescent="0.2">
      <c r="B20" s="34"/>
      <c r="C20" s="192"/>
      <c r="D20" s="192" t="s">
        <v>125</v>
      </c>
      <c r="E20" s="192"/>
      <c r="F20" s="192"/>
      <c r="G20" s="192"/>
      <c r="H20" s="192"/>
      <c r="I20" s="192"/>
      <c r="J20" s="192"/>
      <c r="K20" s="192"/>
      <c r="L20" s="192"/>
      <c r="M20" s="192"/>
      <c r="N20" s="192"/>
      <c r="O20" s="192"/>
      <c r="P20" s="192"/>
      <c r="Q20" s="192"/>
      <c r="R20" s="192"/>
      <c r="S20" s="38"/>
    </row>
    <row r="21" spans="2:19" x14ac:dyDescent="0.2">
      <c r="B21" s="34"/>
      <c r="C21" s="192"/>
      <c r="D21" s="192" t="s">
        <v>126</v>
      </c>
      <c r="E21" s="192"/>
      <c r="F21" s="192"/>
      <c r="G21" s="192"/>
      <c r="H21" s="192"/>
      <c r="I21" s="192"/>
      <c r="J21" s="192"/>
      <c r="K21" s="192"/>
      <c r="L21" s="192"/>
      <c r="M21" s="192"/>
      <c r="N21" s="192"/>
      <c r="O21" s="192"/>
      <c r="P21" s="192"/>
      <c r="Q21" s="192"/>
      <c r="R21" s="192"/>
      <c r="S21" s="38"/>
    </row>
    <row r="22" spans="2:19" x14ac:dyDescent="0.2">
      <c r="B22" s="34"/>
      <c r="C22" s="192"/>
      <c r="D22" s="192" t="s">
        <v>127</v>
      </c>
      <c r="E22" s="192"/>
      <c r="F22" s="192"/>
      <c r="G22" s="192"/>
      <c r="H22" s="192"/>
      <c r="I22" s="192"/>
      <c r="J22" s="192"/>
      <c r="K22" s="192"/>
      <c r="L22" s="192"/>
      <c r="M22" s="192"/>
      <c r="N22" s="192"/>
      <c r="O22" s="192"/>
      <c r="P22" s="192"/>
      <c r="Q22" s="192"/>
      <c r="R22" s="192"/>
      <c r="S22" s="38"/>
    </row>
    <row r="23" spans="2:19" x14ac:dyDescent="0.2">
      <c r="B23" s="34"/>
      <c r="C23" s="192"/>
      <c r="D23" s="192" t="s">
        <v>128</v>
      </c>
      <c r="E23" s="192"/>
      <c r="F23" s="192"/>
      <c r="G23" s="192"/>
      <c r="H23" s="192"/>
      <c r="I23" s="192"/>
      <c r="J23" s="192"/>
      <c r="K23" s="192"/>
      <c r="L23" s="192"/>
      <c r="M23" s="192"/>
      <c r="N23" s="192"/>
      <c r="O23" s="192"/>
      <c r="P23" s="192"/>
      <c r="Q23" s="192"/>
      <c r="R23" s="192"/>
      <c r="S23" s="38"/>
    </row>
    <row r="24" spans="2:19" x14ac:dyDescent="0.2">
      <c r="B24" s="34"/>
      <c r="C24" s="192"/>
      <c r="D24" s="192" t="s">
        <v>305</v>
      </c>
      <c r="E24" s="192"/>
      <c r="F24" s="192"/>
      <c r="G24" s="192"/>
      <c r="H24" s="192"/>
      <c r="I24" s="192"/>
      <c r="J24" s="192"/>
      <c r="K24" s="192"/>
      <c r="L24" s="192"/>
      <c r="M24" s="192"/>
      <c r="N24" s="192"/>
      <c r="O24" s="192"/>
      <c r="P24" s="192"/>
      <c r="Q24" s="192"/>
      <c r="R24" s="192"/>
      <c r="S24" s="38"/>
    </row>
    <row r="25" spans="2:19" x14ac:dyDescent="0.2">
      <c r="B25" s="34"/>
      <c r="C25" s="192"/>
      <c r="D25" s="192" t="s">
        <v>129</v>
      </c>
      <c r="E25" s="192"/>
      <c r="F25" s="192"/>
      <c r="G25" s="192"/>
      <c r="H25" s="192"/>
      <c r="I25" s="192"/>
      <c r="J25" s="192"/>
      <c r="K25" s="192"/>
      <c r="L25" s="192"/>
      <c r="M25" s="192"/>
      <c r="N25" s="192"/>
      <c r="O25" s="192"/>
      <c r="P25" s="192"/>
      <c r="Q25" s="192"/>
      <c r="R25" s="192"/>
      <c r="S25" s="38"/>
    </row>
    <row r="26" spans="2:19" x14ac:dyDescent="0.2">
      <c r="B26" s="34"/>
      <c r="C26" s="192"/>
      <c r="D26" s="339" t="s">
        <v>127</v>
      </c>
      <c r="E26" s="192"/>
      <c r="F26" s="192"/>
      <c r="G26" s="192"/>
      <c r="H26" s="192"/>
      <c r="I26" s="192"/>
      <c r="J26" s="192"/>
      <c r="K26" s="192"/>
      <c r="L26" s="192"/>
      <c r="M26" s="192"/>
      <c r="N26" s="192"/>
      <c r="O26" s="192"/>
      <c r="P26" s="192"/>
      <c r="Q26" s="192"/>
      <c r="R26" s="192"/>
      <c r="S26" s="38"/>
    </row>
    <row r="27" spans="2:19" x14ac:dyDescent="0.2">
      <c r="B27" s="34"/>
      <c r="C27" s="192"/>
      <c r="D27" s="339" t="s">
        <v>324</v>
      </c>
      <c r="E27" s="192"/>
      <c r="F27" s="192"/>
      <c r="G27" s="192"/>
      <c r="H27" s="192"/>
      <c r="I27" s="192"/>
      <c r="J27" s="192"/>
      <c r="K27" s="192"/>
      <c r="L27" s="192"/>
      <c r="M27" s="192"/>
      <c r="N27" s="192"/>
      <c r="O27" s="192"/>
      <c r="P27" s="192"/>
      <c r="Q27" s="192"/>
      <c r="R27" s="192"/>
      <c r="S27" s="38"/>
    </row>
    <row r="28" spans="2:19" x14ac:dyDescent="0.2">
      <c r="B28" s="34"/>
      <c r="C28" s="192"/>
      <c r="D28" s="339" t="s">
        <v>325</v>
      </c>
      <c r="E28" s="192"/>
      <c r="F28" s="192"/>
      <c r="G28" s="192"/>
      <c r="H28" s="192"/>
      <c r="I28" s="192"/>
      <c r="J28" s="192"/>
      <c r="K28" s="192"/>
      <c r="L28" s="192"/>
      <c r="M28" s="192"/>
      <c r="N28" s="192"/>
      <c r="O28" s="192"/>
      <c r="P28" s="192"/>
      <c r="Q28" s="192"/>
      <c r="R28" s="192"/>
      <c r="S28" s="38"/>
    </row>
    <row r="29" spans="2:19" x14ac:dyDescent="0.2">
      <c r="B29" s="34"/>
      <c r="C29" s="192"/>
      <c r="D29" s="192"/>
      <c r="E29" s="192"/>
      <c r="F29" s="192"/>
      <c r="G29" s="192"/>
      <c r="H29" s="192"/>
      <c r="I29" s="192"/>
      <c r="J29" s="192"/>
      <c r="K29" s="192"/>
      <c r="L29" s="192"/>
      <c r="M29" s="192"/>
      <c r="N29" s="192"/>
      <c r="O29" s="192"/>
      <c r="P29" s="192"/>
      <c r="Q29" s="192"/>
      <c r="R29" s="192"/>
      <c r="S29" s="38"/>
    </row>
    <row r="30" spans="2:19" x14ac:dyDescent="0.2">
      <c r="B30" s="34"/>
      <c r="C30" s="199" t="s">
        <v>130</v>
      </c>
      <c r="D30" s="193" t="s">
        <v>131</v>
      </c>
      <c r="E30" s="192"/>
      <c r="F30" s="192"/>
      <c r="G30" s="192"/>
      <c r="H30" s="192"/>
      <c r="I30" s="192"/>
      <c r="J30" s="192"/>
      <c r="K30" s="192"/>
      <c r="L30" s="192"/>
      <c r="M30" s="192"/>
      <c r="N30" s="192"/>
      <c r="O30" s="192"/>
      <c r="P30" s="192"/>
      <c r="Q30" s="192"/>
      <c r="R30" s="192"/>
      <c r="S30" s="38"/>
    </row>
    <row r="31" spans="2:19" x14ac:dyDescent="0.2">
      <c r="B31" s="34"/>
      <c r="C31" s="199"/>
      <c r="D31" s="193"/>
      <c r="E31" s="192"/>
      <c r="F31" s="192"/>
      <c r="G31" s="192"/>
      <c r="H31" s="192"/>
      <c r="I31" s="192"/>
      <c r="J31" s="192"/>
      <c r="K31" s="192"/>
      <c r="L31" s="192"/>
      <c r="M31" s="192"/>
      <c r="N31" s="192"/>
      <c r="O31" s="192"/>
      <c r="P31" s="192"/>
      <c r="Q31" s="192"/>
      <c r="R31" s="192"/>
      <c r="S31" s="38"/>
    </row>
    <row r="32" spans="2:19" x14ac:dyDescent="0.2">
      <c r="B32" s="34"/>
      <c r="C32" s="192"/>
      <c r="D32" s="193" t="s">
        <v>132</v>
      </c>
      <c r="E32" s="192"/>
      <c r="F32" s="192"/>
      <c r="G32" s="192"/>
      <c r="H32" s="192"/>
      <c r="I32" s="192"/>
      <c r="J32" s="192"/>
      <c r="K32" s="192"/>
      <c r="L32" s="192"/>
      <c r="M32" s="192"/>
      <c r="N32" s="192"/>
      <c r="O32" s="192"/>
      <c r="P32" s="192"/>
      <c r="Q32" s="192"/>
      <c r="R32" s="192"/>
      <c r="S32" s="38"/>
    </row>
    <row r="33" spans="2:19" x14ac:dyDescent="0.2">
      <c r="B33" s="34"/>
      <c r="C33" s="192"/>
      <c r="D33" s="202" t="s">
        <v>133</v>
      </c>
      <c r="E33" s="192"/>
      <c r="F33" s="192"/>
      <c r="G33" s="192"/>
      <c r="H33" s="192"/>
      <c r="I33" s="192"/>
      <c r="J33" s="192"/>
      <c r="K33" s="192"/>
      <c r="L33" s="192"/>
      <c r="M33" s="192"/>
      <c r="N33" s="192"/>
      <c r="O33" s="192"/>
      <c r="P33" s="192"/>
      <c r="Q33" s="192"/>
      <c r="R33" s="192"/>
      <c r="S33" s="38"/>
    </row>
    <row r="34" spans="2:19" x14ac:dyDescent="0.2">
      <c r="B34" s="34"/>
      <c r="C34" s="192"/>
      <c r="D34" s="202" t="s">
        <v>134</v>
      </c>
      <c r="E34" s="192"/>
      <c r="F34" s="192"/>
      <c r="G34" s="192"/>
      <c r="H34" s="192"/>
      <c r="I34" s="192"/>
      <c r="J34" s="192"/>
      <c r="K34" s="192"/>
      <c r="L34" s="192"/>
      <c r="M34" s="192"/>
      <c r="N34" s="192"/>
      <c r="O34" s="192"/>
      <c r="P34" s="192"/>
      <c r="Q34" s="192"/>
      <c r="R34" s="192"/>
      <c r="S34" s="38"/>
    </row>
    <row r="35" spans="2:19" x14ac:dyDescent="0.2">
      <c r="B35" s="34"/>
      <c r="C35" s="192"/>
      <c r="D35" s="202" t="s">
        <v>135</v>
      </c>
      <c r="E35" s="192"/>
      <c r="F35" s="192"/>
      <c r="G35" s="192"/>
      <c r="H35" s="192"/>
      <c r="I35" s="192"/>
      <c r="J35" s="192"/>
      <c r="K35" s="192"/>
      <c r="L35" s="192"/>
      <c r="M35" s="192"/>
      <c r="N35" s="192"/>
      <c r="O35" s="192"/>
      <c r="P35" s="192"/>
      <c r="Q35" s="192"/>
      <c r="R35" s="192"/>
      <c r="S35" s="38"/>
    </row>
    <row r="36" spans="2:19" x14ac:dyDescent="0.2">
      <c r="B36" s="34"/>
      <c r="C36" s="192"/>
      <c r="D36" s="202" t="s">
        <v>136</v>
      </c>
      <c r="E36" s="192"/>
      <c r="F36" s="192"/>
      <c r="G36" s="192"/>
      <c r="H36" s="192"/>
      <c r="I36" s="192"/>
      <c r="J36" s="192"/>
      <c r="K36" s="192"/>
      <c r="L36" s="192"/>
      <c r="M36" s="192"/>
      <c r="N36" s="192"/>
      <c r="O36" s="192"/>
      <c r="P36" s="192"/>
      <c r="Q36" s="192"/>
      <c r="R36" s="192"/>
      <c r="S36" s="38"/>
    </row>
    <row r="37" spans="2:19" x14ac:dyDescent="0.2">
      <c r="B37" s="34"/>
      <c r="C37" s="192"/>
      <c r="D37" s="202" t="s">
        <v>137</v>
      </c>
      <c r="E37" s="192"/>
      <c r="F37" s="192"/>
      <c r="G37" s="192"/>
      <c r="H37" s="192"/>
      <c r="I37" s="192"/>
      <c r="J37" s="192"/>
      <c r="K37" s="192"/>
      <c r="L37" s="192"/>
      <c r="M37" s="192"/>
      <c r="N37" s="192"/>
      <c r="O37" s="192"/>
      <c r="P37" s="192"/>
      <c r="Q37" s="192"/>
      <c r="R37" s="192"/>
      <c r="S37" s="38"/>
    </row>
    <row r="38" spans="2:19" x14ac:dyDescent="0.2">
      <c r="B38" s="34"/>
      <c r="C38" s="192"/>
      <c r="D38" s="202" t="s">
        <v>138</v>
      </c>
      <c r="E38" s="192"/>
      <c r="F38" s="192"/>
      <c r="G38" s="192"/>
      <c r="H38" s="192"/>
      <c r="I38" s="192"/>
      <c r="J38" s="192"/>
      <c r="K38" s="192"/>
      <c r="L38" s="192"/>
      <c r="M38" s="192"/>
      <c r="N38" s="192"/>
      <c r="O38" s="192"/>
      <c r="P38" s="192"/>
      <c r="Q38" s="192"/>
      <c r="R38" s="192"/>
      <c r="S38" s="38"/>
    </row>
    <row r="39" spans="2:19" x14ac:dyDescent="0.2">
      <c r="B39" s="34"/>
      <c r="C39" s="192"/>
      <c r="D39" s="201"/>
      <c r="E39" s="192"/>
      <c r="F39" s="192"/>
      <c r="G39" s="192"/>
      <c r="H39" s="192"/>
      <c r="I39" s="192"/>
      <c r="J39" s="192"/>
      <c r="K39" s="192"/>
      <c r="L39" s="192"/>
      <c r="M39" s="192"/>
      <c r="N39" s="192"/>
      <c r="O39" s="192"/>
      <c r="P39" s="192"/>
      <c r="Q39" s="192"/>
      <c r="R39" s="192"/>
      <c r="S39" s="38"/>
    </row>
    <row r="40" spans="2:19" x14ac:dyDescent="0.2">
      <c r="B40" s="34"/>
      <c r="C40" s="192"/>
      <c r="D40" s="201" t="s">
        <v>139</v>
      </c>
      <c r="E40" s="192"/>
      <c r="F40" s="192"/>
      <c r="G40" s="192"/>
      <c r="H40" s="192"/>
      <c r="I40" s="192"/>
      <c r="J40" s="192"/>
      <c r="K40" s="192"/>
      <c r="L40" s="192"/>
      <c r="M40" s="192"/>
      <c r="N40" s="192"/>
      <c r="O40" s="192"/>
      <c r="P40" s="192"/>
      <c r="Q40" s="192"/>
      <c r="R40" s="192"/>
      <c r="S40" s="38"/>
    </row>
    <row r="41" spans="2:19" x14ac:dyDescent="0.2">
      <c r="B41" s="34"/>
      <c r="C41" s="192"/>
      <c r="D41" s="201" t="s">
        <v>140</v>
      </c>
      <c r="E41" s="192"/>
      <c r="F41" s="192"/>
      <c r="G41" s="192"/>
      <c r="H41" s="192"/>
      <c r="I41" s="192"/>
      <c r="J41" s="192"/>
      <c r="K41" s="192"/>
      <c r="L41" s="192"/>
      <c r="M41" s="192"/>
      <c r="N41" s="192"/>
      <c r="O41" s="192"/>
      <c r="P41" s="192"/>
      <c r="Q41" s="192"/>
      <c r="R41" s="192"/>
      <c r="S41" s="38"/>
    </row>
    <row r="42" spans="2:19" x14ac:dyDescent="0.2">
      <c r="B42" s="34"/>
      <c r="C42" s="192"/>
      <c r="D42" s="201" t="s">
        <v>141</v>
      </c>
      <c r="E42" s="192"/>
      <c r="F42" s="192"/>
      <c r="G42" s="192"/>
      <c r="H42" s="192"/>
      <c r="I42" s="192"/>
      <c r="J42" s="192"/>
      <c r="K42" s="192"/>
      <c r="L42" s="192"/>
      <c r="M42" s="192"/>
      <c r="N42" s="192"/>
      <c r="O42" s="192"/>
      <c r="P42" s="192"/>
      <c r="Q42" s="192"/>
      <c r="R42" s="192"/>
      <c r="S42" s="38"/>
    </row>
    <row r="43" spans="2:19" x14ac:dyDescent="0.2">
      <c r="B43" s="34"/>
      <c r="C43" s="192"/>
      <c r="D43" s="193"/>
      <c r="E43" s="192"/>
      <c r="F43" s="192"/>
      <c r="G43" s="192"/>
      <c r="H43" s="192"/>
      <c r="I43" s="192"/>
      <c r="J43" s="192"/>
      <c r="K43" s="192"/>
      <c r="L43" s="192"/>
      <c r="M43" s="192"/>
      <c r="N43" s="192"/>
      <c r="O43" s="192"/>
      <c r="P43" s="192"/>
      <c r="Q43" s="192"/>
      <c r="R43" s="192"/>
      <c r="S43" s="38"/>
    </row>
    <row r="44" spans="2:19" x14ac:dyDescent="0.2">
      <c r="B44" s="34"/>
      <c r="C44" s="192"/>
      <c r="D44" s="192" t="s">
        <v>142</v>
      </c>
      <c r="E44" s="192"/>
      <c r="F44" s="192"/>
      <c r="G44" s="192"/>
      <c r="H44" s="192"/>
      <c r="I44" s="192"/>
      <c r="J44" s="192"/>
      <c r="K44" s="192"/>
      <c r="L44" s="192"/>
      <c r="M44" s="192"/>
      <c r="N44" s="192"/>
      <c r="O44" s="192"/>
      <c r="P44" s="192"/>
      <c r="Q44" s="192"/>
      <c r="R44" s="192"/>
      <c r="S44" s="38"/>
    </row>
    <row r="45" spans="2:19" x14ac:dyDescent="0.2">
      <c r="B45" s="34"/>
      <c r="C45" s="192"/>
      <c r="D45" s="192" t="s">
        <v>143</v>
      </c>
      <c r="E45" s="192"/>
      <c r="F45" s="192"/>
      <c r="G45" s="192"/>
      <c r="H45" s="192"/>
      <c r="I45" s="192"/>
      <c r="J45" s="192"/>
      <c r="K45" s="192"/>
      <c r="L45" s="192"/>
      <c r="M45" s="192"/>
      <c r="N45" s="192"/>
      <c r="O45" s="192"/>
      <c r="P45" s="192"/>
      <c r="Q45" s="192"/>
      <c r="R45" s="192"/>
      <c r="S45" s="38"/>
    </row>
    <row r="46" spans="2:19" x14ac:dyDescent="0.2">
      <c r="B46" s="34"/>
      <c r="C46" s="192"/>
      <c r="D46" s="192" t="s">
        <v>144</v>
      </c>
      <c r="E46" s="192"/>
      <c r="F46" s="192"/>
      <c r="G46" s="192"/>
      <c r="H46" s="192"/>
      <c r="I46" s="192"/>
      <c r="J46" s="192"/>
      <c r="K46" s="192"/>
      <c r="L46" s="192"/>
      <c r="M46" s="192"/>
      <c r="N46" s="192"/>
      <c r="O46" s="192"/>
      <c r="P46" s="192"/>
      <c r="Q46" s="192"/>
      <c r="R46" s="192"/>
      <c r="S46" s="38"/>
    </row>
    <row r="47" spans="2:19" x14ac:dyDescent="0.2">
      <c r="B47" s="34"/>
      <c r="C47" s="192"/>
      <c r="D47" s="192"/>
      <c r="E47" s="192"/>
      <c r="F47" s="192"/>
      <c r="G47" s="192"/>
      <c r="H47" s="192"/>
      <c r="I47" s="192"/>
      <c r="J47" s="192"/>
      <c r="K47" s="192"/>
      <c r="L47" s="192"/>
      <c r="M47" s="192"/>
      <c r="N47" s="192"/>
      <c r="O47" s="192"/>
      <c r="P47" s="192"/>
      <c r="Q47" s="192"/>
      <c r="R47" s="192"/>
      <c r="S47" s="38"/>
    </row>
    <row r="48" spans="2:19" x14ac:dyDescent="0.2">
      <c r="B48" s="34"/>
      <c r="C48" s="192"/>
      <c r="D48" s="340" t="s">
        <v>326</v>
      </c>
      <c r="E48" s="192"/>
      <c r="F48" s="192"/>
      <c r="G48" s="192"/>
      <c r="H48" s="192"/>
      <c r="I48" s="192"/>
      <c r="J48" s="192"/>
      <c r="K48" s="192"/>
      <c r="L48" s="192"/>
      <c r="M48" s="192"/>
      <c r="N48" s="192"/>
      <c r="O48" s="192"/>
      <c r="P48" s="192"/>
      <c r="Q48" s="192"/>
      <c r="R48" s="192"/>
      <c r="S48" s="38"/>
    </row>
    <row r="49" spans="2:19" x14ac:dyDescent="0.2">
      <c r="B49" s="34"/>
      <c r="C49" s="192"/>
      <c r="D49" s="339" t="s">
        <v>327</v>
      </c>
      <c r="E49" s="192"/>
      <c r="F49" s="192"/>
      <c r="G49" s="192"/>
      <c r="H49" s="192"/>
      <c r="I49" s="192"/>
      <c r="J49" s="192"/>
      <c r="K49" s="192"/>
      <c r="L49" s="192"/>
      <c r="M49" s="192"/>
      <c r="N49" s="192"/>
      <c r="O49" s="192"/>
      <c r="P49" s="192"/>
      <c r="Q49" s="192"/>
      <c r="R49" s="192"/>
      <c r="S49" s="38"/>
    </row>
    <row r="50" spans="2:19" x14ac:dyDescent="0.2">
      <c r="B50" s="34"/>
      <c r="C50" s="192"/>
      <c r="D50" s="339" t="s">
        <v>328</v>
      </c>
      <c r="E50" s="192"/>
      <c r="F50" s="192"/>
      <c r="G50" s="192"/>
      <c r="H50" s="192"/>
      <c r="I50" s="192"/>
      <c r="J50" s="192"/>
      <c r="K50" s="192"/>
      <c r="L50" s="192"/>
      <c r="M50" s="192"/>
      <c r="N50" s="192"/>
      <c r="O50" s="192"/>
      <c r="P50" s="192"/>
      <c r="Q50" s="192"/>
      <c r="R50" s="192"/>
      <c r="S50" s="38"/>
    </row>
    <row r="51" spans="2:19" x14ac:dyDescent="0.2">
      <c r="B51" s="34"/>
      <c r="C51" s="192"/>
      <c r="D51" s="341" t="s">
        <v>329</v>
      </c>
      <c r="E51" s="192"/>
      <c r="F51" s="192"/>
      <c r="G51" s="192"/>
      <c r="H51" s="192"/>
      <c r="I51" s="192"/>
      <c r="J51" s="192"/>
      <c r="K51" s="192"/>
      <c r="L51" s="192"/>
      <c r="M51" s="192"/>
      <c r="N51" s="192"/>
      <c r="O51" s="192"/>
      <c r="P51" s="192"/>
      <c r="Q51" s="192"/>
      <c r="R51" s="192"/>
      <c r="S51" s="38"/>
    </row>
    <row r="52" spans="2:19" x14ac:dyDescent="0.2">
      <c r="B52" s="34"/>
      <c r="C52" s="192"/>
      <c r="D52" s="342" t="s">
        <v>330</v>
      </c>
      <c r="E52" s="192"/>
      <c r="F52" s="192"/>
      <c r="G52" s="192"/>
      <c r="H52" s="192"/>
      <c r="I52" s="192"/>
      <c r="J52" s="192"/>
      <c r="K52" s="192"/>
      <c r="L52" s="192"/>
      <c r="M52" s="192"/>
      <c r="N52" s="192"/>
      <c r="O52" s="192"/>
      <c r="P52" s="192"/>
      <c r="Q52" s="192"/>
      <c r="R52" s="192"/>
      <c r="S52" s="38"/>
    </row>
    <row r="53" spans="2:19" x14ac:dyDescent="0.2">
      <c r="B53" s="34"/>
      <c r="C53" s="192"/>
      <c r="D53" s="339" t="s">
        <v>331</v>
      </c>
      <c r="E53" s="192"/>
      <c r="F53" s="192"/>
      <c r="G53" s="192"/>
      <c r="H53" s="192"/>
      <c r="I53" s="192"/>
      <c r="J53" s="192"/>
      <c r="K53" s="192"/>
      <c r="L53" s="192"/>
      <c r="M53" s="192"/>
      <c r="N53" s="192"/>
      <c r="O53" s="192"/>
      <c r="P53" s="192"/>
      <c r="Q53" s="192"/>
      <c r="R53" s="192"/>
      <c r="S53" s="38"/>
    </row>
    <row r="54" spans="2:19" x14ac:dyDescent="0.2">
      <c r="B54" s="34"/>
      <c r="C54" s="192"/>
      <c r="D54" s="339" t="s">
        <v>332</v>
      </c>
      <c r="E54" s="192"/>
      <c r="F54" s="192"/>
      <c r="G54" s="192"/>
      <c r="H54" s="192"/>
      <c r="I54" s="192"/>
      <c r="J54" s="192"/>
      <c r="K54" s="192"/>
      <c r="L54" s="192"/>
      <c r="M54" s="192"/>
      <c r="N54" s="192"/>
      <c r="O54" s="192"/>
      <c r="P54" s="192"/>
      <c r="Q54" s="192"/>
      <c r="R54" s="192"/>
      <c r="S54" s="38"/>
    </row>
    <row r="55" spans="2:19" x14ac:dyDescent="0.2">
      <c r="B55" s="34"/>
      <c r="C55" s="192"/>
      <c r="D55" s="342" t="s">
        <v>333</v>
      </c>
      <c r="E55" s="192"/>
      <c r="F55" s="192"/>
      <c r="G55" s="192"/>
      <c r="H55" s="192"/>
      <c r="I55" s="192"/>
      <c r="J55" s="192"/>
      <c r="K55" s="192"/>
      <c r="L55" s="192"/>
      <c r="M55" s="192"/>
      <c r="N55" s="192"/>
      <c r="O55" s="192"/>
      <c r="P55" s="192"/>
      <c r="Q55" s="192"/>
      <c r="R55" s="192"/>
      <c r="S55" s="38"/>
    </row>
    <row r="56" spans="2:19" x14ac:dyDescent="0.2">
      <c r="B56" s="34"/>
      <c r="C56" s="192"/>
      <c r="D56" s="339" t="s">
        <v>334</v>
      </c>
      <c r="E56" s="192"/>
      <c r="F56" s="192"/>
      <c r="G56" s="192"/>
      <c r="H56" s="192"/>
      <c r="I56" s="192"/>
      <c r="J56" s="192"/>
      <c r="K56" s="192"/>
      <c r="L56" s="192"/>
      <c r="M56" s="192"/>
      <c r="N56" s="192"/>
      <c r="O56" s="192"/>
      <c r="P56" s="192"/>
      <c r="Q56" s="192"/>
      <c r="R56" s="192"/>
      <c r="S56" s="38"/>
    </row>
    <row r="57" spans="2:19" x14ac:dyDescent="0.2">
      <c r="B57" s="34"/>
      <c r="C57" s="192"/>
      <c r="D57" s="343" t="s">
        <v>335</v>
      </c>
      <c r="E57" s="192"/>
      <c r="F57" s="192"/>
      <c r="G57" s="192"/>
      <c r="H57" s="192"/>
      <c r="I57" s="192"/>
      <c r="J57" s="192"/>
      <c r="K57" s="192"/>
      <c r="L57" s="192"/>
      <c r="M57" s="192"/>
      <c r="N57" s="192"/>
      <c r="O57" s="192"/>
      <c r="P57" s="192"/>
      <c r="Q57" s="192"/>
      <c r="R57" s="192"/>
      <c r="S57" s="38"/>
    </row>
    <row r="58" spans="2:19" x14ac:dyDescent="0.2">
      <c r="B58" s="34"/>
      <c r="C58" s="192"/>
      <c r="D58" s="342" t="s">
        <v>336</v>
      </c>
      <c r="E58" s="192"/>
      <c r="F58" s="192"/>
      <c r="G58" s="192"/>
      <c r="H58" s="192"/>
      <c r="I58" s="192"/>
      <c r="J58" s="192"/>
      <c r="K58" s="192"/>
      <c r="L58" s="192"/>
      <c r="M58" s="192"/>
      <c r="N58" s="192"/>
      <c r="O58" s="192"/>
      <c r="P58" s="192"/>
      <c r="Q58" s="192"/>
      <c r="R58" s="192"/>
      <c r="S58" s="38"/>
    </row>
    <row r="59" spans="2:19" x14ac:dyDescent="0.2">
      <c r="B59" s="34"/>
      <c r="C59" s="192"/>
      <c r="D59" s="339" t="s">
        <v>337</v>
      </c>
      <c r="E59" s="192"/>
      <c r="F59" s="192"/>
      <c r="G59" s="192"/>
      <c r="H59" s="192"/>
      <c r="I59" s="192"/>
      <c r="J59" s="192"/>
      <c r="K59" s="192"/>
      <c r="L59" s="192"/>
      <c r="M59" s="192"/>
      <c r="N59" s="192"/>
      <c r="O59" s="192"/>
      <c r="P59" s="192"/>
      <c r="Q59" s="192"/>
      <c r="R59" s="192"/>
      <c r="S59" s="38"/>
    </row>
    <row r="60" spans="2:19" x14ac:dyDescent="0.2">
      <c r="B60" s="34"/>
      <c r="C60" s="192"/>
      <c r="D60" s="339" t="s">
        <v>338</v>
      </c>
      <c r="E60" s="192"/>
      <c r="F60" s="192"/>
      <c r="G60" s="192"/>
      <c r="H60" s="192"/>
      <c r="I60" s="192"/>
      <c r="J60" s="192"/>
      <c r="K60" s="192"/>
      <c r="L60" s="192"/>
      <c r="M60" s="192"/>
      <c r="N60" s="192"/>
      <c r="O60" s="192"/>
      <c r="P60" s="192"/>
      <c r="Q60" s="192"/>
      <c r="R60" s="192"/>
      <c r="S60" s="38"/>
    </row>
    <row r="61" spans="2:19" x14ac:dyDescent="0.2">
      <c r="B61" s="34"/>
      <c r="C61" s="192"/>
      <c r="D61" s="339" t="s">
        <v>339</v>
      </c>
      <c r="E61" s="192"/>
      <c r="F61" s="192"/>
      <c r="G61" s="192"/>
      <c r="H61" s="192"/>
      <c r="I61" s="192"/>
      <c r="J61" s="192"/>
      <c r="K61" s="192"/>
      <c r="L61" s="192"/>
      <c r="M61" s="192"/>
      <c r="N61" s="192"/>
      <c r="O61" s="192"/>
      <c r="P61" s="192"/>
      <c r="Q61" s="192"/>
      <c r="R61" s="192"/>
      <c r="S61" s="38"/>
    </row>
    <row r="62" spans="2:19" x14ac:dyDescent="0.2">
      <c r="B62" s="34"/>
      <c r="C62" s="192"/>
      <c r="D62" s="339"/>
      <c r="E62" s="192"/>
      <c r="F62" s="192"/>
      <c r="G62" s="192"/>
      <c r="H62" s="192"/>
      <c r="I62" s="192"/>
      <c r="J62" s="192"/>
      <c r="K62" s="192"/>
      <c r="L62" s="192"/>
      <c r="M62" s="192"/>
      <c r="N62" s="192"/>
      <c r="O62" s="192"/>
      <c r="P62" s="192"/>
      <c r="Q62" s="192"/>
      <c r="R62" s="192"/>
      <c r="S62" s="38"/>
    </row>
    <row r="63" spans="2:19" x14ac:dyDescent="0.2">
      <c r="B63" s="34"/>
      <c r="C63" s="192"/>
      <c r="D63" s="344" t="s">
        <v>340</v>
      </c>
      <c r="E63" s="192"/>
      <c r="F63" s="192"/>
      <c r="G63" s="192"/>
      <c r="H63" s="192"/>
      <c r="I63" s="192"/>
      <c r="J63" s="192"/>
      <c r="K63" s="192"/>
      <c r="L63" s="192"/>
      <c r="M63" s="192"/>
      <c r="N63" s="192"/>
      <c r="O63" s="192"/>
      <c r="P63" s="192"/>
      <c r="Q63" s="192"/>
      <c r="R63" s="192"/>
      <c r="S63" s="38"/>
    </row>
    <row r="64" spans="2:19" x14ac:dyDescent="0.2">
      <c r="B64" s="34"/>
      <c r="C64" s="192"/>
      <c r="D64" s="192" t="s">
        <v>145</v>
      </c>
      <c r="E64" s="192"/>
      <c r="F64" s="192"/>
      <c r="G64" s="192"/>
      <c r="H64" s="192"/>
      <c r="I64" s="192"/>
      <c r="J64" s="192"/>
      <c r="K64" s="192"/>
      <c r="L64" s="192"/>
      <c r="M64" s="192"/>
      <c r="N64" s="192"/>
      <c r="O64" s="192"/>
      <c r="P64" s="192"/>
      <c r="Q64" s="192"/>
      <c r="R64" s="192"/>
      <c r="S64" s="38"/>
    </row>
    <row r="65" spans="2:19" x14ac:dyDescent="0.2">
      <c r="B65" s="34"/>
      <c r="C65" s="192"/>
      <c r="D65" s="192" t="s">
        <v>146</v>
      </c>
      <c r="E65" s="192"/>
      <c r="F65" s="192"/>
      <c r="G65" s="192"/>
      <c r="H65" s="192"/>
      <c r="I65" s="192"/>
      <c r="J65" s="192"/>
      <c r="K65" s="192"/>
      <c r="L65" s="192"/>
      <c r="M65" s="192"/>
      <c r="N65" s="192"/>
      <c r="O65" s="192"/>
      <c r="P65" s="192"/>
      <c r="Q65" s="192"/>
      <c r="R65" s="192"/>
      <c r="S65" s="38"/>
    </row>
    <row r="66" spans="2:19" x14ac:dyDescent="0.2">
      <c r="B66" s="34"/>
      <c r="C66" s="192"/>
      <c r="D66" s="192" t="s">
        <v>147</v>
      </c>
      <c r="E66" s="192"/>
      <c r="F66" s="192"/>
      <c r="G66" s="192"/>
      <c r="H66" s="192"/>
      <c r="I66" s="192"/>
      <c r="J66" s="192"/>
      <c r="K66" s="192"/>
      <c r="L66" s="192"/>
      <c r="M66" s="192"/>
      <c r="N66" s="192"/>
      <c r="O66" s="192"/>
      <c r="P66" s="192"/>
      <c r="Q66" s="192"/>
      <c r="R66" s="192"/>
      <c r="S66" s="38"/>
    </row>
    <row r="67" spans="2:19" x14ac:dyDescent="0.2">
      <c r="B67" s="34"/>
      <c r="C67" s="192"/>
      <c r="D67" s="192" t="s">
        <v>148</v>
      </c>
      <c r="E67" s="192"/>
      <c r="F67" s="192"/>
      <c r="G67" s="192"/>
      <c r="H67" s="192"/>
      <c r="I67" s="192"/>
      <c r="J67" s="192"/>
      <c r="K67" s="192"/>
      <c r="L67" s="192"/>
      <c r="M67" s="192"/>
      <c r="N67" s="192"/>
      <c r="O67" s="192"/>
      <c r="P67" s="192"/>
      <c r="Q67" s="192"/>
      <c r="R67" s="192"/>
      <c r="S67" s="38"/>
    </row>
    <row r="68" spans="2:19" x14ac:dyDescent="0.2">
      <c r="B68" s="34"/>
      <c r="C68" s="192"/>
      <c r="D68" s="192"/>
      <c r="E68" s="192"/>
      <c r="F68" s="192"/>
      <c r="G68" s="192"/>
      <c r="H68" s="192"/>
      <c r="I68" s="192"/>
      <c r="J68" s="192"/>
      <c r="K68" s="192"/>
      <c r="L68" s="192"/>
      <c r="M68" s="192"/>
      <c r="N68" s="192"/>
      <c r="O68" s="192"/>
      <c r="P68" s="192"/>
      <c r="Q68" s="192"/>
      <c r="R68" s="192"/>
      <c r="S68" s="38"/>
    </row>
    <row r="69" spans="2:19" x14ac:dyDescent="0.2">
      <c r="B69" s="34"/>
      <c r="C69" s="192"/>
      <c r="D69" s="192" t="s">
        <v>149</v>
      </c>
      <c r="E69" s="192"/>
      <c r="F69" s="192"/>
      <c r="G69" s="192"/>
      <c r="H69" s="192"/>
      <c r="I69" s="192"/>
      <c r="J69" s="192"/>
      <c r="K69" s="192"/>
      <c r="L69" s="192"/>
      <c r="M69" s="192"/>
      <c r="N69" s="192"/>
      <c r="O69" s="192"/>
      <c r="P69" s="192"/>
      <c r="Q69" s="192"/>
      <c r="R69" s="192"/>
      <c r="S69" s="38"/>
    </row>
    <row r="70" spans="2:19" x14ac:dyDescent="0.2">
      <c r="B70" s="34"/>
      <c r="C70" s="192"/>
      <c r="D70" s="339" t="s">
        <v>341</v>
      </c>
      <c r="E70" s="192"/>
      <c r="F70" s="192"/>
      <c r="G70" s="192"/>
      <c r="H70" s="192"/>
      <c r="I70" s="192"/>
      <c r="J70" s="192"/>
      <c r="K70" s="192"/>
      <c r="L70" s="192"/>
      <c r="M70" s="192"/>
      <c r="N70" s="192"/>
      <c r="O70" s="192"/>
      <c r="P70" s="192"/>
      <c r="Q70" s="192"/>
      <c r="R70" s="192"/>
      <c r="S70" s="38"/>
    </row>
    <row r="71" spans="2:19" x14ac:dyDescent="0.2">
      <c r="B71" s="34"/>
      <c r="C71" s="192"/>
      <c r="D71" s="192" t="s">
        <v>150</v>
      </c>
      <c r="E71" s="192"/>
      <c r="F71" s="192"/>
      <c r="G71" s="192"/>
      <c r="H71" s="192"/>
      <c r="I71" s="192"/>
      <c r="J71" s="192"/>
      <c r="K71" s="192"/>
      <c r="L71" s="192"/>
      <c r="M71" s="192"/>
      <c r="N71" s="192"/>
      <c r="O71" s="192"/>
      <c r="P71" s="192"/>
      <c r="Q71" s="192"/>
      <c r="R71" s="192"/>
      <c r="S71" s="38"/>
    </row>
    <row r="72" spans="2:19" x14ac:dyDescent="0.2">
      <c r="B72" s="34"/>
      <c r="C72" s="192"/>
      <c r="D72" s="192" t="s">
        <v>151</v>
      </c>
      <c r="E72" s="192"/>
      <c r="F72" s="192"/>
      <c r="G72" s="192"/>
      <c r="H72" s="192"/>
      <c r="I72" s="192"/>
      <c r="J72" s="192"/>
      <c r="K72" s="192"/>
      <c r="L72" s="192"/>
      <c r="M72" s="192"/>
      <c r="N72" s="192"/>
      <c r="O72" s="192"/>
      <c r="P72" s="192"/>
      <c r="Q72" s="192"/>
      <c r="R72" s="192"/>
      <c r="S72" s="38"/>
    </row>
    <row r="73" spans="2:19" x14ac:dyDescent="0.2">
      <c r="B73" s="34"/>
      <c r="C73" s="192"/>
      <c r="D73" s="192"/>
      <c r="E73" s="192"/>
      <c r="F73" s="192"/>
      <c r="G73" s="192"/>
      <c r="H73" s="192"/>
      <c r="I73" s="192"/>
      <c r="J73" s="192"/>
      <c r="K73" s="192"/>
      <c r="L73" s="192"/>
      <c r="M73" s="192"/>
      <c r="N73" s="192"/>
      <c r="O73" s="192"/>
      <c r="P73" s="192"/>
      <c r="Q73" s="192"/>
      <c r="R73" s="192"/>
      <c r="S73" s="38"/>
    </row>
    <row r="74" spans="2:19" x14ac:dyDescent="0.2">
      <c r="B74" s="34"/>
      <c r="C74" s="192"/>
      <c r="D74" s="192" t="s">
        <v>152</v>
      </c>
      <c r="E74" s="192"/>
      <c r="F74" s="192"/>
      <c r="G74" s="192"/>
      <c r="H74" s="192"/>
      <c r="I74" s="192"/>
      <c r="J74" s="192"/>
      <c r="K74" s="192"/>
      <c r="L74" s="192"/>
      <c r="M74" s="192"/>
      <c r="N74" s="192"/>
      <c r="O74" s="192"/>
      <c r="P74" s="192"/>
      <c r="Q74" s="192"/>
      <c r="R74" s="192"/>
      <c r="S74" s="38"/>
    </row>
    <row r="75" spans="2:19" x14ac:dyDescent="0.2">
      <c r="B75" s="34"/>
      <c r="C75" s="192"/>
      <c r="D75" s="192" t="s">
        <v>153</v>
      </c>
      <c r="E75" s="192"/>
      <c r="F75" s="192"/>
      <c r="G75" s="192"/>
      <c r="H75" s="192"/>
      <c r="I75" s="192"/>
      <c r="J75" s="192"/>
      <c r="K75" s="192"/>
      <c r="L75" s="192"/>
      <c r="M75" s="192"/>
      <c r="N75" s="192"/>
      <c r="O75" s="192"/>
      <c r="P75" s="192"/>
      <c r="Q75" s="192"/>
      <c r="R75" s="192"/>
      <c r="S75" s="38"/>
    </row>
    <row r="76" spans="2:19" x14ac:dyDescent="0.2">
      <c r="B76" s="34"/>
      <c r="C76" s="192"/>
      <c r="D76" s="192" t="s">
        <v>154</v>
      </c>
      <c r="E76" s="192"/>
      <c r="F76" s="192"/>
      <c r="G76" s="192"/>
      <c r="H76" s="192"/>
      <c r="I76" s="192"/>
      <c r="J76" s="192"/>
      <c r="K76" s="192"/>
      <c r="L76" s="192"/>
      <c r="M76" s="192"/>
      <c r="N76" s="192"/>
      <c r="O76" s="192"/>
      <c r="P76" s="192"/>
      <c r="Q76" s="192"/>
      <c r="R76" s="192"/>
      <c r="S76" s="38"/>
    </row>
    <row r="77" spans="2:19" x14ac:dyDescent="0.2">
      <c r="B77" s="34"/>
      <c r="C77" s="192"/>
      <c r="D77" s="192" t="s">
        <v>155</v>
      </c>
      <c r="E77" s="192"/>
      <c r="F77" s="192"/>
      <c r="G77" s="192"/>
      <c r="H77" s="192"/>
      <c r="I77" s="192"/>
      <c r="J77" s="192"/>
      <c r="K77" s="192"/>
      <c r="L77" s="192"/>
      <c r="M77" s="192"/>
      <c r="N77" s="192"/>
      <c r="O77" s="192"/>
      <c r="P77" s="192"/>
      <c r="Q77" s="192"/>
      <c r="R77" s="192"/>
      <c r="S77" s="38"/>
    </row>
    <row r="78" spans="2:19" x14ac:dyDescent="0.2">
      <c r="B78" s="34"/>
      <c r="C78" s="192"/>
      <c r="D78" s="192"/>
      <c r="E78" s="192"/>
      <c r="F78" s="192"/>
      <c r="G78" s="192"/>
      <c r="H78" s="192"/>
      <c r="I78" s="192"/>
      <c r="J78" s="192"/>
      <c r="K78" s="192"/>
      <c r="L78" s="192"/>
      <c r="M78" s="192"/>
      <c r="N78" s="192"/>
      <c r="O78" s="192"/>
      <c r="P78" s="192"/>
      <c r="Q78" s="192"/>
      <c r="R78" s="192"/>
      <c r="S78" s="38"/>
    </row>
    <row r="79" spans="2:19" x14ac:dyDescent="0.2">
      <c r="B79" s="34"/>
      <c r="C79" s="192"/>
      <c r="D79" s="201" t="s">
        <v>156</v>
      </c>
      <c r="E79" s="192"/>
      <c r="F79" s="192"/>
      <c r="G79" s="192"/>
      <c r="H79" s="192"/>
      <c r="I79" s="192"/>
      <c r="J79" s="192"/>
      <c r="K79" s="192"/>
      <c r="L79" s="192"/>
      <c r="M79" s="192"/>
      <c r="N79" s="192"/>
      <c r="O79" s="192"/>
      <c r="P79" s="192"/>
      <c r="Q79" s="192"/>
      <c r="R79" s="192"/>
      <c r="S79" s="38"/>
    </row>
    <row r="80" spans="2:19" x14ac:dyDescent="0.2">
      <c r="B80" s="34"/>
      <c r="C80" s="192"/>
      <c r="D80" s="201" t="s">
        <v>308</v>
      </c>
      <c r="E80" s="192"/>
      <c r="F80" s="192"/>
      <c r="G80" s="192"/>
      <c r="H80" s="192"/>
      <c r="I80" s="192"/>
      <c r="J80" s="192"/>
      <c r="K80" s="192"/>
      <c r="L80" s="192"/>
      <c r="M80" s="192"/>
      <c r="N80" s="192"/>
      <c r="O80" s="192"/>
      <c r="P80" s="192"/>
      <c r="Q80" s="192"/>
      <c r="R80" s="192"/>
      <c r="S80" s="38"/>
    </row>
    <row r="81" spans="2:19" x14ac:dyDescent="0.2">
      <c r="B81" s="34"/>
      <c r="C81" s="192"/>
      <c r="D81" s="201" t="s">
        <v>309</v>
      </c>
      <c r="E81" s="192"/>
      <c r="F81" s="192"/>
      <c r="G81" s="192"/>
      <c r="H81" s="192"/>
      <c r="I81" s="192"/>
      <c r="J81" s="192"/>
      <c r="K81" s="192"/>
      <c r="L81" s="192"/>
      <c r="M81" s="192"/>
      <c r="N81" s="192"/>
      <c r="O81" s="192"/>
      <c r="P81" s="192"/>
      <c r="Q81" s="192"/>
      <c r="R81" s="192"/>
      <c r="S81" s="38"/>
    </row>
    <row r="82" spans="2:19" x14ac:dyDescent="0.2">
      <c r="B82" s="34"/>
      <c r="C82" s="192"/>
      <c r="D82" s="201" t="s">
        <v>306</v>
      </c>
      <c r="E82" s="192"/>
      <c r="F82" s="192"/>
      <c r="G82" s="192"/>
      <c r="H82" s="192"/>
      <c r="I82" s="192"/>
      <c r="J82" s="192"/>
      <c r="K82" s="192"/>
      <c r="L82" s="192"/>
      <c r="M82" s="192"/>
      <c r="N82" s="192"/>
      <c r="O82" s="192"/>
      <c r="P82" s="192"/>
      <c r="Q82" s="192"/>
      <c r="R82" s="192"/>
      <c r="S82" s="38"/>
    </row>
    <row r="83" spans="2:19" x14ac:dyDescent="0.2">
      <c r="B83" s="34"/>
      <c r="C83" s="192"/>
      <c r="D83" s="192"/>
      <c r="E83" s="192"/>
      <c r="F83" s="192"/>
      <c r="G83" s="192"/>
      <c r="H83" s="192"/>
      <c r="I83" s="192"/>
      <c r="J83" s="192"/>
      <c r="K83" s="192"/>
      <c r="L83" s="192"/>
      <c r="M83" s="192"/>
      <c r="N83" s="192"/>
      <c r="O83" s="192"/>
      <c r="P83" s="192"/>
      <c r="Q83" s="192"/>
      <c r="R83" s="192"/>
      <c r="S83" s="38"/>
    </row>
    <row r="84" spans="2:19" x14ac:dyDescent="0.2">
      <c r="B84" s="34"/>
      <c r="C84" s="192"/>
      <c r="D84" s="201" t="s">
        <v>31</v>
      </c>
      <c r="E84" s="192"/>
      <c r="F84" s="192"/>
      <c r="G84" s="192"/>
      <c r="H84" s="192"/>
      <c r="I84" s="192"/>
      <c r="J84" s="192"/>
      <c r="K84" s="192"/>
      <c r="L84" s="192"/>
      <c r="M84" s="192"/>
      <c r="N84" s="192"/>
      <c r="O84" s="192"/>
      <c r="P84" s="192"/>
      <c r="Q84" s="192"/>
      <c r="R84" s="192"/>
      <c r="S84" s="38"/>
    </row>
    <row r="85" spans="2:19" x14ac:dyDescent="0.2">
      <c r="B85" s="34"/>
      <c r="C85" s="192"/>
      <c r="D85" s="192" t="s">
        <v>157</v>
      </c>
      <c r="E85" s="192"/>
      <c r="F85" s="192"/>
      <c r="G85" s="192"/>
      <c r="H85" s="192"/>
      <c r="I85" s="192"/>
      <c r="J85" s="192"/>
      <c r="K85" s="192"/>
      <c r="L85" s="192"/>
      <c r="M85" s="192"/>
      <c r="N85" s="192"/>
      <c r="O85" s="192"/>
      <c r="P85" s="192"/>
      <c r="Q85" s="192"/>
      <c r="R85" s="192"/>
      <c r="S85" s="38"/>
    </row>
    <row r="86" spans="2:19" x14ac:dyDescent="0.2">
      <c r="B86" s="34"/>
      <c r="C86" s="192"/>
      <c r="D86" s="192"/>
      <c r="E86" s="192"/>
      <c r="F86" s="192"/>
      <c r="G86" s="192"/>
      <c r="H86" s="192"/>
      <c r="I86" s="192"/>
      <c r="J86" s="192"/>
      <c r="K86" s="192"/>
      <c r="L86" s="192"/>
      <c r="M86" s="192"/>
      <c r="N86" s="192"/>
      <c r="O86" s="192"/>
      <c r="P86" s="192"/>
      <c r="Q86" s="192"/>
      <c r="R86" s="192"/>
      <c r="S86" s="38"/>
    </row>
    <row r="87" spans="2:19" x14ac:dyDescent="0.2">
      <c r="B87" s="34"/>
      <c r="C87" s="192"/>
      <c r="D87" s="201" t="s">
        <v>158</v>
      </c>
      <c r="E87" s="192"/>
      <c r="F87" s="192"/>
      <c r="G87" s="192"/>
      <c r="H87" s="192"/>
      <c r="I87" s="192"/>
      <c r="J87" s="192"/>
      <c r="K87" s="192"/>
      <c r="L87" s="192"/>
      <c r="M87" s="192"/>
      <c r="N87" s="192"/>
      <c r="O87" s="192"/>
      <c r="P87" s="192"/>
      <c r="Q87" s="192"/>
      <c r="R87" s="192"/>
      <c r="S87" s="38"/>
    </row>
    <row r="88" spans="2:19" x14ac:dyDescent="0.2">
      <c r="B88" s="34"/>
      <c r="C88" s="192"/>
      <c r="D88" s="192" t="s">
        <v>159</v>
      </c>
      <c r="E88" s="192"/>
      <c r="F88" s="192"/>
      <c r="G88" s="192"/>
      <c r="H88" s="192"/>
      <c r="I88" s="192"/>
      <c r="J88" s="192"/>
      <c r="K88" s="192"/>
      <c r="L88" s="192"/>
      <c r="M88" s="192"/>
      <c r="N88" s="192"/>
      <c r="O88" s="192"/>
      <c r="P88" s="192"/>
      <c r="Q88" s="192"/>
      <c r="R88" s="192"/>
      <c r="S88" s="38"/>
    </row>
    <row r="89" spans="2:19" x14ac:dyDescent="0.2">
      <c r="B89" s="34"/>
      <c r="C89" s="192"/>
      <c r="D89" s="192"/>
      <c r="E89" s="192"/>
      <c r="F89" s="192"/>
      <c r="G89" s="192"/>
      <c r="H89" s="192"/>
      <c r="I89" s="192"/>
      <c r="J89" s="192"/>
      <c r="K89" s="192"/>
      <c r="L89" s="192"/>
      <c r="M89" s="192"/>
      <c r="N89" s="192"/>
      <c r="O89" s="192"/>
      <c r="P89" s="192"/>
      <c r="Q89" s="192"/>
      <c r="R89" s="192"/>
      <c r="S89" s="38"/>
    </row>
    <row r="90" spans="2:19" x14ac:dyDescent="0.2">
      <c r="B90" s="34"/>
      <c r="C90" s="192"/>
      <c r="D90" s="201" t="s">
        <v>160</v>
      </c>
      <c r="E90" s="192"/>
      <c r="F90" s="192"/>
      <c r="G90" s="192"/>
      <c r="H90" s="192"/>
      <c r="I90" s="192"/>
      <c r="J90" s="192"/>
      <c r="K90" s="192"/>
      <c r="L90" s="192"/>
      <c r="M90" s="192"/>
      <c r="N90" s="192"/>
      <c r="O90" s="192"/>
      <c r="P90" s="192"/>
      <c r="Q90" s="192"/>
      <c r="R90" s="192"/>
      <c r="S90" s="38"/>
    </row>
    <row r="91" spans="2:19" x14ac:dyDescent="0.2">
      <c r="B91" s="34"/>
      <c r="C91" s="192"/>
      <c r="D91" s="192" t="s">
        <v>161</v>
      </c>
      <c r="E91" s="192"/>
      <c r="F91" s="192"/>
      <c r="G91" s="192"/>
      <c r="H91" s="192"/>
      <c r="I91" s="192"/>
      <c r="J91" s="192"/>
      <c r="K91" s="192"/>
      <c r="L91" s="192"/>
      <c r="M91" s="192"/>
      <c r="N91" s="192"/>
      <c r="O91" s="192"/>
      <c r="P91" s="192"/>
      <c r="Q91" s="200"/>
      <c r="R91" s="192"/>
      <c r="S91" s="38"/>
    </row>
    <row r="92" spans="2:19" x14ac:dyDescent="0.2">
      <c r="B92" s="34"/>
      <c r="C92" s="192"/>
      <c r="D92" s="192"/>
      <c r="E92" s="192"/>
      <c r="F92" s="192"/>
      <c r="G92" s="192"/>
      <c r="H92" s="192"/>
      <c r="I92" s="192"/>
      <c r="J92" s="192"/>
      <c r="K92" s="192"/>
      <c r="L92" s="192"/>
      <c r="M92" s="192"/>
      <c r="N92" s="192"/>
      <c r="O92" s="192"/>
      <c r="P92" s="192"/>
      <c r="Q92" s="200"/>
      <c r="R92" s="192"/>
      <c r="S92" s="38"/>
    </row>
    <row r="93" spans="2:19" x14ac:dyDescent="0.2">
      <c r="B93" s="34"/>
      <c r="C93" s="192"/>
      <c r="D93" s="201" t="s">
        <v>162</v>
      </c>
      <c r="E93" s="192"/>
      <c r="F93" s="192"/>
      <c r="G93" s="192"/>
      <c r="H93" s="192"/>
      <c r="I93" s="192"/>
      <c r="J93" s="192"/>
      <c r="K93" s="192"/>
      <c r="L93" s="192"/>
      <c r="M93" s="192"/>
      <c r="N93" s="192"/>
      <c r="O93" s="192"/>
      <c r="P93" s="192"/>
      <c r="Q93" s="200"/>
      <c r="R93" s="192"/>
      <c r="S93" s="38"/>
    </row>
    <row r="94" spans="2:19" x14ac:dyDescent="0.2">
      <c r="B94" s="34"/>
      <c r="C94" s="192"/>
      <c r="D94" s="192" t="s">
        <v>163</v>
      </c>
      <c r="E94" s="192"/>
      <c r="F94" s="192"/>
      <c r="G94" s="192"/>
      <c r="H94" s="192"/>
      <c r="I94" s="192"/>
      <c r="J94" s="192"/>
      <c r="K94" s="192"/>
      <c r="L94" s="192"/>
      <c r="M94" s="192"/>
      <c r="N94" s="192"/>
      <c r="O94" s="192"/>
      <c r="P94" s="192"/>
      <c r="Q94" s="192"/>
      <c r="R94" s="192"/>
      <c r="S94" s="38"/>
    </row>
    <row r="95" spans="2:19" x14ac:dyDescent="0.2">
      <c r="B95" s="34"/>
      <c r="C95" s="192"/>
      <c r="D95" s="192" t="s">
        <v>164</v>
      </c>
      <c r="E95" s="192"/>
      <c r="F95" s="192"/>
      <c r="G95" s="192"/>
      <c r="H95" s="192"/>
      <c r="I95" s="192"/>
      <c r="J95" s="192"/>
      <c r="K95" s="192"/>
      <c r="L95" s="192"/>
      <c r="M95" s="192"/>
      <c r="N95" s="192"/>
      <c r="O95" s="192"/>
      <c r="P95" s="192"/>
      <c r="Q95" s="192"/>
      <c r="R95" s="192"/>
      <c r="S95" s="38"/>
    </row>
    <row r="96" spans="2:19" ht="13.5" thickBot="1" x14ac:dyDescent="0.25">
      <c r="B96" s="318"/>
      <c r="C96" s="319"/>
      <c r="D96" s="319"/>
      <c r="E96" s="319"/>
      <c r="F96" s="319"/>
      <c r="G96" s="319"/>
      <c r="H96" s="319"/>
      <c r="I96" s="319"/>
      <c r="J96" s="319"/>
      <c r="K96" s="319"/>
      <c r="L96" s="319"/>
      <c r="M96" s="319"/>
      <c r="N96" s="319"/>
      <c r="O96" s="319"/>
      <c r="P96" s="319"/>
      <c r="Q96" s="319"/>
      <c r="R96" s="319"/>
      <c r="S96" s="320"/>
    </row>
    <row r="97" spans="2:19" x14ac:dyDescent="0.2">
      <c r="B97" s="29"/>
      <c r="C97" s="321"/>
      <c r="D97" s="321"/>
      <c r="E97" s="321"/>
      <c r="F97" s="321"/>
      <c r="G97" s="321"/>
      <c r="H97" s="321"/>
      <c r="I97" s="321"/>
      <c r="J97" s="321"/>
      <c r="K97" s="321"/>
      <c r="L97" s="321"/>
      <c r="M97" s="321"/>
      <c r="N97" s="321"/>
      <c r="O97" s="321"/>
      <c r="P97" s="321"/>
      <c r="Q97" s="321"/>
      <c r="R97" s="321"/>
      <c r="S97" s="33"/>
    </row>
    <row r="98" spans="2:19" x14ac:dyDescent="0.2">
      <c r="B98" s="34"/>
      <c r="C98" s="199" t="s">
        <v>165</v>
      </c>
      <c r="D98" s="193" t="s">
        <v>166</v>
      </c>
      <c r="E98" s="192"/>
      <c r="F98" s="192"/>
      <c r="G98" s="192"/>
      <c r="H98" s="192"/>
      <c r="I98" s="192"/>
      <c r="J98" s="192"/>
      <c r="K98" s="192"/>
      <c r="L98" s="192"/>
      <c r="M98" s="192"/>
      <c r="N98" s="192"/>
      <c r="O98" s="192"/>
      <c r="P98" s="192"/>
      <c r="Q98" s="192"/>
      <c r="R98" s="192"/>
      <c r="S98" s="38"/>
    </row>
    <row r="99" spans="2:19" x14ac:dyDescent="0.2">
      <c r="B99" s="34"/>
      <c r="C99" s="199"/>
      <c r="D99" s="193"/>
      <c r="E99" s="192"/>
      <c r="F99" s="192"/>
      <c r="G99" s="192"/>
      <c r="H99" s="192"/>
      <c r="I99" s="192"/>
      <c r="J99" s="192"/>
      <c r="K99" s="192"/>
      <c r="L99" s="192"/>
      <c r="M99" s="192"/>
      <c r="N99" s="192"/>
      <c r="O99" s="192"/>
      <c r="P99" s="192"/>
      <c r="Q99" s="192"/>
      <c r="R99" s="192"/>
      <c r="S99" s="38"/>
    </row>
    <row r="100" spans="2:19" x14ac:dyDescent="0.2">
      <c r="B100" s="34"/>
      <c r="C100" s="199"/>
      <c r="D100" s="201" t="s">
        <v>48</v>
      </c>
      <c r="E100" s="192"/>
      <c r="F100" s="192"/>
      <c r="G100" s="192"/>
      <c r="H100" s="192"/>
      <c r="I100" s="192"/>
      <c r="J100" s="192"/>
      <c r="K100" s="192"/>
      <c r="L100" s="192"/>
      <c r="M100" s="192"/>
      <c r="N100" s="192"/>
      <c r="O100" s="192"/>
      <c r="P100" s="192"/>
      <c r="Q100" s="192"/>
      <c r="R100" s="192"/>
      <c r="S100" s="38"/>
    </row>
    <row r="101" spans="2:19" x14ac:dyDescent="0.2">
      <c r="B101" s="34"/>
      <c r="C101" s="199"/>
      <c r="D101" s="192" t="s">
        <v>167</v>
      </c>
      <c r="E101" s="192"/>
      <c r="F101" s="192"/>
      <c r="G101" s="192"/>
      <c r="H101" s="192"/>
      <c r="I101" s="192"/>
      <c r="J101" s="192"/>
      <c r="K101" s="192"/>
      <c r="L101" s="192"/>
      <c r="M101" s="192"/>
      <c r="N101" s="192"/>
      <c r="O101" s="192"/>
      <c r="P101" s="192"/>
      <c r="Q101" s="192"/>
      <c r="R101" s="192"/>
      <c r="S101" s="38"/>
    </row>
    <row r="102" spans="2:19" x14ac:dyDescent="0.2">
      <c r="B102" s="34"/>
      <c r="C102" s="199"/>
      <c r="D102" s="192" t="s">
        <v>168</v>
      </c>
      <c r="E102" s="192"/>
      <c r="F102" s="192"/>
      <c r="G102" s="192"/>
      <c r="H102" s="192"/>
      <c r="I102" s="192"/>
      <c r="J102" s="192"/>
      <c r="K102" s="192"/>
      <c r="L102" s="192"/>
      <c r="M102" s="192"/>
      <c r="N102" s="192"/>
      <c r="O102" s="192"/>
      <c r="P102" s="192"/>
      <c r="Q102" s="192"/>
      <c r="R102" s="192"/>
      <c r="S102" s="38"/>
    </row>
    <row r="103" spans="2:19" x14ac:dyDescent="0.2">
      <c r="B103" s="34"/>
      <c r="C103" s="199"/>
      <c r="D103" s="192" t="s">
        <v>169</v>
      </c>
      <c r="E103" s="192"/>
      <c r="F103" s="192"/>
      <c r="G103" s="192"/>
      <c r="H103" s="192"/>
      <c r="I103" s="192"/>
      <c r="J103" s="192"/>
      <c r="K103" s="192"/>
      <c r="L103" s="192"/>
      <c r="M103" s="192"/>
      <c r="N103" s="192"/>
      <c r="O103" s="192"/>
      <c r="P103" s="192"/>
      <c r="Q103" s="192"/>
      <c r="R103" s="192"/>
      <c r="S103" s="38"/>
    </row>
    <row r="104" spans="2:19" x14ac:dyDescent="0.2">
      <c r="B104" s="34"/>
      <c r="C104" s="199"/>
      <c r="D104" s="192" t="s">
        <v>170</v>
      </c>
      <c r="E104" s="192"/>
      <c r="F104" s="192"/>
      <c r="G104" s="192"/>
      <c r="H104" s="192"/>
      <c r="I104" s="192"/>
      <c r="J104" s="192"/>
      <c r="K104" s="192"/>
      <c r="L104" s="192"/>
      <c r="M104" s="192"/>
      <c r="N104" s="192"/>
      <c r="O104" s="192"/>
      <c r="P104" s="192"/>
      <c r="Q104" s="192"/>
      <c r="R104" s="192"/>
      <c r="S104" s="38"/>
    </row>
    <row r="105" spans="2:19" x14ac:dyDescent="0.2">
      <c r="B105" s="34"/>
      <c r="C105" s="199"/>
      <c r="D105" s="192" t="s">
        <v>171</v>
      </c>
      <c r="E105" s="192"/>
      <c r="F105" s="192"/>
      <c r="G105" s="192"/>
      <c r="H105" s="192"/>
      <c r="I105" s="192"/>
      <c r="J105" s="192"/>
      <c r="K105" s="192"/>
      <c r="L105" s="192"/>
      <c r="M105" s="192"/>
      <c r="N105" s="192"/>
      <c r="O105" s="192"/>
      <c r="P105" s="192"/>
      <c r="Q105" s="192"/>
      <c r="R105" s="192"/>
      <c r="S105" s="38"/>
    </row>
    <row r="106" spans="2:19" x14ac:dyDescent="0.2">
      <c r="B106" s="34"/>
      <c r="C106" s="199"/>
      <c r="D106" s="192" t="s">
        <v>172</v>
      </c>
      <c r="E106" s="192"/>
      <c r="F106" s="192"/>
      <c r="G106" s="192"/>
      <c r="H106" s="192"/>
      <c r="I106" s="192"/>
      <c r="J106" s="192"/>
      <c r="K106" s="192"/>
      <c r="L106" s="192"/>
      <c r="M106" s="192"/>
      <c r="N106" s="192"/>
      <c r="O106" s="192"/>
      <c r="P106" s="192"/>
      <c r="Q106" s="192"/>
      <c r="R106" s="192"/>
      <c r="S106" s="38"/>
    </row>
    <row r="107" spans="2:19" x14ac:dyDescent="0.2">
      <c r="B107" s="34"/>
      <c r="C107" s="199"/>
      <c r="D107" s="192"/>
      <c r="E107" s="192"/>
      <c r="F107" s="192"/>
      <c r="G107" s="192"/>
      <c r="H107" s="192"/>
      <c r="I107" s="192"/>
      <c r="J107" s="192"/>
      <c r="K107" s="192"/>
      <c r="L107" s="192"/>
      <c r="M107" s="192"/>
      <c r="N107" s="192"/>
      <c r="O107" s="192"/>
      <c r="P107" s="192"/>
      <c r="Q107" s="192"/>
      <c r="R107" s="192"/>
      <c r="S107" s="38"/>
    </row>
    <row r="108" spans="2:19" x14ac:dyDescent="0.2">
      <c r="B108" s="34"/>
      <c r="C108" s="199"/>
      <c r="D108" s="201" t="s">
        <v>173</v>
      </c>
      <c r="E108" s="192"/>
      <c r="F108" s="192"/>
      <c r="G108" s="192"/>
      <c r="H108" s="192"/>
      <c r="I108" s="192"/>
      <c r="J108" s="192"/>
      <c r="K108" s="192"/>
      <c r="L108" s="192"/>
      <c r="M108" s="192"/>
      <c r="N108" s="192"/>
      <c r="O108" s="192"/>
      <c r="P108" s="192"/>
      <c r="Q108" s="192"/>
      <c r="R108" s="192"/>
      <c r="S108" s="38"/>
    </row>
    <row r="109" spans="2:19" x14ac:dyDescent="0.2">
      <c r="B109" s="34"/>
      <c r="C109" s="199"/>
      <c r="D109" s="192" t="s">
        <v>174</v>
      </c>
      <c r="E109" s="192"/>
      <c r="F109" s="192"/>
      <c r="G109" s="192"/>
      <c r="H109" s="192"/>
      <c r="I109" s="192"/>
      <c r="J109" s="192"/>
      <c r="K109" s="192"/>
      <c r="L109" s="192"/>
      <c r="M109" s="192"/>
      <c r="N109" s="192"/>
      <c r="O109" s="192"/>
      <c r="P109" s="192"/>
      <c r="Q109" s="192"/>
      <c r="R109" s="192"/>
      <c r="S109" s="38"/>
    </row>
    <row r="110" spans="2:19" x14ac:dyDescent="0.2">
      <c r="B110" s="34"/>
      <c r="C110" s="199"/>
      <c r="D110" s="192" t="s">
        <v>175</v>
      </c>
      <c r="E110" s="192"/>
      <c r="F110" s="192"/>
      <c r="G110" s="192"/>
      <c r="H110" s="192"/>
      <c r="I110" s="192"/>
      <c r="J110" s="192"/>
      <c r="K110" s="192"/>
      <c r="L110" s="192"/>
      <c r="M110" s="192"/>
      <c r="N110" s="192"/>
      <c r="O110" s="192"/>
      <c r="P110" s="192"/>
      <c r="Q110" s="192"/>
      <c r="R110" s="192"/>
      <c r="S110" s="38"/>
    </row>
    <row r="111" spans="2:19" x14ac:dyDescent="0.2">
      <c r="B111" s="34"/>
      <c r="C111" s="199"/>
      <c r="D111" s="192" t="s">
        <v>176</v>
      </c>
      <c r="E111" s="192"/>
      <c r="F111" s="192"/>
      <c r="G111" s="192"/>
      <c r="H111" s="192"/>
      <c r="I111" s="192"/>
      <c r="J111" s="192"/>
      <c r="K111" s="192"/>
      <c r="L111" s="192"/>
      <c r="M111" s="192"/>
      <c r="N111" s="192"/>
      <c r="O111" s="192"/>
      <c r="P111" s="192"/>
      <c r="Q111" s="192"/>
      <c r="R111" s="192"/>
      <c r="S111" s="38"/>
    </row>
    <row r="112" spans="2:19" x14ac:dyDescent="0.2">
      <c r="B112" s="34"/>
      <c r="C112" s="199"/>
      <c r="D112" s="192" t="s">
        <v>177</v>
      </c>
      <c r="E112" s="192"/>
      <c r="F112" s="192"/>
      <c r="G112" s="192"/>
      <c r="H112" s="192"/>
      <c r="I112" s="192"/>
      <c r="J112" s="192"/>
      <c r="K112" s="192"/>
      <c r="L112" s="192"/>
      <c r="M112" s="192"/>
      <c r="N112" s="192"/>
      <c r="O112" s="192"/>
      <c r="P112" s="192"/>
      <c r="Q112" s="192"/>
      <c r="R112" s="192"/>
      <c r="S112" s="38"/>
    </row>
    <row r="113" spans="2:19" x14ac:dyDescent="0.2">
      <c r="B113" s="34"/>
      <c r="C113" s="199"/>
      <c r="D113" s="192"/>
      <c r="E113" s="192"/>
      <c r="F113" s="192"/>
      <c r="G113" s="192"/>
      <c r="H113" s="192"/>
      <c r="I113" s="192"/>
      <c r="J113" s="192"/>
      <c r="K113" s="192"/>
      <c r="L113" s="192"/>
      <c r="M113" s="192"/>
      <c r="N113" s="192"/>
      <c r="O113" s="192"/>
      <c r="P113" s="192"/>
      <c r="Q113" s="192"/>
      <c r="R113" s="192"/>
      <c r="S113" s="38"/>
    </row>
    <row r="114" spans="2:19" x14ac:dyDescent="0.2">
      <c r="B114" s="34"/>
      <c r="C114" s="199" t="s">
        <v>178</v>
      </c>
      <c r="D114" s="193" t="s">
        <v>179</v>
      </c>
      <c r="E114" s="192"/>
      <c r="F114" s="192"/>
      <c r="G114" s="192"/>
      <c r="H114" s="192"/>
      <c r="I114" s="192"/>
      <c r="J114" s="192"/>
      <c r="K114" s="192"/>
      <c r="L114" s="192"/>
      <c r="M114" s="192"/>
      <c r="N114" s="192"/>
      <c r="O114" s="192"/>
      <c r="P114" s="192"/>
      <c r="Q114" s="192"/>
      <c r="R114" s="192"/>
      <c r="S114" s="38"/>
    </row>
    <row r="115" spans="2:19" x14ac:dyDescent="0.2">
      <c r="B115" s="34"/>
      <c r="C115" s="199"/>
      <c r="D115" s="193"/>
      <c r="E115" s="192"/>
      <c r="F115" s="192"/>
      <c r="G115" s="192"/>
      <c r="H115" s="192"/>
      <c r="I115" s="192"/>
      <c r="J115" s="192"/>
      <c r="K115" s="192"/>
      <c r="L115" s="192"/>
      <c r="M115" s="192"/>
      <c r="N115" s="192"/>
      <c r="O115" s="192"/>
      <c r="P115" s="192"/>
      <c r="Q115" s="192"/>
      <c r="R115" s="192"/>
      <c r="S115" s="38"/>
    </row>
    <row r="116" spans="2:19" x14ac:dyDescent="0.2">
      <c r="B116" s="34"/>
      <c r="C116" s="199"/>
      <c r="D116" s="192" t="s">
        <v>180</v>
      </c>
      <c r="E116" s="192"/>
      <c r="F116" s="192"/>
      <c r="G116" s="192"/>
      <c r="H116" s="192"/>
      <c r="I116" s="192"/>
      <c r="J116" s="192"/>
      <c r="K116" s="192"/>
      <c r="L116" s="192"/>
      <c r="M116" s="192"/>
      <c r="N116" s="192"/>
      <c r="O116" s="192"/>
      <c r="P116" s="192"/>
      <c r="Q116" s="192"/>
      <c r="R116" s="192"/>
      <c r="S116" s="38"/>
    </row>
    <row r="117" spans="2:19" x14ac:dyDescent="0.2">
      <c r="B117" s="34"/>
      <c r="C117" s="199"/>
      <c r="D117" s="192" t="s">
        <v>181</v>
      </c>
      <c r="E117" s="192"/>
      <c r="F117" s="192"/>
      <c r="G117" s="192"/>
      <c r="H117" s="192"/>
      <c r="I117" s="192"/>
      <c r="J117" s="192"/>
      <c r="K117" s="192"/>
      <c r="L117" s="192"/>
      <c r="M117" s="192"/>
      <c r="N117" s="192"/>
      <c r="O117" s="192"/>
      <c r="P117" s="192"/>
      <c r="Q117" s="192"/>
      <c r="R117" s="192"/>
      <c r="S117" s="38"/>
    </row>
    <row r="118" spans="2:19" x14ac:dyDescent="0.2">
      <c r="B118" s="34"/>
      <c r="C118" s="199"/>
      <c r="D118" s="192" t="s">
        <v>182</v>
      </c>
      <c r="E118" s="192"/>
      <c r="F118" s="192"/>
      <c r="G118" s="192"/>
      <c r="H118" s="192"/>
      <c r="I118" s="192"/>
      <c r="J118" s="192"/>
      <c r="K118" s="192"/>
      <c r="L118" s="192"/>
      <c r="M118" s="192"/>
      <c r="N118" s="192"/>
      <c r="O118" s="192"/>
      <c r="P118" s="192"/>
      <c r="Q118" s="192"/>
      <c r="R118" s="192"/>
      <c r="S118" s="38"/>
    </row>
    <row r="119" spans="2:19" x14ac:dyDescent="0.2">
      <c r="B119" s="34"/>
      <c r="C119" s="199"/>
      <c r="D119" s="192" t="s">
        <v>183</v>
      </c>
      <c r="E119" s="192"/>
      <c r="F119" s="192"/>
      <c r="G119" s="192"/>
      <c r="H119" s="192"/>
      <c r="I119" s="192"/>
      <c r="J119" s="192"/>
      <c r="K119" s="192"/>
      <c r="L119" s="192"/>
      <c r="M119" s="192"/>
      <c r="N119" s="192"/>
      <c r="O119" s="192"/>
      <c r="P119" s="192"/>
      <c r="Q119" s="192"/>
      <c r="R119" s="192"/>
      <c r="S119" s="38"/>
    </row>
    <row r="120" spans="2:19" x14ac:dyDescent="0.2">
      <c r="B120" s="34"/>
      <c r="C120" s="199"/>
      <c r="D120" s="201" t="s">
        <v>184</v>
      </c>
      <c r="E120" s="192"/>
      <c r="F120" s="192"/>
      <c r="G120" s="192"/>
      <c r="H120" s="192"/>
      <c r="I120" s="192"/>
      <c r="J120" s="192"/>
      <c r="K120" s="192"/>
      <c r="L120" s="192"/>
      <c r="M120" s="192"/>
      <c r="N120" s="192"/>
      <c r="O120" s="192"/>
      <c r="P120" s="192"/>
      <c r="Q120" s="192"/>
      <c r="R120" s="192"/>
      <c r="S120" s="38"/>
    </row>
    <row r="121" spans="2:19" x14ac:dyDescent="0.2">
      <c r="B121" s="34"/>
      <c r="C121" s="199"/>
      <c r="D121" s="192" t="s">
        <v>185</v>
      </c>
      <c r="E121" s="192"/>
      <c r="F121" s="192"/>
      <c r="G121" s="192"/>
      <c r="H121" s="192"/>
      <c r="I121" s="192"/>
      <c r="J121" s="192"/>
      <c r="K121" s="192"/>
      <c r="L121" s="192"/>
      <c r="M121" s="192"/>
      <c r="N121" s="192"/>
      <c r="O121" s="192"/>
      <c r="P121" s="192"/>
      <c r="Q121" s="192"/>
      <c r="R121" s="192"/>
      <c r="S121" s="38"/>
    </row>
    <row r="122" spans="2:19" x14ac:dyDescent="0.2">
      <c r="B122" s="34"/>
      <c r="C122" s="199"/>
      <c r="D122" s="192" t="s">
        <v>186</v>
      </c>
      <c r="E122" s="192"/>
      <c r="F122" s="192"/>
      <c r="G122" s="192"/>
      <c r="H122" s="192"/>
      <c r="I122" s="192"/>
      <c r="J122" s="192"/>
      <c r="K122" s="192"/>
      <c r="L122" s="192"/>
      <c r="M122" s="192"/>
      <c r="N122" s="192"/>
      <c r="O122" s="192"/>
      <c r="P122" s="192"/>
      <c r="Q122" s="192"/>
      <c r="R122" s="192"/>
      <c r="S122" s="38"/>
    </row>
    <row r="123" spans="2:19" x14ac:dyDescent="0.2">
      <c r="B123" s="34"/>
      <c r="C123" s="199"/>
      <c r="D123" s="192"/>
      <c r="E123" s="192"/>
      <c r="F123" s="192"/>
      <c r="G123" s="192"/>
      <c r="H123" s="192"/>
      <c r="I123" s="192"/>
      <c r="J123" s="192"/>
      <c r="K123" s="192"/>
      <c r="L123" s="192"/>
      <c r="M123" s="192"/>
      <c r="N123" s="192"/>
      <c r="O123" s="192"/>
      <c r="P123" s="192"/>
      <c r="Q123" s="192"/>
      <c r="R123" s="192"/>
      <c r="S123" s="38"/>
    </row>
    <row r="124" spans="2:19" x14ac:dyDescent="0.2">
      <c r="B124" s="34"/>
      <c r="C124" s="199"/>
      <c r="D124" s="192" t="s">
        <v>187</v>
      </c>
      <c r="E124" s="192"/>
      <c r="F124" s="192"/>
      <c r="G124" s="192"/>
      <c r="H124" s="192"/>
      <c r="I124" s="192"/>
      <c r="J124" s="192"/>
      <c r="K124" s="192"/>
      <c r="L124" s="192"/>
      <c r="M124" s="192"/>
      <c r="N124" s="192"/>
      <c r="O124" s="192"/>
      <c r="P124" s="192"/>
      <c r="Q124" s="192"/>
      <c r="R124" s="192"/>
      <c r="S124" s="38"/>
    </row>
    <row r="125" spans="2:19" x14ac:dyDescent="0.2">
      <c r="B125" s="34"/>
      <c r="C125" s="199"/>
      <c r="D125" s="192" t="s">
        <v>188</v>
      </c>
      <c r="E125" s="192"/>
      <c r="F125" s="192"/>
      <c r="G125" s="192"/>
      <c r="H125" s="192"/>
      <c r="I125" s="192"/>
      <c r="J125" s="192"/>
      <c r="K125" s="192"/>
      <c r="L125" s="192"/>
      <c r="M125" s="192"/>
      <c r="N125" s="192"/>
      <c r="O125" s="192"/>
      <c r="P125" s="192"/>
      <c r="Q125" s="192"/>
      <c r="R125" s="192"/>
      <c r="S125" s="38"/>
    </row>
    <row r="126" spans="2:19" x14ac:dyDescent="0.2">
      <c r="B126" s="34"/>
      <c r="C126" s="199"/>
      <c r="D126" s="192"/>
      <c r="E126" s="192"/>
      <c r="F126" s="192"/>
      <c r="G126" s="192"/>
      <c r="H126" s="192"/>
      <c r="I126" s="192"/>
      <c r="J126" s="192"/>
      <c r="K126" s="192"/>
      <c r="L126" s="192"/>
      <c r="M126" s="192"/>
      <c r="N126" s="192"/>
      <c r="O126" s="192"/>
      <c r="P126" s="192"/>
      <c r="Q126" s="192"/>
      <c r="R126" s="192"/>
      <c r="S126" s="38"/>
    </row>
    <row r="127" spans="2:19" x14ac:dyDescent="0.2">
      <c r="B127" s="34"/>
      <c r="C127" s="199"/>
      <c r="D127" s="192" t="s">
        <v>189</v>
      </c>
      <c r="E127" s="192"/>
      <c r="F127" s="192"/>
      <c r="G127" s="192"/>
      <c r="H127" s="192"/>
      <c r="I127" s="192"/>
      <c r="J127" s="192"/>
      <c r="K127" s="192"/>
      <c r="L127" s="192"/>
      <c r="M127" s="192"/>
      <c r="N127" s="192"/>
      <c r="O127" s="192"/>
      <c r="P127" s="192"/>
      <c r="Q127" s="192"/>
      <c r="R127" s="192"/>
      <c r="S127" s="38"/>
    </row>
    <row r="128" spans="2:19" x14ac:dyDescent="0.2">
      <c r="B128" s="34"/>
      <c r="C128" s="199"/>
      <c r="D128" s="192" t="s">
        <v>190</v>
      </c>
      <c r="E128" s="192"/>
      <c r="F128" s="192"/>
      <c r="G128" s="192"/>
      <c r="H128" s="192"/>
      <c r="I128" s="192"/>
      <c r="J128" s="192"/>
      <c r="K128" s="192"/>
      <c r="L128" s="192"/>
      <c r="M128" s="192"/>
      <c r="N128" s="192"/>
      <c r="O128" s="192"/>
      <c r="P128" s="192"/>
      <c r="Q128" s="192"/>
      <c r="R128" s="192"/>
      <c r="S128" s="38"/>
    </row>
    <row r="129" spans="2:19" x14ac:dyDescent="0.2">
      <c r="B129" s="34"/>
      <c r="C129" s="199"/>
      <c r="D129" s="192"/>
      <c r="E129" s="192"/>
      <c r="F129" s="192"/>
      <c r="G129" s="192"/>
      <c r="H129" s="192"/>
      <c r="I129" s="192"/>
      <c r="J129" s="192"/>
      <c r="K129" s="192"/>
      <c r="L129" s="192"/>
      <c r="M129" s="192"/>
      <c r="N129" s="192"/>
      <c r="O129" s="192"/>
      <c r="P129" s="192"/>
      <c r="Q129" s="192"/>
      <c r="R129" s="192"/>
      <c r="S129" s="38"/>
    </row>
    <row r="130" spans="2:19" x14ac:dyDescent="0.2">
      <c r="B130" s="34"/>
      <c r="C130" s="199"/>
      <c r="D130" s="192" t="s">
        <v>191</v>
      </c>
      <c r="E130" s="192"/>
      <c r="F130" s="192"/>
      <c r="G130" s="192"/>
      <c r="H130" s="192"/>
      <c r="I130" s="192"/>
      <c r="J130" s="192"/>
      <c r="K130" s="192"/>
      <c r="L130" s="192"/>
      <c r="M130" s="192"/>
      <c r="N130" s="192"/>
      <c r="O130" s="192"/>
      <c r="P130" s="192"/>
      <c r="Q130" s="192"/>
      <c r="R130" s="192"/>
      <c r="S130" s="38"/>
    </row>
    <row r="131" spans="2:19" x14ac:dyDescent="0.2">
      <c r="B131" s="34"/>
      <c r="C131" s="199"/>
      <c r="D131" s="192" t="s">
        <v>192</v>
      </c>
      <c r="E131" s="192"/>
      <c r="F131" s="192"/>
      <c r="G131" s="192"/>
      <c r="H131" s="192"/>
      <c r="I131" s="192"/>
      <c r="J131" s="192"/>
      <c r="K131" s="192"/>
      <c r="L131" s="192"/>
      <c r="M131" s="192"/>
      <c r="N131" s="192"/>
      <c r="O131" s="192"/>
      <c r="P131" s="192"/>
      <c r="Q131" s="192"/>
      <c r="R131" s="192"/>
      <c r="S131" s="38"/>
    </row>
    <row r="132" spans="2:19" x14ac:dyDescent="0.2">
      <c r="B132" s="34"/>
      <c r="C132" s="199"/>
      <c r="D132" s="192" t="s">
        <v>193</v>
      </c>
      <c r="E132" s="192"/>
      <c r="F132" s="192"/>
      <c r="G132" s="192"/>
      <c r="H132" s="192"/>
      <c r="I132" s="192"/>
      <c r="J132" s="192"/>
      <c r="K132" s="192"/>
      <c r="L132" s="192"/>
      <c r="M132" s="192"/>
      <c r="N132" s="192"/>
      <c r="O132" s="192"/>
      <c r="P132" s="192"/>
      <c r="Q132" s="192"/>
      <c r="R132" s="192"/>
      <c r="S132" s="38"/>
    </row>
    <row r="133" spans="2:19" x14ac:dyDescent="0.2">
      <c r="B133" s="34"/>
      <c r="C133" s="199"/>
      <c r="D133" s="192"/>
      <c r="E133" s="192"/>
      <c r="F133" s="192"/>
      <c r="G133" s="192"/>
      <c r="H133" s="192"/>
      <c r="I133" s="192"/>
      <c r="J133" s="192"/>
      <c r="K133" s="192"/>
      <c r="L133" s="192"/>
      <c r="M133" s="192"/>
      <c r="N133" s="192"/>
      <c r="O133" s="192"/>
      <c r="P133" s="192"/>
      <c r="Q133" s="192"/>
      <c r="R133" s="192"/>
      <c r="S133" s="38"/>
    </row>
    <row r="134" spans="2:19" x14ac:dyDescent="0.2">
      <c r="B134" s="34"/>
      <c r="C134" s="199"/>
      <c r="D134" s="192" t="s">
        <v>172</v>
      </c>
      <c r="E134" s="192"/>
      <c r="F134" s="192"/>
      <c r="G134" s="192"/>
      <c r="H134" s="192"/>
      <c r="I134" s="192"/>
      <c r="J134" s="192"/>
      <c r="K134" s="192"/>
      <c r="L134" s="192"/>
      <c r="M134" s="192"/>
      <c r="N134" s="192"/>
      <c r="O134" s="192"/>
      <c r="P134" s="192"/>
      <c r="Q134" s="192"/>
      <c r="R134" s="192"/>
      <c r="S134" s="38"/>
    </row>
    <row r="135" spans="2:19" x14ac:dyDescent="0.2">
      <c r="B135" s="34"/>
      <c r="C135" s="199"/>
      <c r="D135" s="192"/>
      <c r="E135" s="192"/>
      <c r="F135" s="192"/>
      <c r="G135" s="192"/>
      <c r="H135" s="192"/>
      <c r="I135" s="192"/>
      <c r="J135" s="192"/>
      <c r="K135" s="192"/>
      <c r="L135" s="192"/>
      <c r="M135" s="192"/>
      <c r="N135" s="192"/>
      <c r="O135" s="192"/>
      <c r="P135" s="192"/>
      <c r="Q135" s="192"/>
      <c r="R135" s="192"/>
      <c r="S135" s="38"/>
    </row>
    <row r="136" spans="2:19" x14ac:dyDescent="0.2">
      <c r="B136" s="34"/>
      <c r="C136" s="199"/>
      <c r="D136" s="192" t="s">
        <v>194</v>
      </c>
      <c r="E136" s="192"/>
      <c r="F136" s="192"/>
      <c r="G136" s="192"/>
      <c r="H136" s="192"/>
      <c r="I136" s="192"/>
      <c r="J136" s="192"/>
      <c r="K136" s="192"/>
      <c r="L136" s="192"/>
      <c r="M136" s="192"/>
      <c r="N136" s="192"/>
      <c r="O136" s="192"/>
      <c r="P136" s="192"/>
      <c r="Q136" s="192"/>
      <c r="R136" s="192"/>
      <c r="S136" s="38"/>
    </row>
    <row r="137" spans="2:19" x14ac:dyDescent="0.2">
      <c r="B137" s="34"/>
      <c r="C137" s="199"/>
      <c r="D137" s="192" t="s">
        <v>195</v>
      </c>
      <c r="E137" s="192"/>
      <c r="F137" s="192"/>
      <c r="G137" s="192"/>
      <c r="H137" s="192"/>
      <c r="I137" s="192"/>
      <c r="J137" s="192"/>
      <c r="K137" s="192"/>
      <c r="L137" s="192"/>
      <c r="M137" s="192"/>
      <c r="N137" s="192"/>
      <c r="O137" s="192"/>
      <c r="P137" s="192"/>
      <c r="Q137" s="192"/>
      <c r="R137" s="192"/>
      <c r="S137" s="38"/>
    </row>
    <row r="138" spans="2:19" x14ac:dyDescent="0.2">
      <c r="B138" s="34"/>
      <c r="C138" s="199"/>
      <c r="D138" s="192"/>
      <c r="E138" s="192"/>
      <c r="F138" s="192"/>
      <c r="G138" s="192"/>
      <c r="H138" s="192"/>
      <c r="I138" s="192"/>
      <c r="J138" s="192"/>
      <c r="K138" s="192"/>
      <c r="L138" s="192"/>
      <c r="M138" s="192"/>
      <c r="N138" s="192"/>
      <c r="O138" s="192"/>
      <c r="P138" s="192"/>
      <c r="Q138" s="192"/>
      <c r="R138" s="192"/>
      <c r="S138" s="38"/>
    </row>
    <row r="139" spans="2:19" x14ac:dyDescent="0.2">
      <c r="B139" s="34"/>
      <c r="C139" s="199" t="s">
        <v>196</v>
      </c>
      <c r="D139" s="193" t="s">
        <v>197</v>
      </c>
      <c r="E139" s="192"/>
      <c r="F139" s="192"/>
      <c r="G139" s="192"/>
      <c r="H139" s="192"/>
      <c r="I139" s="192"/>
      <c r="J139" s="192"/>
      <c r="K139" s="192"/>
      <c r="L139" s="192"/>
      <c r="M139" s="192"/>
      <c r="N139" s="192"/>
      <c r="O139" s="192"/>
      <c r="P139" s="192"/>
      <c r="Q139" s="192"/>
      <c r="R139" s="192"/>
      <c r="S139" s="38"/>
    </row>
    <row r="140" spans="2:19" x14ac:dyDescent="0.2">
      <c r="B140" s="34"/>
      <c r="C140" s="199"/>
      <c r="D140" s="193"/>
      <c r="E140" s="192"/>
      <c r="F140" s="192"/>
      <c r="G140" s="192"/>
      <c r="H140" s="192"/>
      <c r="I140" s="192"/>
      <c r="J140" s="192"/>
      <c r="K140" s="192"/>
      <c r="L140" s="192"/>
      <c r="M140" s="192"/>
      <c r="N140" s="192"/>
      <c r="O140" s="192"/>
      <c r="P140" s="192"/>
      <c r="Q140" s="192"/>
      <c r="R140" s="192"/>
      <c r="S140" s="38"/>
    </row>
    <row r="141" spans="2:19" x14ac:dyDescent="0.2">
      <c r="B141" s="34"/>
      <c r="C141" s="199"/>
      <c r="D141" s="192" t="s">
        <v>198</v>
      </c>
      <c r="E141" s="192"/>
      <c r="F141" s="192"/>
      <c r="G141" s="192"/>
      <c r="H141" s="192"/>
      <c r="I141" s="192"/>
      <c r="J141" s="192"/>
      <c r="K141" s="192"/>
      <c r="L141" s="192"/>
      <c r="M141" s="192"/>
      <c r="N141" s="192"/>
      <c r="O141" s="192"/>
      <c r="P141" s="192"/>
      <c r="Q141" s="192"/>
      <c r="R141" s="192"/>
      <c r="S141" s="38"/>
    </row>
    <row r="142" spans="2:19" x14ac:dyDescent="0.2">
      <c r="B142" s="34"/>
      <c r="C142" s="199"/>
      <c r="D142" s="192" t="s">
        <v>199</v>
      </c>
      <c r="E142" s="192"/>
      <c r="F142" s="192"/>
      <c r="G142" s="192"/>
      <c r="H142" s="192"/>
      <c r="I142" s="192"/>
      <c r="J142" s="192"/>
      <c r="K142" s="192"/>
      <c r="L142" s="192"/>
      <c r="M142" s="192"/>
      <c r="N142" s="192"/>
      <c r="O142" s="192"/>
      <c r="P142" s="192"/>
      <c r="Q142" s="192"/>
      <c r="R142" s="192"/>
      <c r="S142" s="38"/>
    </row>
    <row r="143" spans="2:19" x14ac:dyDescent="0.2">
      <c r="B143" s="34"/>
      <c r="C143" s="199"/>
      <c r="D143" s="192" t="s">
        <v>200</v>
      </c>
      <c r="E143" s="192"/>
      <c r="F143" s="192"/>
      <c r="G143" s="192"/>
      <c r="H143" s="192"/>
      <c r="I143" s="192"/>
      <c r="J143" s="192"/>
      <c r="K143" s="192"/>
      <c r="L143" s="192"/>
      <c r="M143" s="192"/>
      <c r="N143" s="192"/>
      <c r="O143" s="192"/>
      <c r="P143" s="192"/>
      <c r="Q143" s="192"/>
      <c r="R143" s="192"/>
      <c r="S143" s="38"/>
    </row>
    <row r="144" spans="2:19" x14ac:dyDescent="0.2">
      <c r="B144" s="34"/>
      <c r="C144" s="199"/>
      <c r="D144" s="192" t="s">
        <v>201</v>
      </c>
      <c r="E144" s="192"/>
      <c r="F144" s="192"/>
      <c r="G144" s="192"/>
      <c r="H144" s="192"/>
      <c r="I144" s="192"/>
      <c r="J144" s="192"/>
      <c r="K144" s="192"/>
      <c r="L144" s="192"/>
      <c r="M144" s="192"/>
      <c r="N144" s="192"/>
      <c r="O144" s="192"/>
      <c r="P144" s="192"/>
      <c r="Q144" s="192"/>
      <c r="R144" s="192"/>
      <c r="S144" s="38"/>
    </row>
    <row r="145" spans="2:19" x14ac:dyDescent="0.2">
      <c r="B145" s="34"/>
      <c r="C145" s="199"/>
      <c r="D145" s="192"/>
      <c r="E145" s="192"/>
      <c r="F145" s="192"/>
      <c r="G145" s="192"/>
      <c r="H145" s="192"/>
      <c r="I145" s="192"/>
      <c r="J145" s="192"/>
      <c r="K145" s="192"/>
      <c r="L145" s="192"/>
      <c r="M145" s="192"/>
      <c r="N145" s="192"/>
      <c r="O145" s="192"/>
      <c r="P145" s="192"/>
      <c r="Q145" s="192"/>
      <c r="R145" s="192"/>
      <c r="S145" s="38"/>
    </row>
    <row r="146" spans="2:19" x14ac:dyDescent="0.2">
      <c r="B146" s="34"/>
      <c r="C146" s="199"/>
      <c r="D146" s="192" t="s">
        <v>172</v>
      </c>
      <c r="E146" s="192"/>
      <c r="F146" s="192"/>
      <c r="G146" s="192"/>
      <c r="H146" s="192"/>
      <c r="I146" s="192"/>
      <c r="J146" s="192"/>
      <c r="K146" s="192"/>
      <c r="L146" s="192"/>
      <c r="M146" s="192"/>
      <c r="N146" s="192"/>
      <c r="O146" s="192"/>
      <c r="P146" s="192"/>
      <c r="Q146" s="192"/>
      <c r="R146" s="192"/>
      <c r="S146" s="38"/>
    </row>
    <row r="147" spans="2:19" x14ac:dyDescent="0.2">
      <c r="B147" s="34"/>
      <c r="C147" s="199"/>
      <c r="D147" s="192"/>
      <c r="E147" s="192"/>
      <c r="F147" s="192"/>
      <c r="G147" s="192"/>
      <c r="H147" s="192"/>
      <c r="I147" s="192"/>
      <c r="J147" s="192"/>
      <c r="K147" s="192"/>
      <c r="L147" s="192"/>
      <c r="M147" s="192"/>
      <c r="N147" s="192"/>
      <c r="O147" s="192"/>
      <c r="P147" s="192"/>
      <c r="Q147" s="192"/>
      <c r="R147" s="192"/>
      <c r="S147" s="38"/>
    </row>
    <row r="148" spans="2:19" x14ac:dyDescent="0.2">
      <c r="B148" s="34"/>
      <c r="C148" s="199"/>
      <c r="D148" s="192" t="s">
        <v>194</v>
      </c>
      <c r="E148" s="192"/>
      <c r="F148" s="192"/>
      <c r="G148" s="192"/>
      <c r="H148" s="192"/>
      <c r="I148" s="192"/>
      <c r="J148" s="192"/>
      <c r="K148" s="192"/>
      <c r="L148" s="192"/>
      <c r="M148" s="192"/>
      <c r="N148" s="192"/>
      <c r="O148" s="192"/>
      <c r="P148" s="192"/>
      <c r="Q148" s="192"/>
      <c r="R148" s="192"/>
      <c r="S148" s="38"/>
    </row>
    <row r="149" spans="2:19" x14ac:dyDescent="0.2">
      <c r="B149" s="34"/>
      <c r="C149" s="199"/>
      <c r="D149" s="192" t="s">
        <v>195</v>
      </c>
      <c r="E149" s="192"/>
      <c r="F149" s="192"/>
      <c r="G149" s="192"/>
      <c r="H149" s="192"/>
      <c r="I149" s="192"/>
      <c r="J149" s="192"/>
      <c r="K149" s="192"/>
      <c r="L149" s="192"/>
      <c r="M149" s="192"/>
      <c r="N149" s="192"/>
      <c r="O149" s="192"/>
      <c r="P149" s="192"/>
      <c r="Q149" s="192"/>
      <c r="R149" s="192"/>
      <c r="S149" s="38"/>
    </row>
    <row r="150" spans="2:19" x14ac:dyDescent="0.2">
      <c r="B150" s="34"/>
      <c r="C150" s="199"/>
      <c r="D150" s="192"/>
      <c r="E150" s="192"/>
      <c r="F150" s="192"/>
      <c r="G150" s="192"/>
      <c r="H150" s="192"/>
      <c r="I150" s="192"/>
      <c r="J150" s="192"/>
      <c r="K150" s="192"/>
      <c r="L150" s="192"/>
      <c r="M150" s="192"/>
      <c r="N150" s="192"/>
      <c r="O150" s="192"/>
      <c r="P150" s="192"/>
      <c r="Q150" s="192"/>
      <c r="R150" s="192"/>
      <c r="S150" s="38"/>
    </row>
    <row r="151" spans="2:19" x14ac:dyDescent="0.2">
      <c r="B151" s="34"/>
      <c r="C151" s="199"/>
      <c r="D151" s="201" t="s">
        <v>173</v>
      </c>
      <c r="E151" s="192"/>
      <c r="F151" s="192"/>
      <c r="G151" s="192"/>
      <c r="H151" s="192"/>
      <c r="I151" s="192"/>
      <c r="J151" s="192"/>
      <c r="K151" s="192"/>
      <c r="L151" s="192"/>
      <c r="M151" s="192"/>
      <c r="N151" s="192"/>
      <c r="O151" s="192"/>
      <c r="P151" s="192"/>
      <c r="Q151" s="192"/>
      <c r="R151" s="192"/>
      <c r="S151" s="38"/>
    </row>
    <row r="152" spans="2:19" x14ac:dyDescent="0.2">
      <c r="B152" s="34"/>
      <c r="C152" s="199"/>
      <c r="D152" s="192" t="s">
        <v>202</v>
      </c>
      <c r="E152" s="192"/>
      <c r="F152" s="192"/>
      <c r="G152" s="192"/>
      <c r="H152" s="192"/>
      <c r="I152" s="192"/>
      <c r="J152" s="192"/>
      <c r="K152" s="192"/>
      <c r="L152" s="192"/>
      <c r="M152" s="192"/>
      <c r="N152" s="192"/>
      <c r="O152" s="192"/>
      <c r="P152" s="192"/>
      <c r="Q152" s="192"/>
      <c r="R152" s="192"/>
      <c r="S152" s="38"/>
    </row>
    <row r="153" spans="2:19" x14ac:dyDescent="0.2">
      <c r="B153" s="34"/>
      <c r="C153" s="199"/>
      <c r="D153" s="192" t="s">
        <v>203</v>
      </c>
      <c r="E153" s="192"/>
      <c r="F153" s="192"/>
      <c r="G153" s="192"/>
      <c r="H153" s="192"/>
      <c r="I153" s="192"/>
      <c r="J153" s="192"/>
      <c r="K153" s="192"/>
      <c r="L153" s="192"/>
      <c r="M153" s="192"/>
      <c r="N153" s="192"/>
      <c r="O153" s="192"/>
      <c r="P153" s="192"/>
      <c r="Q153" s="192"/>
      <c r="R153" s="192"/>
      <c r="S153" s="38"/>
    </row>
    <row r="154" spans="2:19" x14ac:dyDescent="0.2">
      <c r="B154" s="34"/>
      <c r="C154" s="199"/>
      <c r="D154" s="192" t="s">
        <v>204</v>
      </c>
      <c r="E154" s="192"/>
      <c r="F154" s="192"/>
      <c r="G154" s="192"/>
      <c r="H154" s="192"/>
      <c r="I154" s="192"/>
      <c r="J154" s="192"/>
      <c r="K154" s="192"/>
      <c r="L154" s="192"/>
      <c r="M154" s="192"/>
      <c r="N154" s="192"/>
      <c r="O154" s="192"/>
      <c r="P154" s="192"/>
      <c r="Q154" s="192"/>
      <c r="R154" s="192"/>
      <c r="S154" s="38"/>
    </row>
    <row r="155" spans="2:19" x14ac:dyDescent="0.2">
      <c r="B155" s="34"/>
      <c r="C155" s="199"/>
      <c r="D155" s="192" t="s">
        <v>205</v>
      </c>
      <c r="E155" s="192"/>
      <c r="F155" s="192"/>
      <c r="G155" s="192"/>
      <c r="H155" s="192"/>
      <c r="I155" s="192"/>
      <c r="J155" s="192"/>
      <c r="K155" s="192"/>
      <c r="L155" s="192"/>
      <c r="M155" s="192"/>
      <c r="N155" s="192"/>
      <c r="O155" s="192"/>
      <c r="P155" s="192"/>
      <c r="Q155" s="192"/>
      <c r="R155" s="192"/>
      <c r="S155" s="38"/>
    </row>
    <row r="156" spans="2:19" x14ac:dyDescent="0.2">
      <c r="B156" s="34"/>
      <c r="C156" s="199"/>
      <c r="D156" s="192" t="s">
        <v>206</v>
      </c>
      <c r="E156" s="192"/>
      <c r="F156" s="192"/>
      <c r="G156" s="192"/>
      <c r="H156" s="192"/>
      <c r="I156" s="192"/>
      <c r="J156" s="192"/>
      <c r="K156" s="192"/>
      <c r="L156" s="192"/>
      <c r="M156" s="192"/>
      <c r="N156" s="192"/>
      <c r="O156" s="192"/>
      <c r="P156" s="192"/>
      <c r="Q156" s="192"/>
      <c r="R156" s="192"/>
      <c r="S156" s="38"/>
    </row>
    <row r="157" spans="2:19" x14ac:dyDescent="0.2">
      <c r="B157" s="34"/>
      <c r="C157" s="199"/>
      <c r="D157" s="192" t="s">
        <v>207</v>
      </c>
      <c r="E157" s="192"/>
      <c r="F157" s="192"/>
      <c r="G157" s="192"/>
      <c r="H157" s="192"/>
      <c r="I157" s="192"/>
      <c r="J157" s="192"/>
      <c r="K157" s="192"/>
      <c r="L157" s="192"/>
      <c r="M157" s="192"/>
      <c r="N157" s="192"/>
      <c r="O157" s="192"/>
      <c r="P157" s="192"/>
      <c r="Q157" s="192"/>
      <c r="R157" s="192"/>
      <c r="S157" s="38"/>
    </row>
    <row r="158" spans="2:19" x14ac:dyDescent="0.2">
      <c r="B158" s="34"/>
      <c r="C158" s="199"/>
      <c r="D158" s="192" t="s">
        <v>208</v>
      </c>
      <c r="E158" s="192"/>
      <c r="F158" s="192"/>
      <c r="G158" s="192"/>
      <c r="H158" s="192"/>
      <c r="I158" s="192"/>
      <c r="J158" s="192"/>
      <c r="K158" s="192"/>
      <c r="L158" s="192"/>
      <c r="M158" s="192"/>
      <c r="N158" s="192"/>
      <c r="O158" s="192"/>
      <c r="P158" s="192"/>
      <c r="Q158" s="192"/>
      <c r="R158" s="192"/>
      <c r="S158" s="38"/>
    </row>
    <row r="159" spans="2:19" x14ac:dyDescent="0.2">
      <c r="B159" s="34"/>
      <c r="C159" s="199"/>
      <c r="D159" s="192"/>
      <c r="E159" s="192"/>
      <c r="F159" s="192"/>
      <c r="G159" s="192"/>
      <c r="H159" s="192"/>
      <c r="I159" s="192"/>
      <c r="J159" s="192"/>
      <c r="K159" s="192"/>
      <c r="L159" s="192"/>
      <c r="M159" s="192"/>
      <c r="N159" s="192"/>
      <c r="O159" s="192"/>
      <c r="P159" s="192"/>
      <c r="Q159" s="192"/>
      <c r="R159" s="192"/>
      <c r="S159" s="38"/>
    </row>
    <row r="160" spans="2:19" x14ac:dyDescent="0.2">
      <c r="B160" s="34"/>
      <c r="C160" s="199" t="s">
        <v>209</v>
      </c>
      <c r="D160" s="193" t="s">
        <v>210</v>
      </c>
      <c r="E160" s="192"/>
      <c r="F160" s="192"/>
      <c r="G160" s="192"/>
      <c r="H160" s="192"/>
      <c r="I160" s="192"/>
      <c r="J160" s="192"/>
      <c r="K160" s="192"/>
      <c r="L160" s="192"/>
      <c r="M160" s="192"/>
      <c r="N160" s="192"/>
      <c r="O160" s="192"/>
      <c r="P160" s="192"/>
      <c r="Q160" s="192"/>
      <c r="R160" s="192"/>
      <c r="S160" s="38"/>
    </row>
    <row r="161" spans="2:19" x14ac:dyDescent="0.2">
      <c r="B161" s="34"/>
      <c r="C161" s="199"/>
      <c r="D161" s="193"/>
      <c r="E161" s="192"/>
      <c r="F161" s="192"/>
      <c r="G161" s="192"/>
      <c r="H161" s="192"/>
      <c r="I161" s="192"/>
      <c r="J161" s="192"/>
      <c r="K161" s="192"/>
      <c r="L161" s="192"/>
      <c r="M161" s="192"/>
      <c r="N161" s="192"/>
      <c r="O161" s="192"/>
      <c r="P161" s="192"/>
      <c r="Q161" s="192"/>
      <c r="R161" s="192"/>
      <c r="S161" s="38"/>
    </row>
    <row r="162" spans="2:19" x14ac:dyDescent="0.2">
      <c r="B162" s="34"/>
      <c r="C162" s="199"/>
      <c r="D162" s="192" t="s">
        <v>342</v>
      </c>
      <c r="E162" s="192"/>
      <c r="F162" s="192"/>
      <c r="G162" s="192"/>
      <c r="H162" s="192"/>
      <c r="I162" s="192"/>
      <c r="J162" s="192"/>
      <c r="K162" s="192"/>
      <c r="L162" s="192"/>
      <c r="M162" s="192"/>
      <c r="N162" s="192"/>
      <c r="O162" s="192"/>
      <c r="P162" s="192"/>
      <c r="Q162" s="192"/>
      <c r="R162" s="192"/>
      <c r="S162" s="38"/>
    </row>
    <row r="163" spans="2:19" x14ac:dyDescent="0.2">
      <c r="B163" s="34"/>
      <c r="C163" s="199"/>
      <c r="D163" s="192" t="s">
        <v>343</v>
      </c>
      <c r="E163" s="192"/>
      <c r="F163" s="192"/>
      <c r="G163" s="192"/>
      <c r="H163" s="192"/>
      <c r="I163" s="192"/>
      <c r="J163" s="192"/>
      <c r="K163" s="192"/>
      <c r="L163" s="192"/>
      <c r="M163" s="192"/>
      <c r="N163" s="192"/>
      <c r="O163" s="192"/>
      <c r="P163" s="192"/>
      <c r="Q163" s="192"/>
      <c r="R163" s="192"/>
      <c r="S163" s="38"/>
    </row>
    <row r="164" spans="2:19" x14ac:dyDescent="0.2">
      <c r="B164" s="34"/>
      <c r="C164" s="199"/>
      <c r="D164" s="192"/>
      <c r="E164" s="192"/>
      <c r="F164" s="192"/>
      <c r="G164" s="192"/>
      <c r="H164" s="192"/>
      <c r="I164" s="192"/>
      <c r="J164" s="192"/>
      <c r="K164" s="192"/>
      <c r="L164" s="192"/>
      <c r="M164" s="192"/>
      <c r="N164" s="192"/>
      <c r="O164" s="192"/>
      <c r="P164" s="192"/>
      <c r="Q164" s="192"/>
      <c r="R164" s="192"/>
      <c r="S164" s="38"/>
    </row>
    <row r="165" spans="2:19" x14ac:dyDescent="0.2">
      <c r="B165" s="34"/>
      <c r="C165" s="199"/>
      <c r="D165" s="192" t="s">
        <v>211</v>
      </c>
      <c r="E165" s="192"/>
      <c r="F165" s="192"/>
      <c r="G165" s="192"/>
      <c r="H165" s="192"/>
      <c r="I165" s="192"/>
      <c r="J165" s="192"/>
      <c r="K165" s="192"/>
      <c r="L165" s="192"/>
      <c r="M165" s="192"/>
      <c r="N165" s="192"/>
      <c r="O165" s="192"/>
      <c r="P165" s="192"/>
      <c r="Q165" s="192"/>
      <c r="R165" s="192"/>
      <c r="S165" s="38"/>
    </row>
    <row r="166" spans="2:19" x14ac:dyDescent="0.2">
      <c r="B166" s="34"/>
      <c r="C166" s="199"/>
      <c r="D166" s="192"/>
      <c r="E166" s="192"/>
      <c r="F166" s="192"/>
      <c r="G166" s="192"/>
      <c r="H166" s="192"/>
      <c r="I166" s="192"/>
      <c r="J166" s="192"/>
      <c r="K166" s="192"/>
      <c r="L166" s="192"/>
      <c r="M166" s="192"/>
      <c r="N166" s="192"/>
      <c r="O166" s="192"/>
      <c r="P166" s="192"/>
      <c r="Q166" s="192"/>
      <c r="R166" s="192"/>
      <c r="S166" s="38"/>
    </row>
    <row r="167" spans="2:19" x14ac:dyDescent="0.2">
      <c r="B167" s="34"/>
      <c r="C167" s="199"/>
      <c r="D167" s="193" t="s">
        <v>212</v>
      </c>
      <c r="E167" s="192"/>
      <c r="F167" s="192"/>
      <c r="G167" s="192"/>
      <c r="H167" s="192"/>
      <c r="I167" s="192"/>
      <c r="J167" s="192"/>
      <c r="K167" s="192"/>
      <c r="L167" s="192"/>
      <c r="M167" s="192"/>
      <c r="N167" s="192"/>
      <c r="O167" s="192"/>
      <c r="P167" s="192"/>
      <c r="Q167" s="192"/>
      <c r="R167" s="192"/>
      <c r="S167" s="38"/>
    </row>
    <row r="168" spans="2:19" x14ac:dyDescent="0.2">
      <c r="B168" s="34"/>
      <c r="C168" s="199"/>
      <c r="D168" s="193" t="s">
        <v>213</v>
      </c>
      <c r="E168" s="192"/>
      <c r="F168" s="192"/>
      <c r="G168" s="192"/>
      <c r="H168" s="192"/>
      <c r="I168" s="192"/>
      <c r="J168" s="192"/>
      <c r="K168" s="192"/>
      <c r="L168" s="192"/>
      <c r="M168" s="192"/>
      <c r="N168" s="192"/>
      <c r="O168" s="192"/>
      <c r="P168" s="192"/>
      <c r="Q168" s="192"/>
      <c r="R168" s="192"/>
      <c r="S168" s="38"/>
    </row>
    <row r="169" spans="2:19" x14ac:dyDescent="0.2">
      <c r="B169" s="34"/>
      <c r="C169" s="199"/>
      <c r="D169" s="193" t="s">
        <v>214</v>
      </c>
      <c r="E169" s="192"/>
      <c r="F169" s="193" t="s">
        <v>215</v>
      </c>
      <c r="G169" s="192"/>
      <c r="H169" s="192"/>
      <c r="I169" s="192"/>
      <c r="J169" s="192"/>
      <c r="K169" s="192"/>
      <c r="L169" s="192"/>
      <c r="M169" s="192"/>
      <c r="N169" s="192"/>
      <c r="O169" s="192"/>
      <c r="P169" s="192"/>
      <c r="Q169" s="192"/>
      <c r="R169" s="192"/>
      <c r="S169" s="38"/>
    </row>
    <row r="170" spans="2:19" x14ac:dyDescent="0.2">
      <c r="B170" s="34"/>
      <c r="C170" s="199"/>
      <c r="D170" s="193" t="s">
        <v>216</v>
      </c>
      <c r="E170" s="192"/>
      <c r="F170" s="193" t="s">
        <v>217</v>
      </c>
      <c r="G170" s="192"/>
      <c r="H170" s="192"/>
      <c r="I170" s="192"/>
      <c r="J170" s="192"/>
      <c r="K170" s="192"/>
      <c r="L170" s="192"/>
      <c r="M170" s="192"/>
      <c r="N170" s="192"/>
      <c r="O170" s="192"/>
      <c r="P170" s="192"/>
      <c r="Q170" s="192"/>
      <c r="R170" s="192"/>
      <c r="S170" s="38"/>
    </row>
    <row r="171" spans="2:19" x14ac:dyDescent="0.2">
      <c r="B171" s="34"/>
      <c r="C171" s="192"/>
      <c r="D171" s="192"/>
      <c r="E171" s="192"/>
      <c r="F171" s="192"/>
      <c r="G171" s="192"/>
      <c r="H171" s="192"/>
      <c r="I171" s="192"/>
      <c r="J171" s="192"/>
      <c r="K171" s="192"/>
      <c r="L171" s="192"/>
      <c r="M171" s="192"/>
      <c r="N171" s="192"/>
      <c r="O171" s="192"/>
      <c r="P171" s="192"/>
      <c r="Q171" s="192"/>
      <c r="R171" s="192"/>
      <c r="S171" s="38"/>
    </row>
    <row r="172" spans="2:19" x14ac:dyDescent="0.2">
      <c r="B172" s="34"/>
      <c r="C172" s="35"/>
      <c r="D172" s="35"/>
      <c r="E172" s="35"/>
      <c r="F172" s="35"/>
      <c r="G172" s="35"/>
      <c r="H172" s="35"/>
      <c r="I172" s="35"/>
      <c r="J172" s="35"/>
      <c r="K172" s="35"/>
      <c r="L172" s="35"/>
      <c r="M172" s="35"/>
      <c r="N172" s="35"/>
      <c r="O172" s="35"/>
      <c r="P172" s="35"/>
      <c r="Q172" s="35"/>
      <c r="R172" s="35"/>
      <c r="S172" s="38"/>
    </row>
    <row r="173" spans="2:19" ht="13.5" thickBot="1" x14ac:dyDescent="0.25">
      <c r="B173" s="151"/>
      <c r="C173" s="152"/>
      <c r="D173" s="152"/>
      <c r="E173" s="152"/>
      <c r="F173" s="152"/>
      <c r="G173" s="152"/>
      <c r="H173" s="152"/>
      <c r="I173" s="152"/>
      <c r="J173" s="152"/>
      <c r="K173" s="152"/>
      <c r="L173" s="152"/>
      <c r="M173" s="152"/>
      <c r="N173" s="152"/>
      <c r="O173" s="152"/>
      <c r="P173" s="152"/>
      <c r="Q173" s="152"/>
      <c r="R173" s="155" t="s">
        <v>108</v>
      </c>
      <c r="S173" s="156"/>
    </row>
    <row r="174" spans="2:19" ht="15.75" x14ac:dyDescent="0.25">
      <c r="D174" s="26"/>
      <c r="E174" s="26"/>
      <c r="F174" s="26"/>
      <c r="G174" s="26"/>
      <c r="H174" s="26"/>
      <c r="I174" s="26"/>
      <c r="J174" s="26"/>
      <c r="K174" s="26"/>
      <c r="L174" s="26"/>
      <c r="M174" s="26"/>
      <c r="N174" s="26"/>
      <c r="O174" s="26"/>
      <c r="P174" s="26"/>
      <c r="Q174" s="26"/>
      <c r="R174" s="203"/>
      <c r="S174" s="26"/>
    </row>
  </sheetData>
  <sheetProtection password="DE55" sheet="1" objects="1" scenarios="1"/>
  <pageMargins left="0.7" right="0.7" top="0.75" bottom="0.75" header="0.3" footer="0.3"/>
  <pageSetup paperSize="9" scale="61" orientation="portrait" r:id="rId1"/>
  <headerFooter>
    <oddFooter>&amp;L&amp;F&amp;CPagina&amp;&amp;[Pagina]&amp;R&amp;A</oddFooter>
  </headerFooter>
  <rowBreaks count="1" manualBreakCount="1">
    <brk id="96"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2"/>
  <sheetViews>
    <sheetView zoomScaleNormal="100" workbookViewId="0"/>
  </sheetViews>
  <sheetFormatPr defaultRowHeight="14.25" x14ac:dyDescent="0.2"/>
  <cols>
    <col min="1" max="1" width="4" style="161" customWidth="1"/>
    <col min="2" max="2" width="15.7109375" style="161" customWidth="1"/>
    <col min="3" max="3" width="17.7109375" style="161" customWidth="1"/>
    <col min="4" max="4" width="14" style="161" bestFit="1" customWidth="1"/>
    <col min="5" max="5" width="11.42578125" style="161" bestFit="1" customWidth="1"/>
    <col min="6" max="6" width="13.42578125" style="161" bestFit="1" customWidth="1"/>
    <col min="7" max="7" width="11.85546875" style="161" customWidth="1"/>
    <col min="8" max="8" width="14" style="161" customWidth="1"/>
    <col min="9" max="9" width="14.5703125" style="161" customWidth="1"/>
    <col min="10" max="10" width="15.85546875" style="161" bestFit="1" customWidth="1"/>
    <col min="11" max="11" width="20" style="161" customWidth="1"/>
    <col min="12" max="12" width="15.7109375" style="161" customWidth="1"/>
    <col min="13" max="13" width="13.7109375" style="161" customWidth="1"/>
    <col min="14" max="16384" width="9.140625" style="161"/>
  </cols>
  <sheetData>
    <row r="1" spans="1:18" x14ac:dyDescent="0.2">
      <c r="A1" s="159"/>
      <c r="B1" s="160"/>
      <c r="C1" s="159"/>
      <c r="G1" s="162"/>
    </row>
    <row r="2" spans="1:18" x14ac:dyDescent="0.2">
      <c r="A2" s="159"/>
      <c r="B2" s="161" t="s">
        <v>109</v>
      </c>
      <c r="E2" s="163">
        <f>+Werkgeverslasten!I64</f>
        <v>1997.4191208333332</v>
      </c>
      <c r="G2" s="161" t="s">
        <v>110</v>
      </c>
      <c r="J2" s="164">
        <f>+tabellen!G39</f>
        <v>51414</v>
      </c>
    </row>
    <row r="3" spans="1:18" x14ac:dyDescent="0.2">
      <c r="A3" s="159"/>
      <c r="E3" s="165"/>
      <c r="G3" s="161" t="s">
        <v>323</v>
      </c>
      <c r="J3" s="166">
        <f>+tabellen!C39</f>
        <v>5.45E-2</v>
      </c>
    </row>
    <row r="4" spans="1:18" x14ac:dyDescent="0.2">
      <c r="B4" s="161" t="s">
        <v>111</v>
      </c>
      <c r="E4" s="165">
        <f>+Werkgeverslasten!I11</f>
        <v>19360</v>
      </c>
      <c r="F4" s="326">
        <f>YEAR(E4)</f>
        <v>1953</v>
      </c>
      <c r="G4" s="161" t="s">
        <v>313</v>
      </c>
      <c r="J4" s="166">
        <f>+tabellen!C40</f>
        <v>5.0000000000000001E-3</v>
      </c>
      <c r="K4" s="161" t="s">
        <v>321</v>
      </c>
    </row>
    <row r="5" spans="1:18" x14ac:dyDescent="0.2">
      <c r="B5" s="161" t="s">
        <v>112</v>
      </c>
      <c r="D5" s="167"/>
      <c r="E5" s="168" t="str">
        <f>+Werkgeverslasten!G42</f>
        <v>nee</v>
      </c>
      <c r="F5" s="327">
        <f>MONTH(E4)</f>
        <v>1</v>
      </c>
      <c r="G5"/>
      <c r="H5"/>
      <c r="I5"/>
      <c r="J5"/>
      <c r="K5" s="161" t="s">
        <v>322</v>
      </c>
      <c r="L5"/>
    </row>
    <row r="6" spans="1:18" x14ac:dyDescent="0.2">
      <c r="E6" s="169"/>
      <c r="F6" s="326">
        <f>DAY(E4)</f>
        <v>1</v>
      </c>
    </row>
    <row r="7" spans="1:18" x14ac:dyDescent="0.2">
      <c r="B7" s="170"/>
      <c r="C7" s="159"/>
      <c r="G7" s="161" t="s">
        <v>113</v>
      </c>
      <c r="J7" s="166">
        <f ca="1">IF(E9=1,0,IF(AND(E5="ja",E8=1),J3,0))</f>
        <v>0</v>
      </c>
    </row>
    <row r="8" spans="1:18" x14ac:dyDescent="0.2">
      <c r="B8" s="161" t="s">
        <v>314</v>
      </c>
      <c r="C8" s="159"/>
      <c r="E8" s="161">
        <f ca="1">IF(Werkgeverslasten!I6&gt;=E11,1,0)</f>
        <v>1</v>
      </c>
    </row>
    <row r="9" spans="1:18" x14ac:dyDescent="0.2">
      <c r="B9" s="159" t="s">
        <v>114</v>
      </c>
      <c r="C9" s="159"/>
      <c r="E9" s="161">
        <f ca="1">IF(Werkgeverslasten!I6&gt;F9,1,0)</f>
        <v>0</v>
      </c>
      <c r="F9" s="171">
        <f>DATE((YEAR(E4)+62),MONTH(E4),DAY(E4))</f>
        <v>42005</v>
      </c>
    </row>
    <row r="10" spans="1:18" x14ac:dyDescent="0.2">
      <c r="B10" s="170"/>
      <c r="C10" s="159"/>
      <c r="D10" s="172"/>
      <c r="G10" s="173" t="s">
        <v>85</v>
      </c>
      <c r="H10" s="174" t="s">
        <v>312</v>
      </c>
      <c r="I10" s="175"/>
      <c r="J10" s="162"/>
    </row>
    <row r="11" spans="1:18" x14ac:dyDescent="0.2">
      <c r="B11" s="176" t="s">
        <v>115</v>
      </c>
      <c r="C11" s="174"/>
      <c r="D11" s="176" t="s">
        <v>310</v>
      </c>
      <c r="E11" s="177">
        <f>DATE(F4+60,F5+6,F6)</f>
        <v>41456</v>
      </c>
      <c r="G11" s="178">
        <f ca="1">+J3-J7</f>
        <v>5.45E-2</v>
      </c>
      <c r="H11" s="179">
        <f>+J4</f>
        <v>5.0000000000000001E-3</v>
      </c>
      <c r="I11" s="180"/>
      <c r="J11" s="162"/>
      <c r="K11" s="162"/>
    </row>
    <row r="12" spans="1:18" s="174" customFormat="1" x14ac:dyDescent="0.2">
      <c r="B12" s="161"/>
      <c r="C12" s="161"/>
      <c r="D12" s="176"/>
      <c r="E12" s="177"/>
      <c r="G12" s="181">
        <f ca="1">ROUND(IF(E2&lt;J2,(J3-J7)*E2,(J3-J7)*J2),2)</f>
        <v>108.86</v>
      </c>
      <c r="H12" s="181">
        <f>ROUND(IF(E2&lt;J2,J4*E2,J4*J2),2)</f>
        <v>9.99</v>
      </c>
      <c r="I12" s="182">
        <f ca="1">SUM(G12:H12)</f>
        <v>118.85</v>
      </c>
      <c r="J12" s="162"/>
      <c r="K12" s="162"/>
      <c r="L12" s="162"/>
      <c r="M12" s="162"/>
      <c r="N12" s="162"/>
      <c r="O12" s="162"/>
      <c r="P12" s="162"/>
      <c r="Q12" s="162"/>
    </row>
    <row r="13" spans="1:18" x14ac:dyDescent="0.2">
      <c r="B13" s="162"/>
      <c r="C13" s="162"/>
      <c r="D13" s="183"/>
      <c r="E13" s="184"/>
      <c r="K13" s="162"/>
      <c r="L13" s="162"/>
      <c r="M13" s="162"/>
      <c r="N13" s="162"/>
      <c r="O13" s="162"/>
      <c r="P13" s="162"/>
      <c r="Q13" s="162"/>
    </row>
    <row r="14" spans="1:18" x14ac:dyDescent="0.2">
      <c r="A14" s="162"/>
      <c r="F14" s="162"/>
      <c r="M14" s="162"/>
      <c r="N14" s="162"/>
      <c r="O14" s="162"/>
      <c r="P14" s="162"/>
      <c r="Q14" s="162"/>
      <c r="R14" s="162"/>
    </row>
    <row r="15" spans="1:18" x14ac:dyDescent="0.2">
      <c r="C15" s="337">
        <f ca="1">IF('WAO-WIA'!E9=1,IF(Werkgeverslasten!I64&gt;tabellen!$G$39/12,tabellen!$G$39/12,Werkgeverslasten!I64)*(tabellen!$C39+tabellen!$C40),IF(AND('WAO-WIA'!E5="ja",'WAO-WIA'!E8=1),IF(Werkgeverslasten!I64&gt;tabellen!$G$39/12,tabellen!$G$39/12,Werkgeverslasten!I64)*(tabellen!$C40),IF(Werkgeverslasten!I64&gt;tabellen!$G$39/12,tabellen!$G$39/12,Werkgeverslasten!I64)*(tabellen!$C39+tabellen!$C40)))</f>
        <v>118.84643768958333</v>
      </c>
    </row>
    <row r="16" spans="1:18" x14ac:dyDescent="0.2">
      <c r="E16" s="162"/>
      <c r="G16" s="185"/>
      <c r="H16" s="186"/>
      <c r="I16" s="187"/>
      <c r="J16" s="162"/>
    </row>
    <row r="17" spans="5:11" x14ac:dyDescent="0.2">
      <c r="E17" s="165"/>
      <c r="F17" s="188"/>
      <c r="H17" s="162"/>
      <c r="I17" s="162"/>
      <c r="J17" s="162"/>
      <c r="K17" s="162"/>
    </row>
    <row r="18" spans="5:11" x14ac:dyDescent="0.2">
      <c r="E18" s="189"/>
      <c r="F18" s="188"/>
      <c r="H18" s="162"/>
      <c r="K18" s="162"/>
    </row>
    <row r="19" spans="5:11" x14ac:dyDescent="0.2">
      <c r="E19" s="162"/>
      <c r="F19" s="162"/>
    </row>
    <row r="20" spans="5:11" x14ac:dyDescent="0.2">
      <c r="E20" s="162"/>
      <c r="F20" s="162"/>
    </row>
    <row r="21" spans="5:11" x14ac:dyDescent="0.2">
      <c r="E21" s="162"/>
      <c r="F21" s="162"/>
    </row>
    <row r="22" spans="5:11" x14ac:dyDescent="0.2">
      <c r="F22" s="162"/>
    </row>
  </sheetData>
  <sheetProtection password="DE55" sheet="1" objects="1" scenarios="1"/>
  <printOptions gridLines="1"/>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6"/>
  <sheetViews>
    <sheetView tabSelected="1" zoomScale="85" zoomScaleNormal="85" workbookViewId="0">
      <selection activeCell="B2" sqref="B2"/>
    </sheetView>
  </sheetViews>
  <sheetFormatPr defaultColWidth="9.7109375" defaultRowHeight="13.5" customHeight="1" x14ac:dyDescent="0.2"/>
  <cols>
    <col min="1" max="1" width="2.7109375" style="26" customWidth="1"/>
    <col min="2" max="4" width="2.5703125" style="26" customWidth="1"/>
    <col min="5" max="5" width="35.7109375" style="26" customWidth="1"/>
    <col min="6" max="6" width="12.7109375" style="27" customWidth="1"/>
    <col min="7" max="7" width="12.7109375" style="28" customWidth="1"/>
    <col min="8" max="8" width="2.7109375" style="28" customWidth="1"/>
    <col min="9" max="10" width="12.85546875" style="26" customWidth="1"/>
    <col min="11" max="11" width="2.7109375" style="26" customWidth="1"/>
    <col min="12" max="12" width="13.7109375" style="26" customWidth="1"/>
    <col min="13" max="13" width="12.7109375" style="26" customWidth="1"/>
    <col min="14" max="16" width="2.7109375" style="26" customWidth="1"/>
    <col min="17" max="16384" width="9.7109375" style="26"/>
  </cols>
  <sheetData>
    <row r="1" spans="2:18" ht="13.5" customHeight="1" thickBot="1" x14ac:dyDescent="0.25"/>
    <row r="2" spans="2:18" ht="13.5" customHeight="1" x14ac:dyDescent="0.2">
      <c r="B2" s="29"/>
      <c r="C2" s="30"/>
      <c r="D2" s="30"/>
      <c r="E2" s="30"/>
      <c r="F2" s="31"/>
      <c r="G2" s="32"/>
      <c r="H2" s="32"/>
      <c r="I2" s="30"/>
      <c r="J2" s="30"/>
      <c r="K2" s="30"/>
      <c r="L2" s="30"/>
      <c r="M2" s="30"/>
      <c r="N2" s="30"/>
      <c r="O2" s="33"/>
    </row>
    <row r="3" spans="2:18" ht="13.5" customHeight="1" x14ac:dyDescent="0.2">
      <c r="B3" s="34"/>
      <c r="C3" s="35"/>
      <c r="D3" s="35"/>
      <c r="E3" s="35"/>
      <c r="F3" s="36"/>
      <c r="G3" s="37"/>
      <c r="H3" s="37"/>
      <c r="I3" s="35"/>
      <c r="J3" s="35"/>
      <c r="K3" s="35"/>
      <c r="L3" s="35"/>
      <c r="M3" s="35"/>
      <c r="N3" s="35"/>
      <c r="O3" s="38"/>
    </row>
    <row r="4" spans="2:18" s="47" customFormat="1" ht="18" customHeight="1" x14ac:dyDescent="0.25">
      <c r="B4" s="39"/>
      <c r="C4" s="40" t="s">
        <v>46</v>
      </c>
      <c r="D4" s="41"/>
      <c r="E4" s="41"/>
      <c r="F4" s="42">
        <f>tabellen!B2</f>
        <v>2014</v>
      </c>
      <c r="G4" s="43" t="str">
        <f>tabellen!C2</f>
        <v>na 1 januari</v>
      </c>
      <c r="H4" s="44"/>
      <c r="I4" s="41"/>
      <c r="J4" s="41"/>
      <c r="K4" s="41"/>
      <c r="L4" s="45"/>
      <c r="M4" s="41"/>
      <c r="N4" s="41"/>
      <c r="O4" s="46"/>
    </row>
    <row r="5" spans="2:18" s="47" customFormat="1" ht="12.75" customHeight="1" x14ac:dyDescent="0.25">
      <c r="B5" s="39"/>
      <c r="C5" s="40"/>
      <c r="D5" s="41"/>
      <c r="E5" s="41"/>
      <c r="F5" s="42"/>
      <c r="G5" s="42"/>
      <c r="H5" s="44"/>
      <c r="I5" s="41"/>
      <c r="J5" s="41"/>
      <c r="K5" s="41"/>
      <c r="L5" s="45"/>
      <c r="M5" s="41"/>
      <c r="N5" s="41"/>
      <c r="O5" s="46"/>
    </row>
    <row r="6" spans="2:18" ht="12.75" customHeight="1" x14ac:dyDescent="0.2">
      <c r="B6" s="34"/>
      <c r="C6" s="35"/>
      <c r="D6" s="35"/>
      <c r="E6" s="48"/>
      <c r="F6" s="36"/>
      <c r="G6" s="37"/>
      <c r="H6" s="37"/>
      <c r="I6" s="49">
        <f ca="1">NOW()</f>
        <v>41651.636151273146</v>
      </c>
      <c r="J6" s="50"/>
      <c r="K6" s="35"/>
      <c r="L6" s="50"/>
      <c r="M6" s="50"/>
      <c r="N6" s="35"/>
      <c r="O6" s="38"/>
    </row>
    <row r="7" spans="2:18" ht="12.75" customHeight="1" x14ac:dyDescent="0.2">
      <c r="B7" s="34"/>
      <c r="C7" s="51"/>
      <c r="D7" s="51"/>
      <c r="E7" s="52"/>
      <c r="F7" s="53"/>
      <c r="G7" s="54"/>
      <c r="H7" s="54"/>
      <c r="I7" s="51"/>
      <c r="J7" s="51"/>
      <c r="K7" s="51"/>
      <c r="L7" s="51"/>
      <c r="M7" s="51"/>
      <c r="N7" s="51"/>
      <c r="O7" s="38"/>
    </row>
    <row r="8" spans="2:18" ht="12.75" customHeight="1" x14ac:dyDescent="0.2">
      <c r="B8" s="34"/>
      <c r="C8" s="51"/>
      <c r="D8" s="55" t="s">
        <v>47</v>
      </c>
      <c r="E8" s="52"/>
      <c r="F8" s="53"/>
      <c r="G8" s="54"/>
      <c r="H8" s="54"/>
      <c r="I8" s="51"/>
      <c r="J8" s="51"/>
      <c r="K8" s="51"/>
      <c r="L8" s="51"/>
      <c r="M8" s="51"/>
      <c r="N8" s="51"/>
      <c r="O8" s="38"/>
    </row>
    <row r="9" spans="2:18" ht="12.75" customHeight="1" x14ac:dyDescent="0.2">
      <c r="B9" s="34"/>
      <c r="C9" s="51"/>
      <c r="D9" s="51"/>
      <c r="E9" s="52"/>
      <c r="F9" s="53"/>
      <c r="G9" s="54"/>
      <c r="H9" s="54"/>
      <c r="I9" s="51"/>
      <c r="J9" s="51"/>
      <c r="K9" s="51"/>
      <c r="L9" s="51"/>
      <c r="M9" s="51"/>
      <c r="N9" s="51"/>
      <c r="O9" s="38"/>
    </row>
    <row r="10" spans="2:18" ht="12.75" customHeight="1" x14ac:dyDescent="0.2">
      <c r="B10" s="56"/>
      <c r="C10" s="55"/>
      <c r="D10" s="51" t="s">
        <v>48</v>
      </c>
      <c r="E10" s="51"/>
      <c r="F10" s="51"/>
      <c r="G10" s="51"/>
      <c r="H10" s="51"/>
      <c r="I10" s="329" t="s">
        <v>49</v>
      </c>
      <c r="J10" s="329"/>
      <c r="K10" s="51"/>
      <c r="L10" s="57"/>
      <c r="M10" s="51"/>
      <c r="N10" s="51"/>
      <c r="O10" s="38"/>
    </row>
    <row r="11" spans="2:18" ht="12.75" customHeight="1" x14ac:dyDescent="0.2">
      <c r="B11" s="34"/>
      <c r="C11" s="51"/>
      <c r="D11" s="51" t="s">
        <v>50</v>
      </c>
      <c r="E11" s="51"/>
      <c r="F11" s="53"/>
      <c r="G11" s="54"/>
      <c r="H11" s="54"/>
      <c r="I11" s="58">
        <v>19360</v>
      </c>
      <c r="J11" s="59">
        <f ca="1">YEAR(I6)-YEAR(I11)</f>
        <v>61</v>
      </c>
      <c r="K11" s="60"/>
      <c r="L11" s="61">
        <f ca="1">MONTH(I6)-MONTH(I11)</f>
        <v>0</v>
      </c>
      <c r="M11" s="61">
        <f ca="1">DAY(I6)-DAY(I11)</f>
        <v>11</v>
      </c>
      <c r="N11" s="51"/>
      <c r="O11" s="38"/>
    </row>
    <row r="12" spans="2:18" ht="12.75" customHeight="1" x14ac:dyDescent="0.2">
      <c r="B12" s="34"/>
      <c r="C12" s="51"/>
      <c r="D12" s="55"/>
      <c r="E12" s="51"/>
      <c r="F12" s="53"/>
      <c r="G12" s="54"/>
      <c r="H12" s="54"/>
      <c r="I12" s="51"/>
      <c r="J12" s="62">
        <f>YEAR(I11)</f>
        <v>1953</v>
      </c>
      <c r="K12" s="60"/>
      <c r="L12" s="63"/>
      <c r="M12" s="63"/>
      <c r="N12" s="51"/>
      <c r="O12" s="38"/>
    </row>
    <row r="13" spans="2:18" ht="12.75" customHeight="1" x14ac:dyDescent="0.2">
      <c r="B13" s="34"/>
      <c r="C13" s="51"/>
      <c r="D13" s="64" t="s">
        <v>51</v>
      </c>
      <c r="E13" s="51"/>
      <c r="F13" s="51"/>
      <c r="G13" s="51"/>
      <c r="H13" s="51"/>
      <c r="I13" s="65"/>
      <c r="J13" s="63"/>
      <c r="K13" s="63"/>
      <c r="L13" s="63"/>
      <c r="M13" s="63"/>
      <c r="N13" s="51"/>
      <c r="O13" s="38"/>
    </row>
    <row r="14" spans="2:18" ht="12.75" customHeight="1" x14ac:dyDescent="0.2">
      <c r="B14" s="34"/>
      <c r="C14" s="51"/>
      <c r="D14" s="53" t="s">
        <v>52</v>
      </c>
      <c r="E14" s="51"/>
      <c r="F14" s="51"/>
      <c r="G14" s="53"/>
      <c r="H14" s="54"/>
      <c r="I14" s="66" t="s">
        <v>6</v>
      </c>
      <c r="J14" s="63">
        <f>IF(AND(I14&gt;0,I14&lt;16),0,100)</f>
        <v>100</v>
      </c>
      <c r="K14" s="63"/>
      <c r="L14" s="63"/>
      <c r="M14" s="63"/>
      <c r="N14" s="51"/>
      <c r="O14" s="38"/>
    </row>
    <row r="15" spans="2:18" ht="12.75" customHeight="1" x14ac:dyDescent="0.2">
      <c r="B15" s="34"/>
      <c r="C15" s="51"/>
      <c r="D15" s="53" t="s">
        <v>53</v>
      </c>
      <c r="E15" s="51"/>
      <c r="F15" s="51"/>
      <c r="G15" s="54"/>
      <c r="H15" s="54"/>
      <c r="I15" s="66">
        <v>2</v>
      </c>
      <c r="J15" s="322" t="str">
        <f>IF(AND(I15&gt;0,I15&lt;M15+1),"",R15)</f>
        <v/>
      </c>
      <c r="K15" s="67"/>
      <c r="L15" s="68" t="s">
        <v>54</v>
      </c>
      <c r="M15" s="69">
        <f>VLOOKUP(I14,salaristabellen,20,FALSE)</f>
        <v>12</v>
      </c>
      <c r="N15" s="51"/>
      <c r="O15" s="38"/>
      <c r="R15" s="70" t="s">
        <v>55</v>
      </c>
    </row>
    <row r="16" spans="2:18" ht="12.75" customHeight="1" x14ac:dyDescent="0.2">
      <c r="B16" s="34"/>
      <c r="C16" s="51"/>
      <c r="D16" s="53" t="s">
        <v>56</v>
      </c>
      <c r="E16" s="51"/>
      <c r="F16" s="51"/>
      <c r="G16" s="54"/>
      <c r="H16" s="54"/>
      <c r="I16" s="71">
        <f>VLOOKUP(I14,salaristabellen,I15+1,FALSE)</f>
        <v>2505</v>
      </c>
      <c r="J16" s="63"/>
      <c r="K16" s="63"/>
      <c r="L16" s="63"/>
      <c r="M16" s="63"/>
      <c r="N16" s="51"/>
      <c r="O16" s="38"/>
    </row>
    <row r="17" spans="2:15" ht="12.75" x14ac:dyDescent="0.2">
      <c r="B17" s="34"/>
      <c r="C17" s="51"/>
      <c r="D17" s="51" t="s">
        <v>57</v>
      </c>
      <c r="E17" s="51"/>
      <c r="F17" s="53"/>
      <c r="G17" s="54"/>
      <c r="H17" s="54"/>
      <c r="I17" s="72">
        <v>0.72</v>
      </c>
      <c r="J17" s="63"/>
      <c r="K17" s="63"/>
      <c r="L17" s="63"/>
      <c r="M17" s="63"/>
      <c r="N17" s="51"/>
      <c r="O17" s="38"/>
    </row>
    <row r="18" spans="2:15" ht="12.75" x14ac:dyDescent="0.2">
      <c r="B18" s="34"/>
      <c r="C18" s="51"/>
      <c r="D18" s="53" t="s">
        <v>58</v>
      </c>
      <c r="E18" s="51"/>
      <c r="F18" s="51"/>
      <c r="G18" s="54"/>
      <c r="H18" s="54"/>
      <c r="I18" s="71">
        <f>+I16*I17</f>
        <v>1803.6</v>
      </c>
      <c r="J18" s="63"/>
      <c r="K18" s="63"/>
      <c r="L18" s="63"/>
      <c r="M18" s="63"/>
      <c r="N18" s="51"/>
      <c r="O18" s="38"/>
    </row>
    <row r="19" spans="2:15" ht="12.75" x14ac:dyDescent="0.2">
      <c r="B19" s="34"/>
      <c r="C19" s="51"/>
      <c r="D19" s="51"/>
      <c r="E19" s="51"/>
      <c r="F19" s="53"/>
      <c r="G19" s="54"/>
      <c r="H19" s="54"/>
      <c r="I19" s="73"/>
      <c r="J19" s="63"/>
      <c r="K19" s="63"/>
      <c r="L19" s="63"/>
      <c r="M19" s="63"/>
      <c r="N19" s="51"/>
      <c r="O19" s="38"/>
    </row>
    <row r="20" spans="2:15" ht="12.75" x14ac:dyDescent="0.2">
      <c r="B20" s="34"/>
      <c r="C20" s="51"/>
      <c r="D20" s="55" t="s">
        <v>59</v>
      </c>
      <c r="E20" s="51"/>
      <c r="F20" s="53"/>
      <c r="G20" s="54"/>
      <c r="H20" s="54"/>
      <c r="I20" s="51"/>
      <c r="J20" s="63"/>
      <c r="K20" s="63"/>
      <c r="L20" s="63"/>
      <c r="M20" s="63"/>
      <c r="N20" s="51"/>
      <c r="O20" s="38"/>
    </row>
    <row r="21" spans="2:15" ht="12.75" x14ac:dyDescent="0.2">
      <c r="B21" s="34"/>
      <c r="C21" s="51"/>
      <c r="D21" s="53" t="s">
        <v>60</v>
      </c>
      <c r="E21" s="51"/>
      <c r="F21" s="74" t="s">
        <v>6</v>
      </c>
      <c r="G21" s="66" t="s">
        <v>271</v>
      </c>
      <c r="H21" s="54"/>
      <c r="I21" s="75">
        <f>ROUND(IF(G21="ja",VLOOKUP(F21,uitlooptoeslag,2,FALSE))*IF(I17&gt;1,1,I17),2)</f>
        <v>0</v>
      </c>
      <c r="J21" s="63"/>
      <c r="K21" s="63"/>
      <c r="L21" s="63"/>
      <c r="M21" s="63"/>
      <c r="N21" s="51"/>
      <c r="O21" s="38"/>
    </row>
    <row r="22" spans="2:15" ht="12.75" x14ac:dyDescent="0.2">
      <c r="B22" s="34"/>
      <c r="C22" s="51"/>
      <c r="D22" s="53" t="s">
        <v>62</v>
      </c>
      <c r="E22" s="51"/>
      <c r="F22" s="53"/>
      <c r="G22" s="76">
        <v>0.08</v>
      </c>
      <c r="H22" s="77"/>
      <c r="I22" s="75">
        <f>ROUND(IF((I$18+I$21)*G22&lt;I17*tabellen!D64,I17*tabellen!D64,(I$18+I$21)*G22),2)</f>
        <v>144.29</v>
      </c>
      <c r="J22" s="63"/>
      <c r="K22" s="63"/>
      <c r="L22" s="63"/>
      <c r="M22" s="63"/>
      <c r="N22" s="51"/>
      <c r="O22" s="38"/>
    </row>
    <row r="23" spans="2:15" ht="12.75" x14ac:dyDescent="0.2">
      <c r="B23" s="34"/>
      <c r="C23" s="51"/>
      <c r="D23" s="53" t="s">
        <v>63</v>
      </c>
      <c r="E23" s="51"/>
      <c r="F23" s="53"/>
      <c r="G23" s="78">
        <f>tabellen!D65+IF(J12&lt;1950,0,tabellen!C59)</f>
        <v>7.400000000000001E-2</v>
      </c>
      <c r="H23" s="79"/>
      <c r="I23" s="75">
        <f>ROUND(+(I$18+I$21)*G23,2)</f>
        <v>133.47</v>
      </c>
      <c r="J23" s="63"/>
      <c r="K23" s="63"/>
      <c r="L23" s="63"/>
      <c r="M23" s="63"/>
      <c r="N23" s="51"/>
      <c r="O23" s="38"/>
    </row>
    <row r="24" spans="2:15" ht="12.75" x14ac:dyDescent="0.2">
      <c r="B24" s="34"/>
      <c r="C24" s="51"/>
      <c r="D24" s="53" t="s">
        <v>64</v>
      </c>
      <c r="E24" s="51"/>
      <c r="F24" s="53"/>
      <c r="G24" s="79"/>
      <c r="H24" s="79"/>
      <c r="I24" s="75">
        <f>+tabellen!C57*I17</f>
        <v>23.335199999999997</v>
      </c>
      <c r="J24" s="63"/>
      <c r="K24" s="63"/>
      <c r="L24" s="63"/>
      <c r="M24" s="63"/>
      <c r="N24" s="51"/>
      <c r="O24" s="38"/>
    </row>
    <row r="25" spans="2:15" ht="12.75" x14ac:dyDescent="0.2">
      <c r="B25" s="34"/>
      <c r="C25" s="51"/>
      <c r="D25" s="53" t="s">
        <v>41</v>
      </c>
      <c r="E25" s="51"/>
      <c r="F25" s="80"/>
      <c r="G25" s="81">
        <f>IF(J14=100,0,I14)</f>
        <v>0</v>
      </c>
      <c r="H25" s="79"/>
      <c r="I25" s="75">
        <f>VLOOKUP(G25,eindejaarsuitkering_OOP,2,TRUE)*I17/12</f>
        <v>0</v>
      </c>
      <c r="J25" s="63"/>
      <c r="K25" s="63"/>
      <c r="L25" s="63"/>
      <c r="M25" s="63"/>
      <c r="N25" s="51"/>
      <c r="O25" s="38"/>
    </row>
    <row r="26" spans="2:15" s="87" customFormat="1" ht="12.75" x14ac:dyDescent="0.2">
      <c r="B26" s="56"/>
      <c r="C26" s="55"/>
      <c r="D26" s="55"/>
      <c r="E26" s="55"/>
      <c r="F26" s="82"/>
      <c r="G26" s="83"/>
      <c r="H26" s="83"/>
      <c r="I26" s="84">
        <f>+I18+SUM(I21:I25)</f>
        <v>2104.6952000000001</v>
      </c>
      <c r="J26" s="85"/>
      <c r="K26" s="85"/>
      <c r="L26" s="85"/>
      <c r="M26" s="85"/>
      <c r="N26" s="55"/>
      <c r="O26" s="86"/>
    </row>
    <row r="27" spans="2:15" ht="12.75" x14ac:dyDescent="0.2">
      <c r="B27" s="34"/>
      <c r="C27" s="51"/>
      <c r="D27" s="55"/>
      <c r="E27" s="51"/>
      <c r="F27" s="53"/>
      <c r="G27" s="54"/>
      <c r="H27" s="54"/>
      <c r="I27" s="88"/>
      <c r="J27" s="63"/>
      <c r="K27" s="63"/>
      <c r="L27" s="63"/>
      <c r="M27" s="63"/>
      <c r="N27" s="51"/>
      <c r="O27" s="38"/>
    </row>
    <row r="28" spans="2:15" ht="12.75" x14ac:dyDescent="0.2">
      <c r="B28" s="34"/>
      <c r="C28" s="51"/>
      <c r="D28" s="51" t="s">
        <v>65</v>
      </c>
      <c r="E28" s="55"/>
      <c r="F28" s="53"/>
      <c r="G28" s="54"/>
      <c r="H28" s="54"/>
      <c r="I28" s="75">
        <f>+I26*12</f>
        <v>25256.342400000001</v>
      </c>
      <c r="J28" s="63"/>
      <c r="K28" s="63"/>
      <c r="L28" s="63"/>
      <c r="M28" s="63"/>
      <c r="N28" s="51"/>
      <c r="O28" s="38"/>
    </row>
    <row r="29" spans="2:15" ht="12.75" x14ac:dyDescent="0.2">
      <c r="B29" s="34"/>
      <c r="C29" s="51"/>
      <c r="D29" s="51" t="s">
        <v>31</v>
      </c>
      <c r="E29" s="55"/>
      <c r="F29" s="74" t="s">
        <v>66</v>
      </c>
      <c r="G29" s="66" t="s">
        <v>271</v>
      </c>
      <c r="H29" s="54"/>
      <c r="I29" s="75">
        <f>ROUND(IF(G29="ja",VLOOKUP(F29,bindingstoelage,2,FALSE))*IF(I17&gt;1,1,I17),2)</f>
        <v>0</v>
      </c>
      <c r="J29" s="63"/>
      <c r="K29" s="63"/>
      <c r="L29" s="63"/>
      <c r="M29" s="63"/>
      <c r="N29" s="51"/>
      <c r="O29" s="38"/>
    </row>
    <row r="30" spans="2:15" ht="12.75" x14ac:dyDescent="0.2">
      <c r="B30" s="34"/>
      <c r="C30" s="51"/>
      <c r="D30" s="55"/>
      <c r="E30" s="51"/>
      <c r="F30" s="53"/>
      <c r="G30" s="54"/>
      <c r="H30" s="54"/>
      <c r="I30" s="84">
        <f>ROUND(SUM(I28:I29),0)</f>
        <v>25256</v>
      </c>
      <c r="J30" s="63"/>
      <c r="K30" s="63"/>
      <c r="L30" s="63"/>
      <c r="M30" s="63"/>
      <c r="N30" s="51"/>
      <c r="O30" s="38"/>
    </row>
    <row r="31" spans="2:15" ht="12.75" x14ac:dyDescent="0.2">
      <c r="B31" s="34"/>
      <c r="C31" s="51"/>
      <c r="D31" s="55"/>
      <c r="E31" s="51"/>
      <c r="F31" s="53"/>
      <c r="G31" s="54"/>
      <c r="H31" s="54"/>
      <c r="I31" s="89"/>
      <c r="J31" s="63"/>
      <c r="K31" s="63"/>
      <c r="L31" s="63"/>
      <c r="M31" s="63"/>
      <c r="N31" s="51"/>
      <c r="O31" s="38"/>
    </row>
    <row r="32" spans="2:15" ht="12.75" x14ac:dyDescent="0.2">
      <c r="B32" s="34"/>
      <c r="C32" s="51"/>
      <c r="D32" s="51" t="s">
        <v>67</v>
      </c>
      <c r="E32" s="51"/>
      <c r="F32" s="53"/>
      <c r="G32" s="78">
        <v>1.9E-2</v>
      </c>
      <c r="H32" s="79"/>
      <c r="I32" s="75">
        <f>+(I30/(1+1.9%))*G32</f>
        <v>470.91658488714432</v>
      </c>
      <c r="J32" s="63"/>
      <c r="K32" s="63"/>
      <c r="L32" s="63"/>
      <c r="M32" s="63"/>
      <c r="N32" s="51"/>
      <c r="O32" s="38"/>
    </row>
    <row r="33" spans="2:15" ht="12.75" x14ac:dyDescent="0.2">
      <c r="B33" s="34"/>
      <c r="C33" s="51"/>
      <c r="D33" s="51" t="s">
        <v>68</v>
      </c>
      <c r="E33" s="51"/>
      <c r="F33" s="53"/>
      <c r="G33" s="54"/>
      <c r="H33" s="54"/>
      <c r="I33" s="75">
        <v>791.85</v>
      </c>
      <c r="J33" s="90">
        <f>IF(I33&gt;I32,I32,I33)</f>
        <v>470.91658488714432</v>
      </c>
      <c r="K33" s="90"/>
      <c r="L33" s="63"/>
      <c r="M33" s="63"/>
      <c r="N33" s="51"/>
      <c r="O33" s="38"/>
    </row>
    <row r="34" spans="2:15" ht="12.75" x14ac:dyDescent="0.2">
      <c r="B34" s="34"/>
      <c r="C34" s="51"/>
      <c r="D34" s="55" t="s">
        <v>69</v>
      </c>
      <c r="E34" s="51"/>
      <c r="F34" s="53"/>
      <c r="G34" s="54"/>
      <c r="H34" s="54"/>
      <c r="I34" s="84">
        <f>ROUND(I30-IF(I33&gt;I32,I32,I33),0)</f>
        <v>24785</v>
      </c>
      <c r="J34" s="63"/>
      <c r="K34" s="63"/>
      <c r="L34" s="63"/>
      <c r="M34" s="63"/>
      <c r="N34" s="51"/>
      <c r="O34" s="38"/>
    </row>
    <row r="35" spans="2:15" ht="12.75" x14ac:dyDescent="0.2">
      <c r="B35" s="34"/>
      <c r="C35" s="51"/>
      <c r="D35" s="51"/>
      <c r="E35" s="55"/>
      <c r="F35" s="53"/>
      <c r="G35" s="54"/>
      <c r="H35" s="54"/>
      <c r="I35" s="91"/>
      <c r="J35" s="63"/>
      <c r="K35" s="63"/>
      <c r="L35" s="63"/>
      <c r="M35" s="63"/>
      <c r="N35" s="91"/>
      <c r="O35" s="38"/>
    </row>
    <row r="36" spans="2:15" s="100" customFormat="1" ht="12.75" x14ac:dyDescent="0.2">
      <c r="B36" s="92"/>
      <c r="C36" s="93"/>
      <c r="D36" s="55" t="s">
        <v>70</v>
      </c>
      <c r="E36" s="93"/>
      <c r="F36" s="94"/>
      <c r="G36" s="95"/>
      <c r="H36" s="95"/>
      <c r="I36" s="96" t="s">
        <v>71</v>
      </c>
      <c r="J36" s="96" t="s">
        <v>72</v>
      </c>
      <c r="K36" s="97"/>
      <c r="L36" s="76" t="s">
        <v>73</v>
      </c>
      <c r="M36" s="98" t="s">
        <v>74</v>
      </c>
      <c r="N36" s="93"/>
      <c r="O36" s="99"/>
    </row>
    <row r="37" spans="2:15" ht="12.75" x14ac:dyDescent="0.2">
      <c r="B37" s="34"/>
      <c r="C37" s="51"/>
      <c r="D37" s="55"/>
      <c r="E37" s="51"/>
      <c r="F37" s="53"/>
      <c r="G37" s="54"/>
      <c r="H37" s="54"/>
      <c r="I37" s="101"/>
      <c r="J37" s="101"/>
      <c r="K37" s="83"/>
      <c r="L37" s="102">
        <f>I30</f>
        <v>25256</v>
      </c>
      <c r="M37" s="103">
        <f>12*I18</f>
        <v>21643.199999999997</v>
      </c>
      <c r="N37" s="51"/>
      <c r="O37" s="104"/>
    </row>
    <row r="38" spans="2:15" ht="12.75" x14ac:dyDescent="0.2">
      <c r="B38" s="34"/>
      <c r="C38" s="51"/>
      <c r="D38" s="53" t="s">
        <v>75</v>
      </c>
      <c r="E38" s="51" t="s">
        <v>76</v>
      </c>
      <c r="F38" s="53"/>
      <c r="G38" s="54"/>
      <c r="H38" s="54"/>
      <c r="I38" s="75">
        <f>+I30/12</f>
        <v>2104.6666666666665</v>
      </c>
      <c r="J38" s="75">
        <f>+I30</f>
        <v>25256</v>
      </c>
      <c r="K38" s="73"/>
      <c r="L38" s="51"/>
      <c r="M38" s="51"/>
      <c r="N38" s="51"/>
      <c r="O38" s="104"/>
    </row>
    <row r="39" spans="2:15" ht="12.75" x14ac:dyDescent="0.2">
      <c r="B39" s="34"/>
      <c r="C39" s="51"/>
      <c r="D39" s="53" t="s">
        <v>77</v>
      </c>
      <c r="E39" s="51" t="s">
        <v>21</v>
      </c>
      <c r="F39" s="53"/>
      <c r="G39" s="54"/>
      <c r="H39" s="54"/>
      <c r="I39" s="75">
        <f>IF($I$34/$I$17&lt;tabellen!E36,0,($I$34-tabellen!E36*$I$17)/12)*tabellen!$C36</f>
        <v>199.47812083333335</v>
      </c>
      <c r="J39" s="75">
        <f>IF($I$34/$I$17&lt;tabellen!E36,0,(+$I$34-tabellen!E36*$I$17))*tabellen!$C36</f>
        <v>2393.7374500000001</v>
      </c>
      <c r="K39" s="73"/>
      <c r="L39" s="105">
        <f t="shared" ref="L39:L47" si="0">+J39/J$38</f>
        <v>9.4778961434906564E-2</v>
      </c>
      <c r="M39" s="105">
        <f t="shared" ref="M39:M47" si="1">+J39/(12*I$18)</f>
        <v>0.11059997828417241</v>
      </c>
      <c r="N39" s="51"/>
      <c r="O39" s="104"/>
    </row>
    <row r="40" spans="2:15" ht="12.75" x14ac:dyDescent="0.2">
      <c r="B40" s="34"/>
      <c r="C40" s="51"/>
      <c r="D40" s="53" t="s">
        <v>78</v>
      </c>
      <c r="E40" s="51" t="s">
        <v>79</v>
      </c>
      <c r="F40" s="53"/>
      <c r="G40" s="54"/>
      <c r="H40" s="54"/>
      <c r="I40" s="75">
        <f>IF($I$34/$I$17&lt;tabellen!E37,0,(+$I$34-tabellen!E37*$I$17)/12)*tabellen!$C37</f>
        <v>2.7312499999999997</v>
      </c>
      <c r="J40" s="75">
        <f>IF($I$34/$I$17&lt;tabellen!E37,0,(+$I$34-tabellen!E37*$I$17))*tabellen!$C37</f>
        <v>32.774999999999999</v>
      </c>
      <c r="K40" s="73"/>
      <c r="L40" s="105">
        <f t="shared" si="0"/>
        <v>1.2977114349065567E-3</v>
      </c>
      <c r="M40" s="105">
        <f t="shared" si="1"/>
        <v>1.514332446218674E-3</v>
      </c>
      <c r="N40" s="51"/>
      <c r="O40" s="104"/>
    </row>
    <row r="41" spans="2:15" ht="12.75" x14ac:dyDescent="0.2">
      <c r="B41" s="34"/>
      <c r="C41" s="51"/>
      <c r="D41" s="53" t="s">
        <v>80</v>
      </c>
      <c r="E41" s="51" t="s">
        <v>81</v>
      </c>
      <c r="F41" s="53" t="s">
        <v>82</v>
      </c>
      <c r="G41" s="53"/>
      <c r="H41" s="54"/>
      <c r="I41" s="75">
        <f>$I$34/12*tabellen!$C38</f>
        <v>82.61666666666666</v>
      </c>
      <c r="J41" s="75">
        <f>$I$34*tabellen!$C38</f>
        <v>991.4</v>
      </c>
      <c r="K41" s="73"/>
      <c r="L41" s="105">
        <f>+J41/J$38</f>
        <v>3.9254038644282549E-2</v>
      </c>
      <c r="M41" s="105">
        <f>+J41/(12*I$18)</f>
        <v>4.5806535077992171E-2</v>
      </c>
      <c r="N41" s="51"/>
      <c r="O41" s="104"/>
    </row>
    <row r="42" spans="2:15" ht="12.75" x14ac:dyDescent="0.2">
      <c r="B42" s="34"/>
      <c r="C42" s="51"/>
      <c r="D42" s="53"/>
      <c r="E42" s="106" t="s">
        <v>83</v>
      </c>
      <c r="F42" s="80"/>
      <c r="G42" s="66" t="s">
        <v>271</v>
      </c>
      <c r="H42" s="54"/>
      <c r="I42" s="88"/>
      <c r="J42" s="88"/>
      <c r="K42" s="73"/>
      <c r="L42" s="78"/>
      <c r="M42" s="78"/>
      <c r="N42" s="51"/>
      <c r="O42" s="104"/>
    </row>
    <row r="43" spans="2:15" ht="12.75" x14ac:dyDescent="0.2">
      <c r="B43" s="34"/>
      <c r="C43" s="51"/>
      <c r="D43" s="53" t="s">
        <v>84</v>
      </c>
      <c r="E43" s="51" t="s">
        <v>85</v>
      </c>
      <c r="F43" s="53"/>
      <c r="G43" s="54"/>
      <c r="H43" s="54"/>
      <c r="I43" s="75">
        <f ca="1">IF('WAO-WIA'!E9=1,IF($I$64&gt;tabellen!$G$39/12,tabellen!$G$39/12,$I$64)*(tabellen!$C39+tabellen!$C40),IF(AND('WAO-WIA'!E5="ja",'WAO-WIA'!E8=1),IF($I$64&gt;tabellen!$G$39/12,tabellen!$G$39/12,$I$64)*(tabellen!$C40),IF($I$64&gt;tabellen!$G$39/12,tabellen!$G$39/12,$I$64)*(tabellen!$C39+tabellen!$C40)))</f>
        <v>118.84643768958333</v>
      </c>
      <c r="J43" s="75">
        <f ca="1">12*I43</f>
        <v>1426.1572522749998</v>
      </c>
      <c r="K43" s="73"/>
      <c r="L43" s="105">
        <f t="shared" ca="1" si="0"/>
        <v>5.6468057185421278E-2</v>
      </c>
      <c r="M43" s="105">
        <f t="shared" ca="1" si="1"/>
        <v>6.5894010695045094E-2</v>
      </c>
      <c r="N43" s="51"/>
      <c r="O43" s="104"/>
    </row>
    <row r="44" spans="2:15" ht="12.75" x14ac:dyDescent="0.2">
      <c r="B44" s="34"/>
      <c r="C44" s="51"/>
      <c r="D44" s="53" t="s">
        <v>86</v>
      </c>
      <c r="E44" s="51" t="s">
        <v>87</v>
      </c>
      <c r="F44" s="53"/>
      <c r="G44" s="54"/>
      <c r="H44" s="54"/>
      <c r="I44" s="75">
        <f>ROUND(IF(I64&gt;tabellen!H42,tabellen!H42,I64)*tabellen!C42,2)</f>
        <v>149.81</v>
      </c>
      <c r="J44" s="75">
        <f>ROUND(IF(J64&gt;tabellen!G42,tabellen!G42,J64)*tabellen!C42,2)</f>
        <v>1797.68</v>
      </c>
      <c r="K44" s="73"/>
      <c r="L44" s="105">
        <f t="shared" si="0"/>
        <v>7.1178333861260698E-2</v>
      </c>
      <c r="M44" s="105">
        <f t="shared" si="1"/>
        <v>8.3059806313299345E-2</v>
      </c>
      <c r="N44" s="51"/>
      <c r="O44" s="104"/>
    </row>
    <row r="45" spans="2:15" ht="12.75" x14ac:dyDescent="0.2">
      <c r="B45" s="34"/>
      <c r="C45" s="51"/>
      <c r="D45" s="53" t="s">
        <v>88</v>
      </c>
      <c r="E45" s="51" t="s">
        <v>89</v>
      </c>
      <c r="F45" s="53"/>
      <c r="G45" s="54"/>
      <c r="H45" s="54"/>
      <c r="I45" s="75">
        <f>IF($I$64&gt;tabellen!$G$43*$I$17/12,tabellen!$G$43*$I$17/12,$I$64)*tabellen!$C43</f>
        <v>16.578578702916666</v>
      </c>
      <c r="J45" s="75">
        <f>IF($J$64&gt;tabellen!$G$43*$I$17,tabellen!$G$43*$I$17,$J$64)*tabellen!$C43</f>
        <v>198.94294443500002</v>
      </c>
      <c r="K45" s="73"/>
      <c r="L45" s="105">
        <f t="shared" si="0"/>
        <v>7.8770567166217935E-3</v>
      </c>
      <c r="M45" s="105">
        <f t="shared" si="1"/>
        <v>9.1919376263676373E-3</v>
      </c>
      <c r="N45" s="51"/>
      <c r="O45" s="104"/>
    </row>
    <row r="46" spans="2:15" ht="12.75" x14ac:dyDescent="0.2">
      <c r="B46" s="34"/>
      <c r="C46" s="51"/>
      <c r="D46" s="53" t="s">
        <v>90</v>
      </c>
      <c r="E46" s="51" t="s">
        <v>91</v>
      </c>
      <c r="F46" s="53"/>
      <c r="G46" s="107"/>
      <c r="H46" s="54"/>
      <c r="I46" s="75">
        <f>I64*tabellen!C44</f>
        <v>0</v>
      </c>
      <c r="J46" s="75">
        <f>J64*tabellen!C44</f>
        <v>0</v>
      </c>
      <c r="K46" s="73"/>
      <c r="L46" s="105">
        <f t="shared" si="0"/>
        <v>0</v>
      </c>
      <c r="M46" s="105">
        <f t="shared" si="1"/>
        <v>0</v>
      </c>
      <c r="N46" s="51"/>
      <c r="O46" s="104"/>
    </row>
    <row r="47" spans="2:15" ht="12.75" x14ac:dyDescent="0.2">
      <c r="B47" s="34"/>
      <c r="C47" s="51"/>
      <c r="D47" s="53" t="s">
        <v>92</v>
      </c>
      <c r="E47" s="51" t="s">
        <v>93</v>
      </c>
      <c r="F47" s="53"/>
      <c r="G47" s="54"/>
      <c r="H47" s="54"/>
      <c r="I47" s="75">
        <f>I64*tabellen!C45</f>
        <v>0</v>
      </c>
      <c r="J47" s="75">
        <f>J64*tabellen!C45</f>
        <v>0</v>
      </c>
      <c r="K47" s="73"/>
      <c r="L47" s="105">
        <f t="shared" si="0"/>
        <v>0</v>
      </c>
      <c r="M47" s="105">
        <f t="shared" si="1"/>
        <v>0</v>
      </c>
      <c r="N47" s="51"/>
      <c r="O47" s="104"/>
    </row>
    <row r="48" spans="2:15" ht="12.75" x14ac:dyDescent="0.2">
      <c r="B48" s="34"/>
      <c r="C48" s="51"/>
      <c r="D48" s="80"/>
      <c r="E48" s="51"/>
      <c r="F48" s="53"/>
      <c r="G48" s="54"/>
      <c r="H48" s="54"/>
      <c r="I48" s="88"/>
      <c r="J48" s="88"/>
      <c r="K48" s="73"/>
      <c r="L48" s="78"/>
      <c r="M48" s="78"/>
      <c r="N48" s="51"/>
      <c r="O48" s="104"/>
    </row>
    <row r="49" spans="2:15" s="87" customFormat="1" ht="12.75" x14ac:dyDescent="0.2">
      <c r="B49" s="56"/>
      <c r="C49" s="55"/>
      <c r="D49" s="55" t="s">
        <v>94</v>
      </c>
      <c r="E49" s="55"/>
      <c r="F49" s="82"/>
      <c r="G49" s="83"/>
      <c r="H49" s="83"/>
      <c r="I49" s="84">
        <f ca="1">SUM(I38:I47)</f>
        <v>2674.7277205591663</v>
      </c>
      <c r="J49" s="84">
        <f ca="1">SUM(J38:J47)</f>
        <v>32096.692646710002</v>
      </c>
      <c r="K49" s="108"/>
      <c r="L49" s="109">
        <f ca="1">+J49/J$38-1</f>
        <v>0.27085415927739942</v>
      </c>
      <c r="M49" s="109">
        <f ca="1">+J49/(I18*12)-1</f>
        <v>0.48299200888547</v>
      </c>
      <c r="N49" s="55"/>
      <c r="O49" s="110"/>
    </row>
    <row r="50" spans="2:15" ht="12.75" x14ac:dyDescent="0.2">
      <c r="B50" s="34"/>
      <c r="C50" s="51"/>
      <c r="D50" s="88"/>
      <c r="E50" s="55"/>
      <c r="F50" s="53"/>
      <c r="G50" s="54"/>
      <c r="H50" s="54"/>
      <c r="I50" s="111"/>
      <c r="J50" s="111"/>
      <c r="K50" s="112"/>
      <c r="L50" s="113"/>
      <c r="M50" s="113"/>
      <c r="N50" s="51"/>
      <c r="O50" s="104"/>
    </row>
    <row r="51" spans="2:15" s="47" customFormat="1" ht="12.75" x14ac:dyDescent="0.2">
      <c r="B51" s="39"/>
      <c r="C51" s="114"/>
      <c r="D51" s="55" t="s">
        <v>95</v>
      </c>
      <c r="E51" s="114"/>
      <c r="F51" s="115"/>
      <c r="G51" s="116"/>
      <c r="H51" s="116"/>
      <c r="I51" s="330">
        <f ca="1">+I49/I18-1</f>
        <v>0.48299385704101039</v>
      </c>
      <c r="J51" s="330"/>
      <c r="K51" s="117"/>
      <c r="L51" s="117"/>
      <c r="M51" s="117"/>
      <c r="N51" s="114"/>
      <c r="O51" s="46"/>
    </row>
    <row r="52" spans="2:15" ht="12.75" x14ac:dyDescent="0.2">
      <c r="B52" s="34"/>
      <c r="C52" s="51"/>
      <c r="D52" s="51"/>
      <c r="E52" s="51"/>
      <c r="F52" s="53"/>
      <c r="G52" s="54"/>
      <c r="H52" s="54"/>
      <c r="I52" s="88"/>
      <c r="J52" s="88"/>
      <c r="K52" s="51"/>
      <c r="L52" s="51"/>
      <c r="M52" s="51"/>
      <c r="N52" s="51"/>
      <c r="O52" s="104"/>
    </row>
    <row r="53" spans="2:15" ht="12.75" x14ac:dyDescent="0.2">
      <c r="B53" s="34"/>
      <c r="C53" s="118"/>
      <c r="D53" s="118"/>
      <c r="E53" s="118"/>
      <c r="F53" s="119"/>
      <c r="G53" s="120"/>
      <c r="H53" s="120"/>
      <c r="I53" s="121"/>
      <c r="J53" s="121"/>
      <c r="K53" s="118"/>
      <c r="L53" s="118"/>
      <c r="M53" s="118"/>
      <c r="N53" s="118"/>
      <c r="O53" s="38"/>
    </row>
    <row r="54" spans="2:15" ht="12.75" x14ac:dyDescent="0.2">
      <c r="B54" s="34"/>
      <c r="C54" s="51"/>
      <c r="D54" s="51"/>
      <c r="E54" s="51"/>
      <c r="F54" s="53"/>
      <c r="G54" s="54"/>
      <c r="H54" s="54"/>
      <c r="I54" s="88"/>
      <c r="J54" s="88"/>
      <c r="K54" s="51"/>
      <c r="L54" s="51"/>
      <c r="M54" s="51"/>
      <c r="N54" s="51"/>
      <c r="O54" s="104"/>
    </row>
    <row r="55" spans="2:15" ht="12.75" x14ac:dyDescent="0.2">
      <c r="B55" s="34"/>
      <c r="C55" s="93"/>
      <c r="D55" s="55" t="s">
        <v>96</v>
      </c>
      <c r="E55" s="93"/>
      <c r="F55" s="94"/>
      <c r="G55" s="95"/>
      <c r="H55" s="95"/>
      <c r="I55" s="81" t="s">
        <v>71</v>
      </c>
      <c r="J55" s="98" t="s">
        <v>72</v>
      </c>
      <c r="K55" s="97"/>
      <c r="L55" s="63"/>
      <c r="M55" s="93"/>
      <c r="N55" s="93"/>
      <c r="O55" s="104"/>
    </row>
    <row r="56" spans="2:15" ht="12.75" x14ac:dyDescent="0.2">
      <c r="B56" s="34"/>
      <c r="C56" s="51"/>
      <c r="D56" s="55"/>
      <c r="E56" s="51"/>
      <c r="F56" s="53"/>
      <c r="G56" s="54"/>
      <c r="H56" s="54"/>
      <c r="I56" s="122"/>
      <c r="J56" s="55"/>
      <c r="K56" s="51"/>
      <c r="L56" s="63"/>
      <c r="M56" s="51"/>
      <c r="N56" s="51"/>
      <c r="O56" s="104"/>
    </row>
    <row r="57" spans="2:15" ht="12.75" x14ac:dyDescent="0.2">
      <c r="B57" s="34"/>
      <c r="C57" s="55"/>
      <c r="D57" s="123" t="s">
        <v>75</v>
      </c>
      <c r="E57" s="55" t="s">
        <v>69</v>
      </c>
      <c r="F57" s="82"/>
      <c r="G57" s="83"/>
      <c r="H57" s="83"/>
      <c r="I57" s="84">
        <f>+I34/12</f>
        <v>2065.4166666666665</v>
      </c>
      <c r="J57" s="84">
        <f>+I34</f>
        <v>24785</v>
      </c>
      <c r="K57" s="55"/>
      <c r="L57" s="85"/>
      <c r="M57" s="55"/>
      <c r="N57" s="55"/>
      <c r="O57" s="104"/>
    </row>
    <row r="58" spans="2:15" ht="12.75" x14ac:dyDescent="0.2">
      <c r="B58" s="34"/>
      <c r="C58" s="55"/>
      <c r="D58" s="123"/>
      <c r="E58" s="55"/>
      <c r="F58" s="82"/>
      <c r="G58" s="83"/>
      <c r="H58" s="83"/>
      <c r="I58" s="124"/>
      <c r="J58" s="124"/>
      <c r="K58" s="55"/>
      <c r="L58" s="85"/>
      <c r="M58" s="55"/>
      <c r="N58" s="55"/>
      <c r="O58" s="104"/>
    </row>
    <row r="59" spans="2:15" ht="12.75" x14ac:dyDescent="0.2">
      <c r="B59" s="34"/>
      <c r="C59" s="125"/>
      <c r="D59" s="126" t="s">
        <v>77</v>
      </c>
      <c r="E59" s="125" t="s">
        <v>21</v>
      </c>
      <c r="F59" s="106"/>
      <c r="G59" s="98"/>
      <c r="H59" s="127"/>
      <c r="I59" s="128">
        <f>IF($I$34/$I$17&lt;tabellen!E36,0,(+$I$34-tabellen!E36*I17)/12*tabellen!$D36)</f>
        <v>106.33712916666667</v>
      </c>
      <c r="J59" s="128">
        <f>IF($I$34/$I$17&lt;tabellen!E36,0,(+$I$34-tabellen!E36*I17)*tabellen!$D36)</f>
        <v>1276.0455499999998</v>
      </c>
      <c r="K59" s="129"/>
      <c r="L59" s="130"/>
      <c r="M59" s="125"/>
      <c r="N59" s="125"/>
      <c r="O59" s="104"/>
    </row>
    <row r="60" spans="2:15" ht="12.75" x14ac:dyDescent="0.2">
      <c r="B60" s="34"/>
      <c r="C60" s="125"/>
      <c r="D60" s="126" t="s">
        <v>78</v>
      </c>
      <c r="E60" s="125" t="s">
        <v>22</v>
      </c>
      <c r="F60" s="106"/>
      <c r="G60" s="98"/>
      <c r="H60" s="127"/>
      <c r="I60" s="128">
        <f>IF($I$34/$I$17&lt;tabellen!E37,0,(+$I$34-tabellen!E37*$I$17)/12*tabellen!$D37)</f>
        <v>0.91041666666666665</v>
      </c>
      <c r="J60" s="128">
        <f>IF($I$34/$I$17&lt;tabellen!E37,0,(+$I$34-tabellen!E37*$I$17)*tabellen!$D37)</f>
        <v>10.925000000000001</v>
      </c>
      <c r="K60" s="129"/>
      <c r="L60" s="130"/>
      <c r="M60" s="131"/>
      <c r="N60" s="125"/>
      <c r="O60" s="104"/>
    </row>
    <row r="61" spans="2:15" ht="12.75" x14ac:dyDescent="0.2">
      <c r="B61" s="34"/>
      <c r="C61" s="125"/>
      <c r="D61" s="126" t="s">
        <v>80</v>
      </c>
      <c r="E61" s="125" t="s">
        <v>81</v>
      </c>
      <c r="F61" s="106" t="s">
        <v>97</v>
      </c>
      <c r="G61" s="98"/>
      <c r="H61" s="127"/>
      <c r="I61" s="128">
        <f>$I$34/12*tabellen!$D38</f>
        <v>0</v>
      </c>
      <c r="J61" s="128">
        <f>$I$34*tabellen!$D38</f>
        <v>0</v>
      </c>
      <c r="K61" s="129"/>
      <c r="L61" s="130"/>
      <c r="M61" s="125"/>
      <c r="N61" s="125"/>
      <c r="O61" s="104"/>
    </row>
    <row r="62" spans="2:15" ht="12.75" x14ac:dyDescent="0.2">
      <c r="B62" s="34"/>
      <c r="C62" s="132"/>
      <c r="D62" s="133" t="s">
        <v>84</v>
      </c>
      <c r="E62" s="132" t="s">
        <v>98</v>
      </c>
      <c r="F62" s="134"/>
      <c r="G62" s="135"/>
      <c r="H62" s="136"/>
      <c r="I62" s="137">
        <f>SUM(I59:I61)</f>
        <v>107.24754583333333</v>
      </c>
      <c r="J62" s="137">
        <f>SUM(J59:J61)</f>
        <v>1286.9705499999998</v>
      </c>
      <c r="K62" s="138"/>
      <c r="L62" s="139"/>
      <c r="M62" s="132"/>
      <c r="N62" s="132"/>
      <c r="O62" s="104"/>
    </row>
    <row r="63" spans="2:15" ht="12.75" x14ac:dyDescent="0.2">
      <c r="B63" s="34"/>
      <c r="C63" s="132"/>
      <c r="D63" s="133"/>
      <c r="E63" s="132"/>
      <c r="F63" s="134"/>
      <c r="G63" s="135"/>
      <c r="H63" s="136"/>
      <c r="I63" s="140"/>
      <c r="J63" s="140"/>
      <c r="K63" s="138"/>
      <c r="L63" s="139"/>
      <c r="M63" s="132"/>
      <c r="N63" s="132"/>
      <c r="O63" s="104"/>
    </row>
    <row r="64" spans="2:15" ht="12.75" x14ac:dyDescent="0.2">
      <c r="B64" s="34"/>
      <c r="C64" s="55"/>
      <c r="D64" s="133" t="s">
        <v>90</v>
      </c>
      <c r="E64" s="132" t="s">
        <v>99</v>
      </c>
      <c r="F64" s="82"/>
      <c r="G64" s="83"/>
      <c r="H64" s="83"/>
      <c r="I64" s="84">
        <f>+(I30)/12-I62</f>
        <v>1997.4191208333332</v>
      </c>
      <c r="J64" s="84">
        <f>I30-J62</f>
        <v>23969.029450000002</v>
      </c>
      <c r="K64" s="55"/>
      <c r="L64" s="85"/>
      <c r="M64" s="55"/>
      <c r="N64" s="55"/>
      <c r="O64" s="104"/>
    </row>
    <row r="65" spans="2:15" ht="12.75" x14ac:dyDescent="0.2">
      <c r="B65" s="34"/>
      <c r="C65" s="55"/>
      <c r="D65" s="123"/>
      <c r="E65" s="55"/>
      <c r="F65" s="82"/>
      <c r="G65" s="83"/>
      <c r="H65" s="83"/>
      <c r="I65" s="124"/>
      <c r="J65" s="124"/>
      <c r="K65" s="55"/>
      <c r="L65" s="85"/>
      <c r="M65" s="55"/>
      <c r="N65" s="55"/>
      <c r="O65" s="104"/>
    </row>
    <row r="66" spans="2:15" ht="12.75" x14ac:dyDescent="0.2">
      <c r="B66" s="34"/>
      <c r="C66" s="51"/>
      <c r="D66" s="141" t="s">
        <v>92</v>
      </c>
      <c r="E66" s="51" t="s">
        <v>100</v>
      </c>
      <c r="F66" s="53"/>
      <c r="G66" s="54"/>
      <c r="H66" s="54"/>
      <c r="I66" s="75">
        <f>+I77</f>
        <v>744.78373908333344</v>
      </c>
      <c r="J66" s="75">
        <f>+J77</f>
        <v>8937.404869</v>
      </c>
      <c r="K66" s="51"/>
      <c r="L66" s="63"/>
      <c r="M66" s="51"/>
      <c r="N66" s="51"/>
      <c r="O66" s="104"/>
    </row>
    <row r="67" spans="2:15" ht="12.75" x14ac:dyDescent="0.2">
      <c r="B67" s="34"/>
      <c r="C67" s="51"/>
      <c r="D67" s="141"/>
      <c r="E67" s="51"/>
      <c r="F67" s="53"/>
      <c r="G67" s="54"/>
      <c r="H67" s="54"/>
      <c r="I67" s="88"/>
      <c r="J67" s="88"/>
      <c r="K67" s="51"/>
      <c r="L67" s="63"/>
      <c r="M67" s="51"/>
      <c r="N67" s="51"/>
      <c r="O67" s="104"/>
    </row>
    <row r="68" spans="2:15" ht="12.75" x14ac:dyDescent="0.2">
      <c r="B68" s="34"/>
      <c r="C68" s="55"/>
      <c r="D68" s="123"/>
      <c r="E68" s="55" t="s">
        <v>101</v>
      </c>
      <c r="F68" s="82"/>
      <c r="G68" s="83"/>
      <c r="H68" s="83"/>
      <c r="I68" s="84">
        <f>+I64-I66</f>
        <v>1252.6353817499999</v>
      </c>
      <c r="J68" s="84">
        <f>+J64-J66</f>
        <v>15031.624581000002</v>
      </c>
      <c r="K68" s="55"/>
      <c r="L68" s="85"/>
      <c r="M68" s="55"/>
      <c r="N68" s="55"/>
      <c r="O68" s="104"/>
    </row>
    <row r="69" spans="2:15" ht="12.75" x14ac:dyDescent="0.2">
      <c r="B69" s="34"/>
      <c r="C69" s="57"/>
      <c r="D69" s="57"/>
      <c r="E69" s="51"/>
      <c r="F69" s="53"/>
      <c r="G69" s="54"/>
      <c r="H69" s="54"/>
      <c r="I69" s="88"/>
      <c r="J69" s="88"/>
      <c r="K69" s="51"/>
      <c r="L69" s="51"/>
      <c r="M69" s="51"/>
      <c r="N69" s="51"/>
      <c r="O69" s="104"/>
    </row>
    <row r="70" spans="2:15" ht="12.75" x14ac:dyDescent="0.2">
      <c r="B70" s="34"/>
      <c r="C70" s="57"/>
      <c r="D70" s="55" t="s">
        <v>102</v>
      </c>
      <c r="E70" s="51"/>
      <c r="F70" s="53"/>
      <c r="G70" s="54"/>
      <c r="H70" s="54"/>
      <c r="I70" s="81" t="s">
        <v>71</v>
      </c>
      <c r="J70" s="98" t="s">
        <v>72</v>
      </c>
      <c r="K70" s="51"/>
      <c r="L70" s="51"/>
      <c r="M70" s="51"/>
      <c r="N70" s="51"/>
      <c r="O70" s="104"/>
    </row>
    <row r="71" spans="2:15" ht="12.75" x14ac:dyDescent="0.2">
      <c r="B71" s="34"/>
      <c r="C71" s="51"/>
      <c r="D71" s="55" t="s">
        <v>90</v>
      </c>
      <c r="E71" s="55" t="s">
        <v>103</v>
      </c>
      <c r="F71" s="53"/>
      <c r="G71" s="54"/>
      <c r="H71" s="54"/>
      <c r="I71" s="84">
        <f>+I64</f>
        <v>1997.4191208333332</v>
      </c>
      <c r="J71" s="84">
        <f>+J64</f>
        <v>23969.029450000002</v>
      </c>
      <c r="K71" s="73"/>
      <c r="L71" s="51"/>
      <c r="M71" s="51"/>
      <c r="N71" s="51"/>
      <c r="O71" s="104"/>
    </row>
    <row r="72" spans="2:15" s="47" customFormat="1" ht="12.75" x14ac:dyDescent="0.2">
      <c r="B72" s="39"/>
      <c r="C72" s="114"/>
      <c r="D72" s="55"/>
      <c r="E72" s="114"/>
      <c r="F72" s="115"/>
      <c r="G72" s="116"/>
      <c r="H72" s="116"/>
      <c r="I72" s="142"/>
      <c r="J72" s="142"/>
      <c r="K72" s="143"/>
      <c r="L72" s="114"/>
      <c r="M72" s="143"/>
      <c r="N72" s="114"/>
      <c r="O72" s="46"/>
    </row>
    <row r="73" spans="2:15" ht="12.75" x14ac:dyDescent="0.2">
      <c r="B73" s="34"/>
      <c r="C73" s="51"/>
      <c r="D73" s="51" t="s">
        <v>104</v>
      </c>
      <c r="E73" s="51"/>
      <c r="F73" s="144">
        <f>IF(J64&gt;tabellen!B76,tabellen!B76,J64)</f>
        <v>19645</v>
      </c>
      <c r="G73" s="145">
        <f>+tabellen!C76</f>
        <v>0.36249999999999999</v>
      </c>
      <c r="H73" s="79"/>
      <c r="I73" s="75">
        <f>+F73*G73/12</f>
        <v>593.44270833333337</v>
      </c>
      <c r="J73" s="75">
        <f>+F73*G73</f>
        <v>7121.3125</v>
      </c>
      <c r="K73" s="51"/>
      <c r="L73" s="51"/>
      <c r="M73" s="51"/>
      <c r="N73" s="51"/>
      <c r="O73" s="146"/>
    </row>
    <row r="74" spans="2:15" ht="12.75" x14ac:dyDescent="0.2">
      <c r="B74" s="34"/>
      <c r="C74" s="51"/>
      <c r="D74" s="51" t="s">
        <v>105</v>
      </c>
      <c r="E74" s="51"/>
      <c r="F74" s="144">
        <f>IF((IF(J64&gt;tabellen!B77,tabellen!B77,J64)-tabellen!B76)&lt;0,0,IF(J64&gt;tabellen!B77,tabellen!B77,J64)-tabellen!B76)</f>
        <v>4324.0294500000018</v>
      </c>
      <c r="G74" s="145">
        <f>+tabellen!C77</f>
        <v>0.42</v>
      </c>
      <c r="H74" s="79"/>
      <c r="I74" s="75">
        <f>+F74*G74/12</f>
        <v>151.34103075000004</v>
      </c>
      <c r="J74" s="75">
        <f>+F74*G74</f>
        <v>1816.0923690000006</v>
      </c>
      <c r="K74" s="51"/>
      <c r="L74" s="51"/>
      <c r="M74" s="51"/>
      <c r="N74" s="51"/>
      <c r="O74" s="38"/>
    </row>
    <row r="75" spans="2:15" ht="12.75" x14ac:dyDescent="0.2">
      <c r="B75" s="34"/>
      <c r="C75" s="51"/>
      <c r="D75" s="51" t="s">
        <v>106</v>
      </c>
      <c r="E75" s="51"/>
      <c r="F75" s="144">
        <f>IF((IF(J64&gt;tabellen!B78,tabellen!B78,J64)-tabellen!B77)&lt;0,0,IF(J64&gt;tabellen!B78,tabellen!B78,J64)-tabellen!B77)</f>
        <v>0</v>
      </c>
      <c r="G75" s="145">
        <f>+tabellen!C78</f>
        <v>0.42</v>
      </c>
      <c r="H75" s="77"/>
      <c r="I75" s="75">
        <f>+F75*G75/12</f>
        <v>0</v>
      </c>
      <c r="J75" s="75">
        <f>+F75*G75</f>
        <v>0</v>
      </c>
      <c r="K75" s="51"/>
      <c r="L75" s="51"/>
      <c r="M75" s="88"/>
      <c r="N75" s="51"/>
      <c r="O75" s="38"/>
    </row>
    <row r="76" spans="2:15" ht="12.75" x14ac:dyDescent="0.2">
      <c r="B76" s="34"/>
      <c r="C76" s="51"/>
      <c r="D76" s="51" t="s">
        <v>107</v>
      </c>
      <c r="E76" s="51"/>
      <c r="F76" s="144">
        <f>IF((IF(J64&gt;tabellen!B79,tabellen!B79,J64)-tabellen!B78)&lt;0,0,IF(J64&gt;tabellen!B79,tabellen!B79,J64)-tabellen!B78)</f>
        <v>0</v>
      </c>
      <c r="G76" s="145">
        <f>+tabellen!C79</f>
        <v>0.52</v>
      </c>
      <c r="H76" s="77"/>
      <c r="I76" s="75">
        <f>+F76*G76/12</f>
        <v>0</v>
      </c>
      <c r="J76" s="75">
        <f>+F76*G76</f>
        <v>0</v>
      </c>
      <c r="K76" s="51"/>
      <c r="L76" s="51"/>
      <c r="M76" s="51"/>
      <c r="N76" s="51"/>
      <c r="O76" s="38"/>
    </row>
    <row r="77" spans="2:15" s="87" customFormat="1" ht="12.75" x14ac:dyDescent="0.2">
      <c r="B77" s="56"/>
      <c r="C77" s="55"/>
      <c r="D77" s="82"/>
      <c r="E77" s="55"/>
      <c r="F77" s="147">
        <f>SUM(F73:F76)</f>
        <v>23969.029450000002</v>
      </c>
      <c r="G77" s="148"/>
      <c r="H77" s="83"/>
      <c r="I77" s="84">
        <f>SUM(I73:I76)</f>
        <v>744.78373908333344</v>
      </c>
      <c r="J77" s="84">
        <f>SUM(J73:J76)</f>
        <v>8937.404869</v>
      </c>
      <c r="K77" s="108"/>
      <c r="L77" s="55"/>
      <c r="M77" s="55"/>
      <c r="N77" s="55"/>
      <c r="O77" s="86"/>
    </row>
    <row r="78" spans="2:15" ht="12.75" x14ac:dyDescent="0.2">
      <c r="B78" s="34"/>
      <c r="C78" s="51"/>
      <c r="D78" s="51"/>
      <c r="E78" s="51"/>
      <c r="F78" s="149"/>
      <c r="G78" s="54"/>
      <c r="H78" s="54"/>
      <c r="I78" s="88"/>
      <c r="J78" s="88"/>
      <c r="K78" s="51"/>
      <c r="L78" s="73"/>
      <c r="M78" s="51"/>
      <c r="N78" s="51"/>
      <c r="O78" s="38"/>
    </row>
    <row r="79" spans="2:15" ht="12.75" x14ac:dyDescent="0.2">
      <c r="B79" s="34"/>
      <c r="C79" s="35"/>
      <c r="D79" s="35"/>
      <c r="E79" s="35"/>
      <c r="F79" s="36"/>
      <c r="G79" s="37"/>
      <c r="H79" s="37"/>
      <c r="I79" s="150"/>
      <c r="J79" s="150"/>
      <c r="K79" s="150"/>
      <c r="L79" s="150"/>
      <c r="M79" s="35"/>
      <c r="N79" s="35"/>
      <c r="O79" s="38"/>
    </row>
    <row r="80" spans="2:15" thickBot="1" x14ac:dyDescent="0.25">
      <c r="B80" s="151"/>
      <c r="C80" s="152"/>
      <c r="D80" s="153"/>
      <c r="E80" s="152"/>
      <c r="F80" s="154"/>
      <c r="G80" s="152"/>
      <c r="H80" s="152"/>
      <c r="I80" s="152"/>
      <c r="J80" s="152"/>
      <c r="K80" s="152"/>
      <c r="L80" s="152"/>
      <c r="M80" s="152"/>
      <c r="N80" s="155" t="s">
        <v>108</v>
      </c>
      <c r="O80" s="156"/>
    </row>
    <row r="82" spans="6:17" ht="12.75" x14ac:dyDescent="0.2">
      <c r="Q82" s="157" t="s">
        <v>6</v>
      </c>
    </row>
    <row r="83" spans="6:17" ht="12.75" x14ac:dyDescent="0.2">
      <c r="Q83" s="157" t="s">
        <v>7</v>
      </c>
    </row>
    <row r="84" spans="6:17" ht="12.75" x14ac:dyDescent="0.2">
      <c r="Q84" s="157" t="s">
        <v>8</v>
      </c>
    </row>
    <row r="85" spans="6:17" ht="12.75" x14ac:dyDescent="0.2">
      <c r="Q85" s="157" t="s">
        <v>9</v>
      </c>
    </row>
    <row r="86" spans="6:17" ht="12.75" x14ac:dyDescent="0.2">
      <c r="Q86" s="158">
        <v>1</v>
      </c>
    </row>
    <row r="87" spans="6:17" ht="12.75" x14ac:dyDescent="0.2">
      <c r="Q87" s="158">
        <v>2</v>
      </c>
    </row>
    <row r="88" spans="6:17" ht="12.75" x14ac:dyDescent="0.2">
      <c r="Q88" s="158">
        <v>3</v>
      </c>
    </row>
    <row r="89" spans="6:17" ht="12.75" x14ac:dyDescent="0.2">
      <c r="Q89" s="158">
        <v>4</v>
      </c>
    </row>
    <row r="90" spans="6:17" ht="12.75" x14ac:dyDescent="0.2">
      <c r="Q90" s="158">
        <v>5</v>
      </c>
    </row>
    <row r="91" spans="6:17" ht="12.75" x14ac:dyDescent="0.2">
      <c r="Q91" s="158">
        <v>6</v>
      </c>
    </row>
    <row r="92" spans="6:17" ht="12.75" x14ac:dyDescent="0.2">
      <c r="Q92" s="158">
        <v>7</v>
      </c>
    </row>
    <row r="93" spans="6:17" ht="12.75" x14ac:dyDescent="0.2">
      <c r="Q93" s="158">
        <v>8</v>
      </c>
    </row>
    <row r="94" spans="6:17" ht="12.75" x14ac:dyDescent="0.2">
      <c r="Q94" s="158">
        <v>9</v>
      </c>
    </row>
    <row r="95" spans="6:17" ht="12.75" x14ac:dyDescent="0.2">
      <c r="Q95" s="158">
        <v>10</v>
      </c>
    </row>
    <row r="96" spans="6:17" ht="12.75" x14ac:dyDescent="0.2">
      <c r="F96" s="26"/>
      <c r="G96" s="26"/>
      <c r="H96" s="26"/>
      <c r="Q96" s="158">
        <v>11</v>
      </c>
    </row>
    <row r="97" spans="6:17" ht="12.75" x14ac:dyDescent="0.2">
      <c r="F97" s="26"/>
      <c r="G97" s="26"/>
      <c r="H97" s="26"/>
      <c r="Q97" s="158">
        <v>12</v>
      </c>
    </row>
    <row r="98" spans="6:17" ht="12.75" x14ac:dyDescent="0.2">
      <c r="F98" s="26"/>
      <c r="G98" s="26"/>
      <c r="H98" s="26"/>
      <c r="Q98" s="158">
        <v>13</v>
      </c>
    </row>
    <row r="99" spans="6:17" ht="12.75" x14ac:dyDescent="0.2">
      <c r="F99" s="26"/>
      <c r="G99" s="26"/>
      <c r="H99" s="26"/>
      <c r="Q99" s="158">
        <v>14</v>
      </c>
    </row>
    <row r="100" spans="6:17" ht="12.75" x14ac:dyDescent="0.2">
      <c r="F100" s="26"/>
      <c r="G100" s="26"/>
      <c r="H100" s="26"/>
      <c r="Q100" s="158">
        <v>15</v>
      </c>
    </row>
    <row r="101" spans="6:17" ht="12.75" x14ac:dyDescent="0.2">
      <c r="F101" s="26"/>
      <c r="G101" s="26"/>
      <c r="H101" s="26"/>
      <c r="Q101" s="158">
        <v>16</v>
      </c>
    </row>
    <row r="102" spans="6:17" ht="12.75" x14ac:dyDescent="0.2">
      <c r="F102" s="26"/>
      <c r="G102" s="26"/>
      <c r="H102" s="26"/>
      <c r="Q102" s="158">
        <v>17</v>
      </c>
    </row>
    <row r="103" spans="6:17" ht="12.75" x14ac:dyDescent="0.2">
      <c r="F103" s="26"/>
      <c r="G103" s="26"/>
      <c r="H103" s="26"/>
      <c r="Q103" s="158" t="s">
        <v>10</v>
      </c>
    </row>
    <row r="104" spans="6:17" ht="12.75" x14ac:dyDescent="0.2">
      <c r="F104" s="26"/>
      <c r="G104" s="26"/>
      <c r="H104" s="26"/>
      <c r="Q104" s="158" t="s">
        <v>11</v>
      </c>
    </row>
    <row r="105" spans="6:17" ht="12.75" x14ac:dyDescent="0.2">
      <c r="F105" s="26"/>
      <c r="G105" s="26"/>
      <c r="H105" s="26"/>
      <c r="Q105" s="158" t="s">
        <v>12</v>
      </c>
    </row>
    <row r="106" spans="6:17" ht="12.75" x14ac:dyDescent="0.2">
      <c r="F106" s="26"/>
      <c r="G106" s="26"/>
      <c r="H106" s="26"/>
      <c r="Q106" s="158" t="s">
        <v>13</v>
      </c>
    </row>
  </sheetData>
  <sheetProtection password="DE55" sheet="1" objects="1" scenarios="1"/>
  <mergeCells count="2">
    <mergeCell ref="I10:J10"/>
    <mergeCell ref="I51:J51"/>
  </mergeCells>
  <dataValidations count="6">
    <dataValidation type="list" allowBlank="1" showInputMessage="1" showErrorMessage="1" sqref="I14">
      <formula1>$Q$82:$Q$106</formula1>
    </dataValidation>
    <dataValidation type="list" allowBlank="1" showInputMessage="1" showErrorMessage="1" sqref="F21">
      <formula1>"LB,LC,LD"</formula1>
    </dataValidation>
    <dataValidation type="list" allowBlank="1" showInputMessage="1" showErrorMessage="1" sqref="H29 H21">
      <formula1>#REF!</formula1>
    </dataValidation>
    <dataValidation type="list" allowBlank="1" showInputMessage="1" showErrorMessage="1" sqref="F29">
      <formula1>"Leraar,Directie,OOP S9"</formula1>
    </dataValidation>
    <dataValidation type="list" allowBlank="1" showInputMessage="1" showErrorMessage="1" sqref="G42 G29 G21">
      <formula1>"ja,nee"</formula1>
    </dataValidation>
    <dataValidation type="list" allowBlank="1" showInputMessage="1" showErrorMessage="1" sqref="H46">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101"/>
  <sheetViews>
    <sheetView zoomScale="84" zoomScaleNormal="84" workbookViewId="0">
      <selection activeCell="B2" sqref="B2"/>
    </sheetView>
  </sheetViews>
  <sheetFormatPr defaultRowHeight="13.5" customHeight="1" x14ac:dyDescent="0.2"/>
  <cols>
    <col min="1" max="3" width="2.7109375" style="26" customWidth="1"/>
    <col min="4" max="4" width="35.7109375" style="26" customWidth="1"/>
    <col min="5" max="8" width="12.85546875" style="26" customWidth="1"/>
    <col min="9" max="10" width="16" style="26" customWidth="1"/>
    <col min="11" max="13" width="2.7109375" style="26" customWidth="1"/>
    <col min="14" max="16384" width="9.140625" style="26"/>
  </cols>
  <sheetData>
    <row r="1" spans="2:12" thickBot="1" x14ac:dyDescent="0.25"/>
    <row r="2" spans="2:12" ht="12.75" x14ac:dyDescent="0.2">
      <c r="B2" s="29"/>
      <c r="C2" s="30"/>
      <c r="D2" s="30"/>
      <c r="E2" s="30"/>
      <c r="F2" s="30"/>
      <c r="G2" s="30"/>
      <c r="H2" s="30"/>
      <c r="I2" s="30"/>
      <c r="J2" s="30"/>
      <c r="K2" s="30"/>
      <c r="L2" s="33"/>
    </row>
    <row r="3" spans="2:12" ht="12.75" x14ac:dyDescent="0.2">
      <c r="B3" s="34"/>
      <c r="C3" s="35"/>
      <c r="D3" s="35"/>
      <c r="E3" s="35"/>
      <c r="F3" s="35"/>
      <c r="G3" s="35"/>
      <c r="H3" s="35"/>
      <c r="I3" s="35"/>
      <c r="J3" s="35"/>
      <c r="K3" s="35"/>
      <c r="L3" s="38"/>
    </row>
    <row r="4" spans="2:12" s="87" customFormat="1" ht="18" x14ac:dyDescent="0.25">
      <c r="B4" s="56"/>
      <c r="C4" s="40" t="s">
        <v>218</v>
      </c>
      <c r="D4" s="204"/>
      <c r="E4" s="204"/>
      <c r="F4" s="204"/>
      <c r="G4" s="205"/>
      <c r="H4" s="206"/>
      <c r="I4" s="204"/>
      <c r="J4" s="204"/>
      <c r="K4" s="204"/>
      <c r="L4" s="86"/>
    </row>
    <row r="5" spans="2:12" ht="12.75" x14ac:dyDescent="0.2">
      <c r="B5" s="34"/>
      <c r="C5" s="35"/>
      <c r="D5" s="35"/>
      <c r="E5" s="35"/>
      <c r="F5" s="35"/>
      <c r="G5" s="35"/>
      <c r="H5" s="35"/>
      <c r="I5" s="35"/>
      <c r="J5" s="35"/>
      <c r="K5" s="35"/>
      <c r="L5" s="38"/>
    </row>
    <row r="6" spans="2:12" ht="12.75" x14ac:dyDescent="0.2">
      <c r="B6" s="34"/>
      <c r="C6" s="35"/>
      <c r="D6" s="35"/>
      <c r="E6" s="35"/>
      <c r="F6" s="35"/>
      <c r="G6" s="35"/>
      <c r="H6" s="35"/>
      <c r="I6" s="35"/>
      <c r="J6" s="35"/>
      <c r="K6" s="35"/>
      <c r="L6" s="38"/>
    </row>
    <row r="7" spans="2:12" ht="12.75" x14ac:dyDescent="0.2">
      <c r="B7" s="34"/>
      <c r="C7" s="51"/>
      <c r="D7" s="51"/>
      <c r="E7" s="51"/>
      <c r="F7" s="51"/>
      <c r="G7" s="51"/>
      <c r="H7" s="51"/>
      <c r="I7" s="51"/>
      <c r="J7" s="51"/>
      <c r="K7" s="51"/>
      <c r="L7" s="38"/>
    </row>
    <row r="8" spans="2:12" ht="12.75" x14ac:dyDescent="0.2">
      <c r="B8" s="34"/>
      <c r="C8" s="51"/>
      <c r="D8" s="55" t="s">
        <v>47</v>
      </c>
      <c r="E8" s="51"/>
      <c r="F8" s="51"/>
      <c r="G8" s="51"/>
      <c r="H8" s="51"/>
      <c r="I8" s="51"/>
      <c r="J8" s="51"/>
      <c r="K8" s="51"/>
      <c r="L8" s="38"/>
    </row>
    <row r="9" spans="2:12" ht="12.75" x14ac:dyDescent="0.2">
      <c r="B9" s="34"/>
      <c r="C9" s="51"/>
      <c r="D9" s="51"/>
      <c r="E9" s="51"/>
      <c r="F9" s="51"/>
      <c r="G9" s="51"/>
      <c r="H9" s="51"/>
      <c r="I9" s="51"/>
      <c r="J9" s="51"/>
      <c r="K9" s="51"/>
      <c r="L9" s="38"/>
    </row>
    <row r="10" spans="2:12" ht="12.75" x14ac:dyDescent="0.2">
      <c r="B10" s="34"/>
      <c r="C10" s="51"/>
      <c r="D10" s="51" t="s">
        <v>219</v>
      </c>
      <c r="E10" s="51"/>
      <c r="F10" s="51"/>
      <c r="G10" s="51"/>
      <c r="H10" s="329" t="s">
        <v>220</v>
      </c>
      <c r="I10" s="329"/>
      <c r="J10" s="141"/>
      <c r="K10" s="51"/>
      <c r="L10" s="38"/>
    </row>
    <row r="11" spans="2:12" ht="12.75" x14ac:dyDescent="0.2">
      <c r="B11" s="34"/>
      <c r="C11" s="51"/>
      <c r="D11" s="51"/>
      <c r="E11" s="51"/>
      <c r="F11" s="51"/>
      <c r="G11" s="53"/>
      <c r="H11" s="53"/>
      <c r="I11" s="141"/>
      <c r="J11" s="141"/>
      <c r="K11" s="51"/>
      <c r="L11" s="38"/>
    </row>
    <row r="12" spans="2:12" s="87" customFormat="1" ht="12.75" x14ac:dyDescent="0.2">
      <c r="B12" s="56"/>
      <c r="C12" s="55"/>
      <c r="D12" s="55" t="s">
        <v>51</v>
      </c>
      <c r="E12" s="55"/>
      <c r="F12" s="55"/>
      <c r="G12" s="55"/>
      <c r="H12" s="55"/>
      <c r="I12" s="55"/>
      <c r="J12" s="55"/>
      <c r="K12" s="55"/>
      <c r="L12" s="86"/>
    </row>
    <row r="13" spans="2:12" ht="12.75" x14ac:dyDescent="0.2">
      <c r="B13" s="34"/>
      <c r="C13" s="51"/>
      <c r="D13" s="51" t="s">
        <v>52</v>
      </c>
      <c r="E13" s="51"/>
      <c r="F13" s="51"/>
      <c r="G13" s="54"/>
      <c r="H13" s="66" t="s">
        <v>7</v>
      </c>
      <c r="I13" s="80"/>
      <c r="J13" s="51"/>
      <c r="K13" s="51"/>
      <c r="L13" s="38"/>
    </row>
    <row r="14" spans="2:12" ht="12.75" x14ac:dyDescent="0.2">
      <c r="B14" s="34"/>
      <c r="C14" s="51"/>
      <c r="D14" s="51" t="s">
        <v>53</v>
      </c>
      <c r="E14" s="51"/>
      <c r="F14" s="51"/>
      <c r="G14" s="54"/>
      <c r="H14" s="66">
        <v>13</v>
      </c>
      <c r="I14" s="51"/>
      <c r="J14" s="51"/>
      <c r="K14" s="51"/>
      <c r="L14" s="38"/>
    </row>
    <row r="15" spans="2:12" ht="12.75" x14ac:dyDescent="0.2">
      <c r="B15" s="34"/>
      <c r="C15" s="51"/>
      <c r="D15" s="51" t="s">
        <v>56</v>
      </c>
      <c r="E15" s="51"/>
      <c r="F15" s="51"/>
      <c r="G15" s="207"/>
      <c r="H15" s="208">
        <f>VLOOKUP(H13,salaristabellen,H14+1,FALSE)</f>
        <v>0</v>
      </c>
      <c r="I15" s="51"/>
      <c r="J15" s="51"/>
      <c r="K15" s="51"/>
      <c r="L15" s="38"/>
    </row>
    <row r="16" spans="2:12" ht="12.75" x14ac:dyDescent="0.2">
      <c r="B16" s="34"/>
      <c r="C16" s="51"/>
      <c r="D16" s="51" t="s">
        <v>57</v>
      </c>
      <c r="E16" s="51"/>
      <c r="F16" s="51"/>
      <c r="G16" s="209"/>
      <c r="H16" s="72">
        <v>1</v>
      </c>
      <c r="I16" s="51"/>
      <c r="J16" s="51"/>
      <c r="K16" s="51"/>
      <c r="L16" s="38"/>
    </row>
    <row r="17" spans="2:12" ht="12.75" x14ac:dyDescent="0.2">
      <c r="B17" s="34"/>
      <c r="C17" s="51"/>
      <c r="D17" s="51" t="s">
        <v>58</v>
      </c>
      <c r="E17" s="51"/>
      <c r="F17" s="51"/>
      <c r="G17" s="210"/>
      <c r="H17" s="211">
        <f>+H15*H16</f>
        <v>0</v>
      </c>
      <c r="I17" s="51"/>
      <c r="J17" s="51"/>
      <c r="K17" s="51"/>
      <c r="L17" s="38"/>
    </row>
    <row r="18" spans="2:12" ht="12.75" x14ac:dyDescent="0.2">
      <c r="B18" s="34"/>
      <c r="C18" s="51"/>
      <c r="D18" s="51"/>
      <c r="E18" s="51"/>
      <c r="F18" s="51"/>
      <c r="G18" s="210"/>
      <c r="H18" s="210"/>
      <c r="I18" s="51"/>
      <c r="J18" s="51"/>
      <c r="K18" s="51"/>
      <c r="L18" s="38"/>
    </row>
    <row r="19" spans="2:12" ht="12.75" x14ac:dyDescent="0.2">
      <c r="B19" s="34"/>
      <c r="C19" s="35"/>
      <c r="D19" s="35"/>
      <c r="E19" s="35"/>
      <c r="F19" s="35"/>
      <c r="G19" s="35"/>
      <c r="H19" s="35"/>
      <c r="I19" s="35"/>
      <c r="J19" s="35"/>
      <c r="K19" s="35"/>
      <c r="L19" s="38"/>
    </row>
    <row r="20" spans="2:12" ht="12.75" x14ac:dyDescent="0.2">
      <c r="B20" s="34"/>
      <c r="C20" s="51"/>
      <c r="D20" s="51"/>
      <c r="E20" s="51"/>
      <c r="F20" s="51"/>
      <c r="G20" s="51"/>
      <c r="H20" s="51"/>
      <c r="I20" s="51"/>
      <c r="J20" s="51"/>
      <c r="K20" s="51"/>
      <c r="L20" s="38"/>
    </row>
    <row r="21" spans="2:12" s="87" customFormat="1" ht="12.75" x14ac:dyDescent="0.2">
      <c r="B21" s="56"/>
      <c r="C21" s="55"/>
      <c r="D21" s="55" t="s">
        <v>221</v>
      </c>
      <c r="E21" s="55"/>
      <c r="F21" s="55"/>
      <c r="G21" s="135"/>
      <c r="H21" s="135" t="s">
        <v>222</v>
      </c>
      <c r="I21" s="135" t="s">
        <v>223</v>
      </c>
      <c r="J21" s="83"/>
      <c r="K21" s="83"/>
      <c r="L21" s="86"/>
    </row>
    <row r="22" spans="2:12" ht="12.75" x14ac:dyDescent="0.2">
      <c r="B22" s="34"/>
      <c r="C22" s="51"/>
      <c r="D22" s="51"/>
      <c r="E22" s="51"/>
      <c r="F22" s="51"/>
      <c r="G22" s="54"/>
      <c r="H22" s="54"/>
      <c r="I22" s="54"/>
      <c r="J22" s="54"/>
      <c r="K22" s="54"/>
      <c r="L22" s="38"/>
    </row>
    <row r="23" spans="2:12" ht="12.75" x14ac:dyDescent="0.2">
      <c r="B23" s="34"/>
      <c r="C23" s="51"/>
      <c r="D23" s="51" t="s">
        <v>224</v>
      </c>
      <c r="E23" s="51"/>
      <c r="F23" s="51"/>
      <c r="G23" s="54"/>
      <c r="H23" s="66" t="s">
        <v>61</v>
      </c>
      <c r="I23" s="54"/>
      <c r="J23" s="54"/>
      <c r="K23" s="54"/>
      <c r="L23" s="38"/>
    </row>
    <row r="24" spans="2:12" ht="12.75" x14ac:dyDescent="0.2">
      <c r="B24" s="34"/>
      <c r="C24" s="51"/>
      <c r="D24" s="51"/>
      <c r="E24" s="51"/>
      <c r="F24" s="51"/>
      <c r="G24" s="54"/>
      <c r="H24" s="54"/>
      <c r="I24" s="54"/>
      <c r="J24" s="54"/>
      <c r="K24" s="54"/>
      <c r="L24" s="38"/>
    </row>
    <row r="25" spans="2:12" ht="12.75" x14ac:dyDescent="0.2">
      <c r="B25" s="34"/>
      <c r="C25" s="51"/>
      <c r="D25" s="51" t="s">
        <v>225</v>
      </c>
      <c r="E25" s="51"/>
      <c r="F25" s="51"/>
      <c r="G25" s="54"/>
      <c r="H25" s="212">
        <f>ROUND(415*H16,0)</f>
        <v>415</v>
      </c>
      <c r="I25" s="213">
        <f>ROUND(233*H16,0)</f>
        <v>233</v>
      </c>
      <c r="J25" s="54"/>
      <c r="K25" s="54"/>
      <c r="L25" s="38"/>
    </row>
    <row r="26" spans="2:12" ht="12.75" x14ac:dyDescent="0.2">
      <c r="B26" s="34"/>
      <c r="C26" s="51"/>
      <c r="D26" s="51" t="s">
        <v>226</v>
      </c>
      <c r="E26" s="51"/>
      <c r="F26" s="51"/>
      <c r="G26" s="54"/>
      <c r="H26" s="66">
        <v>415</v>
      </c>
      <c r="I26" s="214">
        <v>233</v>
      </c>
      <c r="J26" s="54"/>
      <c r="K26" s="54"/>
      <c r="L26" s="38"/>
    </row>
    <row r="27" spans="2:12" ht="12.75" x14ac:dyDescent="0.2">
      <c r="B27" s="34"/>
      <c r="C27" s="51"/>
      <c r="D27" s="51" t="s">
        <v>227</v>
      </c>
      <c r="E27" s="51"/>
      <c r="F27" s="51"/>
      <c r="G27" s="79"/>
      <c r="H27" s="215">
        <f>+H26/H25</f>
        <v>1</v>
      </c>
      <c r="I27" s="215">
        <f>+I26/I25</f>
        <v>1</v>
      </c>
      <c r="J27" s="54"/>
      <c r="K27" s="54"/>
      <c r="L27" s="38"/>
    </row>
    <row r="28" spans="2:12" ht="12.75" x14ac:dyDescent="0.2">
      <c r="B28" s="34"/>
      <c r="C28" s="51"/>
      <c r="D28" s="51" t="s">
        <v>228</v>
      </c>
      <c r="E28" s="51"/>
      <c r="F28" s="51"/>
      <c r="G28" s="54"/>
      <c r="H28" s="66">
        <v>6</v>
      </c>
      <c r="I28" s="54" t="str">
        <f>IF(H28&lt;2.999,"moet minimaal 3 gehele maanden zijn"," ")</f>
        <v xml:space="preserve"> </v>
      </c>
      <c r="J28" s="54"/>
      <c r="K28" s="54"/>
      <c r="L28" s="38"/>
    </row>
    <row r="29" spans="2:12" ht="12.75" x14ac:dyDescent="0.2">
      <c r="B29" s="34"/>
      <c r="C29" s="51"/>
      <c r="D29" s="51"/>
      <c r="E29" s="51"/>
      <c r="F29" s="51"/>
      <c r="G29" s="54"/>
      <c r="H29" s="54"/>
      <c r="I29" s="54"/>
      <c r="J29" s="54"/>
      <c r="K29" s="54"/>
      <c r="L29" s="38"/>
    </row>
    <row r="30" spans="2:12" ht="12.75" x14ac:dyDescent="0.2">
      <c r="B30" s="34"/>
      <c r="C30" s="51"/>
      <c r="D30" s="51" t="s">
        <v>229</v>
      </c>
      <c r="E30" s="51"/>
      <c r="F30" s="51"/>
      <c r="G30" s="216"/>
      <c r="H30" s="217">
        <f>ROUND(IF(H23="ja",+(I26/I25),H26/H25)*(3/H28)*H16,4)</f>
        <v>0.5</v>
      </c>
      <c r="I30" s="54"/>
      <c r="J30" s="207"/>
      <c r="K30" s="98"/>
      <c r="L30" s="38"/>
    </row>
    <row r="31" spans="2:12" ht="12.75" x14ac:dyDescent="0.2">
      <c r="B31" s="34"/>
      <c r="C31" s="51"/>
      <c r="D31" s="51" t="s">
        <v>230</v>
      </c>
      <c r="E31" s="51"/>
      <c r="F31" s="51"/>
      <c r="G31" s="79"/>
      <c r="H31" s="218">
        <f>ROUND(+IF(H23="ja",I26,H26)/ROUND((IF(H23="ja",233,415)*H16),0)*1.35/H28,4)</f>
        <v>0.22500000000000001</v>
      </c>
      <c r="I31" s="54"/>
      <c r="J31" s="219">
        <f>+H31*H17</f>
        <v>0</v>
      </c>
      <c r="K31" s="96">
        <f>+H30*0.45*H15</f>
        <v>0</v>
      </c>
      <c r="L31" s="38"/>
    </row>
    <row r="32" spans="2:12" ht="12.75" x14ac:dyDescent="0.2">
      <c r="B32" s="34"/>
      <c r="C32" s="51"/>
      <c r="D32" s="51"/>
      <c r="E32" s="51"/>
      <c r="F32" s="51"/>
      <c r="G32" s="79"/>
      <c r="H32" s="79"/>
      <c r="I32" s="54"/>
      <c r="J32" s="207"/>
      <c r="K32" s="96"/>
      <c r="L32" s="38"/>
    </row>
    <row r="33" spans="2:12" ht="12.75" x14ac:dyDescent="0.2">
      <c r="B33" s="34"/>
      <c r="C33" s="51"/>
      <c r="D33" s="51" t="s">
        <v>231</v>
      </c>
      <c r="E33" s="51"/>
      <c r="F33" s="51"/>
      <c r="G33" s="79"/>
      <c r="H33" s="218">
        <f>ROUND((3*I27/H28),4)-H31</f>
        <v>0.27500000000000002</v>
      </c>
      <c r="I33" s="54"/>
      <c r="J33" s="219">
        <f>+H33*H17</f>
        <v>0</v>
      </c>
      <c r="K33" s="96">
        <f>+H30*0.55*H15</f>
        <v>0</v>
      </c>
      <c r="L33" s="38"/>
    </row>
    <row r="34" spans="2:12" ht="12.75" x14ac:dyDescent="0.2">
      <c r="B34" s="34"/>
      <c r="C34" s="51"/>
      <c r="D34" s="51" t="s">
        <v>232</v>
      </c>
      <c r="E34" s="51"/>
      <c r="F34" s="51"/>
      <c r="G34" s="79"/>
      <c r="H34" s="218">
        <f>1-ROUND(1/0.45*H31,4)</f>
        <v>0.5</v>
      </c>
      <c r="I34" s="54"/>
      <c r="J34" s="219">
        <f>+H34*H17</f>
        <v>0</v>
      </c>
      <c r="K34" s="98"/>
      <c r="L34" s="38"/>
    </row>
    <row r="35" spans="2:12" s="87" customFormat="1" ht="12.75" x14ac:dyDescent="0.2">
      <c r="B35" s="56"/>
      <c r="C35" s="55"/>
      <c r="D35" s="55" t="s">
        <v>233</v>
      </c>
      <c r="E35" s="55"/>
      <c r="F35" s="55"/>
      <c r="G35" s="220"/>
      <c r="H35" s="215">
        <f>+H33+H34</f>
        <v>0.77500000000000002</v>
      </c>
      <c r="I35" s="83"/>
      <c r="J35" s="221">
        <f>SUM(J33:J34)</f>
        <v>0</v>
      </c>
      <c r="K35" s="135"/>
      <c r="L35" s="86"/>
    </row>
    <row r="36" spans="2:12" ht="12.75" x14ac:dyDescent="0.2">
      <c r="B36" s="34"/>
      <c r="C36" s="51"/>
      <c r="D36" s="125" t="s">
        <v>234</v>
      </c>
      <c r="E36" s="125"/>
      <c r="F36" s="125"/>
      <c r="G36" s="98"/>
      <c r="H36" s="98"/>
      <c r="I36" s="98"/>
      <c r="J36" s="222">
        <f>+J33*H28</f>
        <v>0</v>
      </c>
      <c r="K36" s="98"/>
      <c r="L36" s="38"/>
    </row>
    <row r="37" spans="2:12" ht="12.75" x14ac:dyDescent="0.2">
      <c r="B37" s="34"/>
      <c r="C37" s="51"/>
      <c r="D37" s="51"/>
      <c r="E37" s="51"/>
      <c r="F37" s="51"/>
      <c r="G37" s="54"/>
      <c r="H37" s="54"/>
      <c r="I37" s="54"/>
      <c r="J37" s="207"/>
      <c r="K37" s="98"/>
      <c r="L37" s="38"/>
    </row>
    <row r="38" spans="2:12" s="87" customFormat="1" ht="12.75" x14ac:dyDescent="0.2">
      <c r="B38" s="56"/>
      <c r="C38" s="55"/>
      <c r="D38" s="55" t="s">
        <v>235</v>
      </c>
      <c r="E38" s="55"/>
      <c r="F38" s="55"/>
      <c r="G38" s="223"/>
      <c r="H38" s="224">
        <f>+tabellen!C61</f>
        <v>0.55000000000000004</v>
      </c>
      <c r="I38" s="83"/>
      <c r="J38" s="221">
        <f>+J36*(1+H38)</f>
        <v>0</v>
      </c>
      <c r="K38" s="55"/>
      <c r="L38" s="86"/>
    </row>
    <row r="39" spans="2:12" ht="12.75" x14ac:dyDescent="0.2">
      <c r="B39" s="34"/>
      <c r="C39" s="51"/>
      <c r="D39" s="125" t="s">
        <v>71</v>
      </c>
      <c r="E39" s="125"/>
      <c r="F39" s="125"/>
      <c r="G39" s="125"/>
      <c r="H39" s="125"/>
      <c r="I39" s="125"/>
      <c r="J39" s="222">
        <f>+J38/H$28</f>
        <v>0</v>
      </c>
      <c r="K39" s="88"/>
      <c r="L39" s="38"/>
    </row>
    <row r="40" spans="2:12" ht="12.75" x14ac:dyDescent="0.2">
      <c r="B40" s="34"/>
      <c r="C40" s="51"/>
      <c r="D40" s="51"/>
      <c r="E40" s="51"/>
      <c r="F40" s="51"/>
      <c r="G40" s="51"/>
      <c r="H40" s="51"/>
      <c r="I40" s="51"/>
      <c r="J40" s="225"/>
      <c r="K40" s="88"/>
      <c r="L40" s="38"/>
    </row>
    <row r="41" spans="2:12" ht="12.75" x14ac:dyDescent="0.2">
      <c r="B41" s="34"/>
      <c r="C41" s="35"/>
      <c r="D41" s="35"/>
      <c r="E41" s="35"/>
      <c r="F41" s="35"/>
      <c r="G41" s="35"/>
      <c r="H41" s="35"/>
      <c r="I41" s="35"/>
      <c r="J41" s="150"/>
      <c r="K41" s="150"/>
      <c r="L41" s="38"/>
    </row>
    <row r="42" spans="2:12" ht="12.75" x14ac:dyDescent="0.2">
      <c r="B42" s="34"/>
      <c r="C42" s="51"/>
      <c r="D42" s="53"/>
      <c r="E42" s="53"/>
      <c r="F42" s="53"/>
      <c r="G42" s="53"/>
      <c r="H42" s="53"/>
      <c r="I42" s="53"/>
      <c r="J42" s="226"/>
      <c r="K42" s="226"/>
      <c r="L42" s="38"/>
    </row>
    <row r="43" spans="2:12" ht="12.75" x14ac:dyDescent="0.2">
      <c r="B43" s="34"/>
      <c r="C43" s="51"/>
      <c r="D43" s="53" t="s">
        <v>236</v>
      </c>
      <c r="E43" s="53"/>
      <c r="F43" s="53"/>
      <c r="G43" s="53"/>
      <c r="H43" s="53"/>
      <c r="I43" s="227">
        <v>4.18</v>
      </c>
      <c r="J43" s="51" t="s">
        <v>237</v>
      </c>
      <c r="K43" s="51"/>
      <c r="L43" s="38"/>
    </row>
    <row r="44" spans="2:12" ht="12.75" x14ac:dyDescent="0.2">
      <c r="B44" s="34"/>
      <c r="C44" s="51"/>
      <c r="D44" s="53" t="s">
        <v>238</v>
      </c>
      <c r="E44" s="53"/>
      <c r="F44" s="53"/>
      <c r="G44" s="53"/>
      <c r="H44" s="53"/>
      <c r="I44" s="53"/>
      <c r="J44" s="53"/>
      <c r="K44" s="226"/>
      <c r="L44" s="38"/>
    </row>
    <row r="45" spans="2:12" ht="12.75" x14ac:dyDescent="0.2">
      <c r="B45" s="34"/>
      <c r="C45" s="51"/>
      <c r="D45" s="53"/>
      <c r="E45" s="53"/>
      <c r="F45" s="53"/>
      <c r="G45" s="53"/>
      <c r="H45" s="53"/>
      <c r="I45" s="226"/>
      <c r="J45" s="226"/>
      <c r="K45" s="226"/>
      <c r="L45" s="38"/>
    </row>
    <row r="46" spans="2:12" ht="12.75" x14ac:dyDescent="0.2">
      <c r="B46" s="34"/>
      <c r="C46" s="35"/>
      <c r="D46" s="35"/>
      <c r="E46" s="35"/>
      <c r="F46" s="35"/>
      <c r="G46" s="35"/>
      <c r="H46" s="35"/>
      <c r="I46" s="150"/>
      <c r="J46" s="35"/>
      <c r="K46" s="35"/>
      <c r="L46" s="38"/>
    </row>
    <row r="47" spans="2:12" ht="12.75" x14ac:dyDescent="0.2">
      <c r="B47" s="34"/>
      <c r="C47" s="51"/>
      <c r="D47" s="51"/>
      <c r="E47" s="51"/>
      <c r="F47" s="51"/>
      <c r="G47" s="51"/>
      <c r="H47" s="51"/>
      <c r="I47" s="88"/>
      <c r="J47" s="51"/>
      <c r="K47" s="51"/>
      <c r="L47" s="38"/>
    </row>
    <row r="48" spans="2:12" s="87" customFormat="1" ht="12.75" x14ac:dyDescent="0.2">
      <c r="B48" s="228"/>
      <c r="C48" s="57"/>
      <c r="D48" s="55" t="s">
        <v>239</v>
      </c>
      <c r="E48" s="55"/>
      <c r="F48" s="55"/>
      <c r="G48" s="55"/>
      <c r="H48" s="55"/>
      <c r="I48" s="331"/>
      <c r="J48" s="332"/>
      <c r="K48" s="55"/>
      <c r="L48" s="86"/>
    </row>
    <row r="49" spans="2:12" ht="12.75" x14ac:dyDescent="0.2">
      <c r="B49" s="229"/>
      <c r="C49" s="80"/>
      <c r="D49" s="51"/>
      <c r="E49" s="51"/>
      <c r="F49" s="51"/>
      <c r="G49" s="51"/>
      <c r="H49" s="51"/>
      <c r="I49" s="230"/>
      <c r="J49" s="141"/>
      <c r="K49" s="51"/>
      <c r="L49" s="38"/>
    </row>
    <row r="50" spans="2:12" ht="12.75" x14ac:dyDescent="0.2">
      <c r="B50" s="34"/>
      <c r="C50" s="51"/>
      <c r="D50" s="51" t="s">
        <v>240</v>
      </c>
      <c r="E50" s="51"/>
      <c r="F50" s="51"/>
      <c r="G50" s="51"/>
      <c r="H50" s="51"/>
      <c r="I50" s="88"/>
      <c r="J50" s="51"/>
      <c r="K50" s="51"/>
      <c r="L50" s="38"/>
    </row>
    <row r="51" spans="2:12" ht="12.75" x14ac:dyDescent="0.2">
      <c r="B51" s="34"/>
      <c r="C51" s="51"/>
      <c r="D51" s="51" t="s">
        <v>241</v>
      </c>
      <c r="E51" s="51"/>
      <c r="F51" s="51"/>
      <c r="G51" s="231"/>
      <c r="H51" s="232">
        <v>600</v>
      </c>
      <c r="I51" s="233" t="s">
        <v>242</v>
      </c>
      <c r="J51" s="51"/>
      <c r="K51" s="51"/>
      <c r="L51" s="38"/>
    </row>
    <row r="52" spans="2:12" ht="12.75" x14ac:dyDescent="0.2">
      <c r="B52" s="34"/>
      <c r="C52" s="51"/>
      <c r="D52" s="51" t="s">
        <v>243</v>
      </c>
      <c r="E52" s="51"/>
      <c r="F52" s="51"/>
      <c r="G52" s="234"/>
      <c r="H52" s="235">
        <v>0.75</v>
      </c>
      <c r="I52" s="233" t="s">
        <v>242</v>
      </c>
      <c r="J52" s="51"/>
      <c r="K52" s="51"/>
      <c r="L52" s="38"/>
    </row>
    <row r="53" spans="2:12" ht="12.75" x14ac:dyDescent="0.2">
      <c r="B53" s="34"/>
      <c r="C53" s="51"/>
      <c r="D53" s="51"/>
      <c r="E53" s="54" t="s">
        <v>244</v>
      </c>
      <c r="F53" s="54" t="s">
        <v>245</v>
      </c>
      <c r="G53" s="51"/>
      <c r="H53" s="54"/>
      <c r="I53" s="233"/>
      <c r="J53" s="51"/>
      <c r="K53" s="51"/>
      <c r="L53" s="38"/>
    </row>
    <row r="54" spans="2:12" ht="12.75" x14ac:dyDescent="0.2">
      <c r="B54" s="34"/>
      <c r="C54" s="51"/>
      <c r="D54" s="51" t="s">
        <v>246</v>
      </c>
      <c r="E54" s="66">
        <v>20</v>
      </c>
      <c r="F54" s="66">
        <v>40</v>
      </c>
      <c r="G54" s="234"/>
      <c r="H54" s="235">
        <v>0.375</v>
      </c>
      <c r="I54" s="233" t="s">
        <v>247</v>
      </c>
      <c r="J54" s="51"/>
      <c r="K54" s="51"/>
      <c r="L54" s="38"/>
    </row>
    <row r="55" spans="2:12" ht="12.75" x14ac:dyDescent="0.2">
      <c r="B55" s="34"/>
      <c r="C55" s="51"/>
      <c r="D55" s="51" t="s">
        <v>248</v>
      </c>
      <c r="E55" s="51"/>
      <c r="F55" s="51"/>
      <c r="G55" s="51"/>
      <c r="H55" s="66">
        <v>1.8</v>
      </c>
      <c r="I55" s="233" t="s">
        <v>249</v>
      </c>
      <c r="J55" s="51"/>
      <c r="K55" s="51"/>
      <c r="L55" s="38"/>
    </row>
    <row r="56" spans="2:12" ht="12.75" x14ac:dyDescent="0.2">
      <c r="B56" s="34"/>
      <c r="C56" s="51"/>
      <c r="D56" s="51" t="s">
        <v>250</v>
      </c>
      <c r="E56" s="51"/>
      <c r="F56" s="51"/>
      <c r="G56" s="231"/>
      <c r="H56" s="236">
        <f>ROUND(H51*H52*H54*H55,0)</f>
        <v>304</v>
      </c>
      <c r="I56" s="233"/>
      <c r="J56" s="51"/>
      <c r="K56" s="51"/>
      <c r="L56" s="38"/>
    </row>
    <row r="57" spans="2:12" ht="12.75" x14ac:dyDescent="0.2">
      <c r="B57" s="34"/>
      <c r="C57" s="51"/>
      <c r="D57" s="51" t="s">
        <v>251</v>
      </c>
      <c r="E57" s="51"/>
      <c r="F57" s="51"/>
      <c r="G57" s="234"/>
      <c r="H57" s="235">
        <v>1</v>
      </c>
      <c r="I57" s="233" t="s">
        <v>252</v>
      </c>
      <c r="J57" s="51"/>
      <c r="K57" s="51"/>
      <c r="L57" s="38"/>
    </row>
    <row r="58" spans="2:12" ht="12.75" x14ac:dyDescent="0.2">
      <c r="B58" s="34"/>
      <c r="C58" s="51"/>
      <c r="D58" s="51" t="s">
        <v>253</v>
      </c>
      <c r="E58" s="51"/>
      <c r="F58" s="51"/>
      <c r="G58" s="231"/>
      <c r="H58" s="236">
        <f>ROUND(H56*H57/(F54-E54),0)</f>
        <v>15</v>
      </c>
      <c r="I58" s="233"/>
      <c r="J58" s="51"/>
      <c r="K58" s="51"/>
      <c r="L58" s="38"/>
    </row>
    <row r="59" spans="2:12" ht="12.75" x14ac:dyDescent="0.2">
      <c r="B59" s="34"/>
      <c r="C59" s="51"/>
      <c r="D59" s="51" t="s">
        <v>254</v>
      </c>
      <c r="E59" s="51"/>
      <c r="F59" s="51"/>
      <c r="G59" s="237"/>
      <c r="H59" s="238">
        <v>9000</v>
      </c>
      <c r="I59" s="233" t="s">
        <v>252</v>
      </c>
      <c r="J59" s="51"/>
      <c r="K59" s="51"/>
      <c r="L59" s="38"/>
    </row>
    <row r="60" spans="2:12" s="87" customFormat="1" ht="12.75" x14ac:dyDescent="0.2">
      <c r="B60" s="56"/>
      <c r="C60" s="55"/>
      <c r="D60" s="55" t="s">
        <v>255</v>
      </c>
      <c r="E60" s="55"/>
      <c r="F60" s="55"/>
      <c r="G60" s="239"/>
      <c r="H60" s="240">
        <f>+H58*H59</f>
        <v>135000</v>
      </c>
      <c r="I60" s="241" t="s">
        <v>256</v>
      </c>
      <c r="J60" s="55"/>
      <c r="K60" s="55"/>
      <c r="L60" s="86"/>
    </row>
    <row r="61" spans="2:12" ht="12.75" x14ac:dyDescent="0.2">
      <c r="B61" s="34"/>
      <c r="C61" s="51"/>
      <c r="D61" s="51"/>
      <c r="E61" s="51"/>
      <c r="F61" s="51"/>
      <c r="G61" s="51"/>
      <c r="H61" s="51"/>
      <c r="I61" s="88"/>
      <c r="J61" s="51"/>
      <c r="K61" s="51"/>
      <c r="L61" s="38"/>
    </row>
    <row r="62" spans="2:12" ht="12.75" x14ac:dyDescent="0.2">
      <c r="B62" s="34"/>
      <c r="C62" s="35"/>
      <c r="D62" s="35"/>
      <c r="E62" s="35"/>
      <c r="F62" s="35"/>
      <c r="G62" s="35"/>
      <c r="H62" s="35"/>
      <c r="I62" s="150"/>
      <c r="J62" s="35"/>
      <c r="K62" s="35"/>
      <c r="L62" s="38"/>
    </row>
    <row r="63" spans="2:12" thickBot="1" x14ac:dyDescent="0.25">
      <c r="B63" s="151"/>
      <c r="C63" s="152"/>
      <c r="D63" s="152"/>
      <c r="E63" s="152"/>
      <c r="F63" s="152"/>
      <c r="G63" s="152"/>
      <c r="H63" s="152"/>
      <c r="I63" s="242"/>
      <c r="J63" s="152"/>
      <c r="K63" s="155" t="s">
        <v>108</v>
      </c>
      <c r="L63" s="156"/>
    </row>
    <row r="64" spans="2:12" ht="12.75" x14ac:dyDescent="0.2">
      <c r="I64" s="243"/>
    </row>
    <row r="65" spans="9:14" ht="13.5" customHeight="1" x14ac:dyDescent="0.2">
      <c r="I65" s="243"/>
      <c r="N65" s="244" t="s">
        <v>6</v>
      </c>
    </row>
    <row r="66" spans="9:14" ht="13.5" customHeight="1" x14ac:dyDescent="0.2">
      <c r="I66" s="243"/>
      <c r="N66" s="244" t="s">
        <v>7</v>
      </c>
    </row>
    <row r="67" spans="9:14" ht="13.5" customHeight="1" x14ac:dyDescent="0.2">
      <c r="I67" s="243"/>
      <c r="N67" s="244" t="s">
        <v>8</v>
      </c>
    </row>
    <row r="68" spans="9:14" ht="13.5" customHeight="1" x14ac:dyDescent="0.2">
      <c r="I68" s="243"/>
      <c r="N68" s="244" t="s">
        <v>9</v>
      </c>
    </row>
    <row r="69" spans="9:14" ht="13.5" customHeight="1" x14ac:dyDescent="0.2">
      <c r="I69" s="243"/>
      <c r="N69" s="27">
        <v>1</v>
      </c>
    </row>
    <row r="70" spans="9:14" ht="13.5" customHeight="1" x14ac:dyDescent="0.2">
      <c r="I70" s="243"/>
      <c r="N70" s="27">
        <v>2</v>
      </c>
    </row>
    <row r="71" spans="9:14" ht="13.5" customHeight="1" x14ac:dyDescent="0.2">
      <c r="I71" s="243"/>
      <c r="N71" s="27">
        <v>3</v>
      </c>
    </row>
    <row r="72" spans="9:14" ht="13.5" customHeight="1" x14ac:dyDescent="0.2">
      <c r="I72" s="243"/>
      <c r="N72" s="27">
        <v>4</v>
      </c>
    </row>
    <row r="73" spans="9:14" ht="13.5" customHeight="1" x14ac:dyDescent="0.2">
      <c r="I73" s="243"/>
      <c r="N73" s="27">
        <v>5</v>
      </c>
    </row>
    <row r="74" spans="9:14" ht="13.5" customHeight="1" x14ac:dyDescent="0.2">
      <c r="I74" s="243"/>
      <c r="N74" s="27">
        <v>6</v>
      </c>
    </row>
    <row r="75" spans="9:14" ht="13.5" customHeight="1" x14ac:dyDescent="0.2">
      <c r="I75" s="243"/>
      <c r="N75" s="27">
        <v>7</v>
      </c>
    </row>
    <row r="76" spans="9:14" ht="13.5" customHeight="1" x14ac:dyDescent="0.2">
      <c r="I76" s="243"/>
      <c r="N76" s="27">
        <v>8</v>
      </c>
    </row>
    <row r="77" spans="9:14" ht="13.5" customHeight="1" x14ac:dyDescent="0.2">
      <c r="I77" s="243"/>
      <c r="N77" s="27">
        <v>9</v>
      </c>
    </row>
    <row r="78" spans="9:14" ht="13.5" customHeight="1" x14ac:dyDescent="0.2">
      <c r="I78" s="243"/>
      <c r="N78" s="27">
        <v>10</v>
      </c>
    </row>
    <row r="79" spans="9:14" ht="13.5" customHeight="1" x14ac:dyDescent="0.2">
      <c r="I79" s="243"/>
      <c r="N79" s="27">
        <v>11</v>
      </c>
    </row>
    <row r="80" spans="9:14" ht="13.5" customHeight="1" x14ac:dyDescent="0.2">
      <c r="I80" s="243"/>
      <c r="N80" s="27">
        <v>12</v>
      </c>
    </row>
    <row r="81" spans="6:14" ht="13.5" customHeight="1" x14ac:dyDescent="0.2">
      <c r="I81" s="243"/>
      <c r="N81" s="27">
        <v>13</v>
      </c>
    </row>
    <row r="82" spans="6:14" ht="13.5" customHeight="1" x14ac:dyDescent="0.2">
      <c r="I82" s="243"/>
      <c r="N82" s="27">
        <v>14</v>
      </c>
    </row>
    <row r="83" spans="6:14" ht="13.5" customHeight="1" x14ac:dyDescent="0.2">
      <c r="I83" s="243"/>
      <c r="N83" s="27">
        <v>15</v>
      </c>
    </row>
    <row r="84" spans="6:14" ht="13.5" customHeight="1" x14ac:dyDescent="0.2">
      <c r="I84" s="243"/>
      <c r="N84" s="27">
        <v>16</v>
      </c>
    </row>
    <row r="85" spans="6:14" ht="13.5" customHeight="1" x14ac:dyDescent="0.2">
      <c r="I85" s="243"/>
      <c r="N85" s="27">
        <v>17</v>
      </c>
    </row>
    <row r="86" spans="6:14" ht="13.5" customHeight="1" x14ac:dyDescent="0.2">
      <c r="I86" s="243"/>
      <c r="N86" s="27" t="s">
        <v>10</v>
      </c>
    </row>
    <row r="87" spans="6:14" ht="13.5" customHeight="1" x14ac:dyDescent="0.2">
      <c r="I87" s="243"/>
      <c r="N87" s="27" t="s">
        <v>11</v>
      </c>
    </row>
    <row r="88" spans="6:14" ht="13.5" customHeight="1" x14ac:dyDescent="0.2">
      <c r="I88" s="243"/>
      <c r="N88" s="27" t="s">
        <v>12</v>
      </c>
    </row>
    <row r="89" spans="6:14" ht="13.5" customHeight="1" x14ac:dyDescent="0.2">
      <c r="I89" s="243"/>
      <c r="N89" s="27" t="s">
        <v>13</v>
      </c>
    </row>
    <row r="90" spans="6:14" ht="13.5" customHeight="1" x14ac:dyDescent="0.2">
      <c r="I90" s="243"/>
    </row>
    <row r="91" spans="6:14" ht="13.5" customHeight="1" x14ac:dyDescent="0.2">
      <c r="I91" s="243"/>
    </row>
    <row r="92" spans="6:14" ht="13.5" customHeight="1" x14ac:dyDescent="0.2">
      <c r="I92" s="243"/>
    </row>
    <row r="93" spans="6:14" ht="13.5" customHeight="1" x14ac:dyDescent="0.2">
      <c r="F93" s="245"/>
      <c r="G93" s="246"/>
      <c r="I93" s="243"/>
    </row>
    <row r="94" spans="6:14" ht="13.5" customHeight="1" x14ac:dyDescent="0.2">
      <c r="F94" s="245"/>
      <c r="G94" s="246"/>
      <c r="I94" s="243"/>
    </row>
    <row r="95" spans="6:14" ht="13.5" customHeight="1" x14ac:dyDescent="0.2">
      <c r="F95" s="245"/>
      <c r="G95" s="246"/>
      <c r="I95" s="243"/>
    </row>
    <row r="96" spans="6:14" ht="13.5" customHeight="1" x14ac:dyDescent="0.2">
      <c r="F96" s="245"/>
      <c r="G96" s="246"/>
      <c r="I96" s="243"/>
    </row>
    <row r="97" spans="6:9" ht="12.75" x14ac:dyDescent="0.2">
      <c r="F97" s="247"/>
      <c r="G97" s="243"/>
      <c r="I97" s="243"/>
    </row>
    <row r="98" spans="6:9" ht="12.75" x14ac:dyDescent="0.2">
      <c r="F98" s="245"/>
      <c r="G98" s="243"/>
      <c r="I98" s="243"/>
    </row>
    <row r="99" spans="6:9" ht="12.75" x14ac:dyDescent="0.2">
      <c r="F99" s="248"/>
      <c r="I99" s="243"/>
    </row>
    <row r="100" spans="6:9" ht="12.75" x14ac:dyDescent="0.2">
      <c r="I100" s="243"/>
    </row>
    <row r="101" spans="6:9" ht="12.75" x14ac:dyDescent="0.2">
      <c r="I101" s="243"/>
    </row>
  </sheetData>
  <sheetProtection password="DE55" sheet="1" objects="1" scenarios="1"/>
  <mergeCells count="2">
    <mergeCell ref="H10:I10"/>
    <mergeCell ref="I48:J48"/>
  </mergeCells>
  <dataValidations disablePrompts="1" count="3">
    <dataValidation type="list" allowBlank="1" showInputMessage="1" showErrorMessage="1" sqref="H13">
      <formula1>$N$65:$N$89</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249" customWidth="1"/>
    <col min="4" max="4" width="45.7109375" style="249" customWidth="1"/>
    <col min="5" max="5" width="2.7109375" style="249" customWidth="1"/>
    <col min="6" max="6" width="14.7109375" style="250" customWidth="1"/>
    <col min="7" max="7" width="2.7109375" style="250" customWidth="1"/>
    <col min="8" max="8" width="16.5703125" style="249" bestFit="1" customWidth="1"/>
    <col min="9" max="9" width="8.7109375" style="249" customWidth="1"/>
    <col min="10" max="12" width="2.7109375" style="249" customWidth="1"/>
    <col min="13" max="15" width="10.7109375" style="249" customWidth="1"/>
    <col min="16" max="16" width="6.140625" style="249" customWidth="1"/>
    <col min="17" max="17" width="8.140625" style="249" customWidth="1"/>
    <col min="18" max="18" width="2.42578125" style="249" customWidth="1"/>
    <col min="19" max="19" width="6.7109375" style="249" customWidth="1"/>
    <col min="20" max="20" width="10.7109375" style="249" customWidth="1"/>
    <col min="21" max="21" width="2.7109375" style="249" customWidth="1"/>
    <col min="22" max="22" width="10.7109375" style="249" customWidth="1"/>
    <col min="23" max="23" width="11.7109375" style="249" bestFit="1" customWidth="1"/>
    <col min="24" max="24" width="2.140625" style="249" customWidth="1"/>
    <col min="25" max="25" width="11.85546875" style="249" bestFit="1" customWidth="1"/>
    <col min="26" max="26" width="1.85546875" style="249" customWidth="1"/>
    <col min="27" max="27" width="4" style="249" bestFit="1" customWidth="1"/>
    <col min="28" max="29" width="10.7109375" style="249" customWidth="1"/>
    <col min="30" max="16384" width="9.7109375" style="249"/>
  </cols>
  <sheetData>
    <row r="1" spans="2:29" ht="12.75" customHeight="1" thickBot="1" x14ac:dyDescent="0.25"/>
    <row r="2" spans="2:29" ht="12.75" customHeight="1" x14ac:dyDescent="0.2">
      <c r="B2" s="29"/>
      <c r="C2" s="30"/>
      <c r="D2" s="30"/>
      <c r="E2" s="30"/>
      <c r="F2" s="32"/>
      <c r="G2" s="32"/>
      <c r="H2" s="30"/>
      <c r="I2" s="30"/>
      <c r="J2" s="30"/>
      <c r="K2" s="33"/>
    </row>
    <row r="3" spans="2:29" ht="12.75" customHeight="1" x14ac:dyDescent="0.2">
      <c r="B3" s="34"/>
      <c r="C3" s="35"/>
      <c r="D3" s="35"/>
      <c r="E3" s="35"/>
      <c r="F3" s="37"/>
      <c r="G3" s="37"/>
      <c r="H3" s="35"/>
      <c r="I3" s="35"/>
      <c r="J3" s="35"/>
      <c r="K3" s="38"/>
    </row>
    <row r="4" spans="2:29" ht="18" customHeight="1" x14ac:dyDescent="0.25">
      <c r="B4" s="34"/>
      <c r="C4" s="40" t="s">
        <v>257</v>
      </c>
      <c r="D4" s="35"/>
      <c r="E4" s="35"/>
      <c r="F4" s="205"/>
      <c r="G4" s="205"/>
      <c r="H4" s="206"/>
      <c r="I4" s="35"/>
      <c r="J4" s="35"/>
      <c r="K4" s="38"/>
    </row>
    <row r="5" spans="2:29" s="255" customFormat="1" ht="12.75" customHeight="1" x14ac:dyDescent="0.2">
      <c r="B5" s="251"/>
      <c r="C5" s="252" t="s">
        <v>258</v>
      </c>
      <c r="D5" s="252"/>
      <c r="E5" s="252"/>
      <c r="F5" s="253"/>
      <c r="G5" s="253"/>
      <c r="H5" s="252"/>
      <c r="I5" s="252"/>
      <c r="J5" s="252"/>
      <c r="K5" s="254"/>
    </row>
    <row r="6" spans="2:29" ht="12.75" customHeight="1" x14ac:dyDescent="0.2">
      <c r="B6" s="34"/>
      <c r="C6" s="252"/>
      <c r="D6" s="204"/>
      <c r="E6" s="35"/>
      <c r="F6" s="37"/>
      <c r="G6" s="37"/>
      <c r="H6" s="35"/>
      <c r="I6" s="35"/>
      <c r="J6" s="35"/>
      <c r="K6" s="38"/>
    </row>
    <row r="7" spans="2:29" ht="12.75" customHeight="1" x14ac:dyDescent="0.2">
      <c r="B7" s="34"/>
      <c r="C7" s="51"/>
      <c r="D7" s="55"/>
      <c r="E7" s="51"/>
      <c r="F7" s="54"/>
      <c r="G7" s="54"/>
      <c r="H7" s="51"/>
      <c r="I7" s="51"/>
      <c r="J7" s="51"/>
      <c r="K7" s="38"/>
    </row>
    <row r="8" spans="2:29" ht="12.75" customHeight="1" x14ac:dyDescent="0.2">
      <c r="B8" s="34"/>
      <c r="C8" s="51"/>
      <c r="D8" s="51" t="s">
        <v>219</v>
      </c>
      <c r="E8" s="51"/>
      <c r="F8" s="329" t="s">
        <v>49</v>
      </c>
      <c r="G8" s="329"/>
      <c r="H8" s="329"/>
      <c r="I8" s="51"/>
      <c r="J8" s="51"/>
      <c r="K8" s="38"/>
    </row>
    <row r="9" spans="2:29" ht="12.75" customHeight="1" x14ac:dyDescent="0.25">
      <c r="B9" s="34"/>
      <c r="C9" s="51"/>
      <c r="D9" s="256" t="s">
        <v>259</v>
      </c>
      <c r="E9" s="256"/>
      <c r="F9" s="257" t="s">
        <v>33</v>
      </c>
      <c r="G9" s="258"/>
      <c r="H9" s="259"/>
      <c r="I9" s="51"/>
      <c r="J9" s="51"/>
      <c r="K9" s="38"/>
    </row>
    <row r="10" spans="2:29" ht="12.75" customHeight="1" x14ac:dyDescent="0.2">
      <c r="B10" s="34"/>
      <c r="C10" s="51"/>
      <c r="D10" s="55"/>
      <c r="E10" s="51"/>
      <c r="F10" s="54"/>
      <c r="G10" s="54"/>
      <c r="H10" s="141"/>
      <c r="I10" s="51"/>
      <c r="J10" s="51"/>
      <c r="K10" s="38"/>
    </row>
    <row r="11" spans="2:29" ht="12.75" customHeight="1" x14ac:dyDescent="0.2">
      <c r="B11" s="34"/>
      <c r="C11" s="35"/>
      <c r="D11" s="204"/>
      <c r="E11" s="35"/>
      <c r="F11" s="37"/>
      <c r="G11" s="37"/>
      <c r="H11" s="260"/>
      <c r="I11" s="35"/>
      <c r="J11" s="35"/>
      <c r="K11" s="38"/>
    </row>
    <row r="12" spans="2:29" ht="12.75" customHeight="1" x14ac:dyDescent="0.2">
      <c r="B12" s="34"/>
      <c r="C12" s="51"/>
      <c r="D12" s="55"/>
      <c r="E12" s="51"/>
      <c r="F12" s="54"/>
      <c r="G12" s="54"/>
      <c r="H12" s="141"/>
      <c r="I12" s="51"/>
      <c r="J12" s="51"/>
      <c r="K12" s="38"/>
      <c r="P12" s="261" t="s">
        <v>260</v>
      </c>
      <c r="Q12" s="262"/>
      <c r="R12" s="262"/>
      <c r="S12" s="262"/>
      <c r="T12" s="262"/>
      <c r="U12" s="262"/>
      <c r="V12" s="262"/>
      <c r="W12" s="262"/>
      <c r="X12" s="262"/>
      <c r="Y12" s="262"/>
      <c r="Z12" s="262"/>
      <c r="AA12" s="262"/>
      <c r="AB12" s="262"/>
      <c r="AC12" s="263"/>
    </row>
    <row r="13" spans="2:29" ht="12.75" customHeight="1" x14ac:dyDescent="0.2">
      <c r="B13" s="34"/>
      <c r="C13" s="51"/>
      <c r="D13" s="55" t="s">
        <v>261</v>
      </c>
      <c r="E13" s="51"/>
      <c r="F13" s="54"/>
      <c r="G13" s="54"/>
      <c r="H13" s="51"/>
      <c r="I13" s="51"/>
      <c r="J13" s="51"/>
      <c r="K13" s="38"/>
      <c r="P13" s="262"/>
      <c r="Q13" s="262"/>
      <c r="R13" s="262"/>
      <c r="S13" s="262"/>
      <c r="T13" s="262"/>
      <c r="U13" s="262"/>
      <c r="V13" s="262"/>
      <c r="W13" s="262"/>
      <c r="X13" s="262"/>
      <c r="Y13" s="262"/>
      <c r="Z13" s="262"/>
      <c r="AA13" s="262"/>
      <c r="AB13" s="262"/>
      <c r="AC13" s="262"/>
    </row>
    <row r="14" spans="2:29" ht="12.75" customHeight="1" x14ac:dyDescent="0.2">
      <c r="B14" s="34"/>
      <c r="C14" s="51"/>
      <c r="D14" s="55"/>
      <c r="E14" s="51"/>
      <c r="F14" s="54"/>
      <c r="G14" s="54"/>
      <c r="H14" s="51"/>
      <c r="I14" s="51"/>
      <c r="J14" s="51"/>
      <c r="K14" s="38"/>
      <c r="P14" s="262" t="s">
        <v>262</v>
      </c>
      <c r="Q14" s="262"/>
      <c r="R14" s="262"/>
      <c r="S14" s="262" t="s">
        <v>263</v>
      </c>
      <c r="T14" s="262"/>
      <c r="U14" s="262"/>
      <c r="V14" s="262"/>
      <c r="W14" s="262"/>
      <c r="X14" s="262"/>
      <c r="Y14" s="262" t="s">
        <v>264</v>
      </c>
      <c r="Z14" s="262"/>
      <c r="AA14" s="262"/>
      <c r="AB14" s="262"/>
      <c r="AC14" s="263"/>
    </row>
    <row r="15" spans="2:29" ht="12.75" customHeight="1" x14ac:dyDescent="0.2">
      <c r="B15" s="34"/>
      <c r="C15" s="51"/>
      <c r="D15" s="51" t="s">
        <v>52</v>
      </c>
      <c r="E15" s="51"/>
      <c r="F15" s="264">
        <v>15</v>
      </c>
      <c r="G15" s="265"/>
      <c r="H15" s="51"/>
      <c r="I15" s="51"/>
      <c r="J15" s="51"/>
      <c r="K15" s="38"/>
      <c r="P15" s="262">
        <f t="shared" ref="P15:P60" si="0">+$F$29</f>
        <v>16</v>
      </c>
      <c r="Q15" s="262">
        <f>+$F$30+AA15</f>
        <v>6</v>
      </c>
      <c r="R15" s="262"/>
      <c r="S15" s="262">
        <f t="shared" ref="S15:S60" si="1">+$F$15</f>
        <v>15</v>
      </c>
      <c r="T15" s="262">
        <f>+$F$16+AA15</f>
        <v>8</v>
      </c>
      <c r="U15" s="262"/>
      <c r="V15" s="266">
        <f t="shared" ref="V15:V60" si="2">IF(AA15+1&gt;$F$44,0,IF(Q15&gt;$I$30,VLOOKUP($P15,salaristabellen,$I$30+1,FALSE),VLOOKUP($P15,salaristabellen,Q15+1,FALSE))*12*(1+F$42))</f>
        <v>109981.8</v>
      </c>
      <c r="W15" s="266">
        <f t="shared" ref="W15:W60" si="3">IF(AA15+1&gt;$F$44,0,IF(T15&gt;$I$16,VLOOKUP($S15,salaristabellen,$I$16+1,FALSE),VLOOKUP($S15,salaristabellen,T15+1,FALSE))*12*(1+F$42))</f>
        <v>107061.6</v>
      </c>
      <c r="X15" s="262"/>
      <c r="Y15" s="266">
        <f t="shared" ref="Y15:Y60" si="4">+V15-W15</f>
        <v>2920.1999999999971</v>
      </c>
      <c r="Z15" s="262"/>
      <c r="AA15" s="262">
        <v>0</v>
      </c>
      <c r="AB15" s="262"/>
      <c r="AC15" s="263" t="s">
        <v>6</v>
      </c>
    </row>
    <row r="16" spans="2:29" ht="12.75" customHeight="1" x14ac:dyDescent="0.2">
      <c r="B16" s="34"/>
      <c r="C16" s="51"/>
      <c r="D16" s="51" t="s">
        <v>53</v>
      </c>
      <c r="E16" s="51"/>
      <c r="F16" s="66">
        <v>8</v>
      </c>
      <c r="G16" s="54"/>
      <c r="H16" s="267" t="s">
        <v>265</v>
      </c>
      <c r="I16" s="268">
        <f>VLOOKUP(F$15,salaristabellen,20,FALSE)</f>
        <v>12</v>
      </c>
      <c r="J16" s="51"/>
      <c r="K16" s="38"/>
      <c r="P16" s="262">
        <f t="shared" si="0"/>
        <v>16</v>
      </c>
      <c r="Q16" s="262">
        <f t="shared" ref="Q16:Q60" si="5">+$F$30+AA16</f>
        <v>7</v>
      </c>
      <c r="R16" s="262"/>
      <c r="S16" s="262">
        <f t="shared" si="1"/>
        <v>15</v>
      </c>
      <c r="T16" s="262">
        <f t="shared" ref="T16:T60" si="6">+$F$16+AA16</f>
        <v>9</v>
      </c>
      <c r="U16" s="262"/>
      <c r="V16" s="266">
        <f t="shared" si="2"/>
        <v>113478.6</v>
      </c>
      <c r="W16" s="266">
        <f t="shared" si="3"/>
        <v>109981.8</v>
      </c>
      <c r="X16" s="262"/>
      <c r="Y16" s="266">
        <f t="shared" si="4"/>
        <v>3496.8000000000029</v>
      </c>
      <c r="Z16" s="262"/>
      <c r="AA16" s="262">
        <v>1</v>
      </c>
      <c r="AB16" s="269"/>
      <c r="AC16" s="263" t="s">
        <v>7</v>
      </c>
    </row>
    <row r="17" spans="2:29" ht="12.75" customHeight="1" x14ac:dyDescent="0.2">
      <c r="B17" s="34"/>
      <c r="C17" s="51"/>
      <c r="D17" s="51" t="s">
        <v>56</v>
      </c>
      <c r="E17" s="51"/>
      <c r="F17" s="219">
        <f>VLOOKUP(F15,salaristabellen,IF(F16&gt;15,16,F16+1),FALSE)</f>
        <v>5756</v>
      </c>
      <c r="G17" s="207"/>
      <c r="H17" s="270"/>
      <c r="I17" s="98"/>
      <c r="J17" s="51"/>
      <c r="K17" s="38"/>
      <c r="P17" s="262">
        <f t="shared" si="0"/>
        <v>16</v>
      </c>
      <c r="Q17" s="262">
        <f t="shared" si="5"/>
        <v>8</v>
      </c>
      <c r="R17" s="262"/>
      <c r="S17" s="262">
        <f t="shared" si="1"/>
        <v>15</v>
      </c>
      <c r="T17" s="262">
        <f t="shared" si="6"/>
        <v>10</v>
      </c>
      <c r="U17" s="262"/>
      <c r="V17" s="266">
        <f t="shared" si="2"/>
        <v>117105.60000000001</v>
      </c>
      <c r="W17" s="266">
        <f t="shared" si="3"/>
        <v>113478.6</v>
      </c>
      <c r="X17" s="262"/>
      <c r="Y17" s="266">
        <f t="shared" si="4"/>
        <v>3627</v>
      </c>
      <c r="Z17" s="262"/>
      <c r="AA17" s="262">
        <v>2</v>
      </c>
      <c r="AB17" s="262"/>
      <c r="AC17" s="263" t="s">
        <v>8</v>
      </c>
    </row>
    <row r="18" spans="2:29" ht="12.75" customHeight="1" x14ac:dyDescent="0.2">
      <c r="B18" s="34"/>
      <c r="C18" s="51"/>
      <c r="D18" s="51" t="s">
        <v>266</v>
      </c>
      <c r="E18" s="51"/>
      <c r="F18" s="219">
        <f>IF(F16=I16,VLOOKUP(F9,bindingstoelage,3,FALSE),0)+IF(F9="leraar",1,0)*IF(F16=I16,IF(F15="LB",tabellen!C48,IF(F15="LC",tabellen!C49,IF(F15="LD",tabellen!C50,0))),0)</f>
        <v>0</v>
      </c>
      <c r="G18" s="207"/>
      <c r="H18" s="270"/>
      <c r="I18" s="98"/>
      <c r="J18" s="51"/>
      <c r="K18" s="38"/>
      <c r="P18" s="262">
        <f t="shared" si="0"/>
        <v>16</v>
      </c>
      <c r="Q18" s="262">
        <f t="shared" si="5"/>
        <v>9</v>
      </c>
      <c r="R18" s="262"/>
      <c r="S18" s="262">
        <f t="shared" si="1"/>
        <v>15</v>
      </c>
      <c r="T18" s="262">
        <f t="shared" si="6"/>
        <v>11</v>
      </c>
      <c r="U18" s="262"/>
      <c r="V18" s="266">
        <f t="shared" si="2"/>
        <v>120807</v>
      </c>
      <c r="W18" s="266">
        <f t="shared" si="3"/>
        <v>117105.60000000001</v>
      </c>
      <c r="X18" s="262"/>
      <c r="Y18" s="266">
        <f t="shared" si="4"/>
        <v>3701.3999999999942</v>
      </c>
      <c r="Z18" s="262"/>
      <c r="AA18" s="262">
        <v>3</v>
      </c>
      <c r="AB18" s="262"/>
      <c r="AC18" s="263" t="s">
        <v>9</v>
      </c>
    </row>
    <row r="19" spans="2:29" ht="12.75" customHeight="1" x14ac:dyDescent="0.2">
      <c r="B19" s="34"/>
      <c r="C19" s="51"/>
      <c r="D19" s="55" t="s">
        <v>57</v>
      </c>
      <c r="E19" s="51"/>
      <c r="F19" s="271">
        <v>1</v>
      </c>
      <c r="G19" s="216"/>
      <c r="H19" s="270"/>
      <c r="I19" s="98"/>
      <c r="J19" s="51"/>
      <c r="K19" s="38"/>
      <c r="P19" s="262">
        <f t="shared" si="0"/>
        <v>16</v>
      </c>
      <c r="Q19" s="262">
        <f t="shared" si="5"/>
        <v>10</v>
      </c>
      <c r="R19" s="262"/>
      <c r="S19" s="262">
        <f t="shared" si="1"/>
        <v>15</v>
      </c>
      <c r="T19" s="262">
        <f t="shared" si="6"/>
        <v>12</v>
      </c>
      <c r="U19" s="262"/>
      <c r="V19" s="266">
        <f t="shared" si="2"/>
        <v>124694.40000000001</v>
      </c>
      <c r="W19" s="266">
        <f t="shared" si="3"/>
        <v>120807</v>
      </c>
      <c r="X19" s="262"/>
      <c r="Y19" s="266">
        <f t="shared" si="4"/>
        <v>3887.4000000000087</v>
      </c>
      <c r="Z19" s="262"/>
      <c r="AA19" s="262">
        <v>4</v>
      </c>
      <c r="AB19" s="262"/>
      <c r="AC19" s="263">
        <v>1</v>
      </c>
    </row>
    <row r="20" spans="2:29" ht="12.75" customHeight="1" x14ac:dyDescent="0.2">
      <c r="B20" s="34"/>
      <c r="C20" s="51"/>
      <c r="D20" s="51" t="s">
        <v>58</v>
      </c>
      <c r="E20" s="51"/>
      <c r="F20" s="208">
        <f>ROUND(+(F17+F18)*F19,2)</f>
        <v>5756</v>
      </c>
      <c r="G20" s="207"/>
      <c r="H20" s="270"/>
      <c r="I20" s="98"/>
      <c r="J20" s="51"/>
      <c r="K20" s="38"/>
      <c r="P20" s="262">
        <f t="shared" si="0"/>
        <v>16</v>
      </c>
      <c r="Q20" s="262">
        <f t="shared" si="5"/>
        <v>11</v>
      </c>
      <c r="R20" s="262"/>
      <c r="S20" s="262">
        <f t="shared" si="1"/>
        <v>15</v>
      </c>
      <c r="T20" s="262">
        <f t="shared" si="6"/>
        <v>13</v>
      </c>
      <c r="U20" s="262"/>
      <c r="V20" s="266">
        <f t="shared" si="2"/>
        <v>128637.6</v>
      </c>
      <c r="W20" s="266">
        <f t="shared" si="3"/>
        <v>120807</v>
      </c>
      <c r="X20" s="262"/>
      <c r="Y20" s="266">
        <f t="shared" si="4"/>
        <v>7830.6000000000058</v>
      </c>
      <c r="Z20" s="262"/>
      <c r="AA20" s="262">
        <v>5</v>
      </c>
      <c r="AB20" s="262"/>
      <c r="AC20" s="263">
        <v>2</v>
      </c>
    </row>
    <row r="21" spans="2:29" ht="12.75" customHeight="1" x14ac:dyDescent="0.2">
      <c r="B21" s="34"/>
      <c r="C21" s="51"/>
      <c r="D21" s="51"/>
      <c r="E21" s="51"/>
      <c r="F21" s="207"/>
      <c r="G21" s="207"/>
      <c r="H21" s="270"/>
      <c r="I21" s="98"/>
      <c r="J21" s="51"/>
      <c r="K21" s="38"/>
      <c r="P21" s="262">
        <f t="shared" si="0"/>
        <v>16</v>
      </c>
      <c r="Q21" s="262">
        <f t="shared" si="5"/>
        <v>12</v>
      </c>
      <c r="R21" s="262"/>
      <c r="S21" s="262">
        <f t="shared" si="1"/>
        <v>15</v>
      </c>
      <c r="T21" s="262">
        <f t="shared" si="6"/>
        <v>14</v>
      </c>
      <c r="U21" s="262"/>
      <c r="V21" s="266">
        <f t="shared" si="2"/>
        <v>132748.20000000001</v>
      </c>
      <c r="W21" s="266">
        <f t="shared" si="3"/>
        <v>120807</v>
      </c>
      <c r="X21" s="262"/>
      <c r="Y21" s="266">
        <f t="shared" si="4"/>
        <v>11941.200000000012</v>
      </c>
      <c r="Z21" s="262"/>
      <c r="AA21" s="262">
        <v>6</v>
      </c>
      <c r="AB21" s="262"/>
      <c r="AC21" s="263">
        <v>3</v>
      </c>
    </row>
    <row r="22" spans="2:29" ht="12.75" customHeight="1" x14ac:dyDescent="0.2">
      <c r="B22" s="34"/>
      <c r="C22" s="51"/>
      <c r="D22" s="55" t="s">
        <v>267</v>
      </c>
      <c r="E22" s="51"/>
      <c r="F22" s="66">
        <v>48</v>
      </c>
      <c r="G22" s="54"/>
      <c r="H22" s="270"/>
      <c r="I22" s="98"/>
      <c r="J22" s="51"/>
      <c r="K22" s="38"/>
      <c r="P22" s="262">
        <f t="shared" si="0"/>
        <v>16</v>
      </c>
      <c r="Q22" s="262">
        <f t="shared" si="5"/>
        <v>13</v>
      </c>
      <c r="R22" s="262"/>
      <c r="S22" s="262">
        <f t="shared" si="1"/>
        <v>15</v>
      </c>
      <c r="T22" s="262">
        <f t="shared" si="6"/>
        <v>15</v>
      </c>
      <c r="U22" s="262"/>
      <c r="V22" s="266">
        <f t="shared" si="2"/>
        <v>132748.20000000001</v>
      </c>
      <c r="W22" s="266">
        <f t="shared" si="3"/>
        <v>120807</v>
      </c>
      <c r="X22" s="262"/>
      <c r="Y22" s="266">
        <f t="shared" si="4"/>
        <v>11941.200000000012</v>
      </c>
      <c r="Z22" s="262"/>
      <c r="AA22" s="262">
        <v>7</v>
      </c>
      <c r="AB22" s="262"/>
      <c r="AC22" s="263">
        <v>4</v>
      </c>
    </row>
    <row r="23" spans="2:29" ht="12.75" customHeight="1" x14ac:dyDescent="0.2">
      <c r="B23" s="34"/>
      <c r="C23" s="51"/>
      <c r="D23" s="51" t="s">
        <v>268</v>
      </c>
      <c r="E23" s="51"/>
      <c r="F23" s="66">
        <v>65</v>
      </c>
      <c r="G23" s="54"/>
      <c r="H23" s="270"/>
      <c r="I23" s="98"/>
      <c r="J23" s="51"/>
      <c r="K23" s="38"/>
      <c r="P23" s="262">
        <f t="shared" si="0"/>
        <v>16</v>
      </c>
      <c r="Q23" s="262">
        <f t="shared" si="5"/>
        <v>14</v>
      </c>
      <c r="R23" s="262"/>
      <c r="S23" s="262">
        <f t="shared" si="1"/>
        <v>15</v>
      </c>
      <c r="T23" s="262">
        <f t="shared" si="6"/>
        <v>16</v>
      </c>
      <c r="U23" s="262"/>
      <c r="V23" s="266">
        <f t="shared" si="2"/>
        <v>132748.20000000001</v>
      </c>
      <c r="W23" s="266">
        <f t="shared" si="3"/>
        <v>120807</v>
      </c>
      <c r="X23" s="262"/>
      <c r="Y23" s="266">
        <f t="shared" si="4"/>
        <v>11941.200000000012</v>
      </c>
      <c r="Z23" s="262"/>
      <c r="AA23" s="262">
        <v>8</v>
      </c>
      <c r="AB23" s="262"/>
      <c r="AC23" s="263">
        <v>5</v>
      </c>
    </row>
    <row r="24" spans="2:29" ht="12.75" customHeight="1" x14ac:dyDescent="0.2">
      <c r="B24" s="34"/>
      <c r="C24" s="51"/>
      <c r="D24" s="51"/>
      <c r="E24" s="51"/>
      <c r="F24" s="54"/>
      <c r="G24" s="54"/>
      <c r="H24" s="270"/>
      <c r="I24" s="98"/>
      <c r="J24" s="51"/>
      <c r="K24" s="38"/>
      <c r="P24" s="262">
        <f t="shared" si="0"/>
        <v>16</v>
      </c>
      <c r="Q24" s="262">
        <f t="shared" si="5"/>
        <v>15</v>
      </c>
      <c r="R24" s="262"/>
      <c r="S24" s="262">
        <f t="shared" si="1"/>
        <v>15</v>
      </c>
      <c r="T24" s="262">
        <f t="shared" si="6"/>
        <v>17</v>
      </c>
      <c r="U24" s="262"/>
      <c r="V24" s="266">
        <f t="shared" si="2"/>
        <v>132748.20000000001</v>
      </c>
      <c r="W24" s="266">
        <f t="shared" si="3"/>
        <v>120807</v>
      </c>
      <c r="X24" s="262"/>
      <c r="Y24" s="266">
        <f t="shared" si="4"/>
        <v>11941.200000000012</v>
      </c>
      <c r="Z24" s="262"/>
      <c r="AA24" s="262">
        <v>9</v>
      </c>
      <c r="AB24" s="262"/>
      <c r="AC24" s="263">
        <v>6</v>
      </c>
    </row>
    <row r="25" spans="2:29" ht="12.75" customHeight="1" x14ac:dyDescent="0.2">
      <c r="B25" s="34"/>
      <c r="C25" s="35"/>
      <c r="D25" s="35"/>
      <c r="E25" s="35"/>
      <c r="F25" s="37"/>
      <c r="G25" s="37"/>
      <c r="H25" s="272"/>
      <c r="I25" s="253"/>
      <c r="J25" s="35"/>
      <c r="K25" s="38"/>
      <c r="P25" s="262">
        <f t="shared" si="0"/>
        <v>16</v>
      </c>
      <c r="Q25" s="262">
        <f t="shared" si="5"/>
        <v>16</v>
      </c>
      <c r="R25" s="262"/>
      <c r="S25" s="262">
        <f t="shared" si="1"/>
        <v>15</v>
      </c>
      <c r="T25" s="262">
        <f t="shared" si="6"/>
        <v>18</v>
      </c>
      <c r="U25" s="262"/>
      <c r="V25" s="266">
        <f t="shared" si="2"/>
        <v>132748.20000000001</v>
      </c>
      <c r="W25" s="266">
        <f t="shared" si="3"/>
        <v>120807</v>
      </c>
      <c r="X25" s="262"/>
      <c r="Y25" s="266">
        <f t="shared" si="4"/>
        <v>11941.200000000012</v>
      </c>
      <c r="Z25" s="262"/>
      <c r="AA25" s="262">
        <v>10</v>
      </c>
      <c r="AB25" s="262"/>
      <c r="AC25" s="263">
        <v>7</v>
      </c>
    </row>
    <row r="26" spans="2:29" ht="12.75" customHeight="1" x14ac:dyDescent="0.2">
      <c r="B26" s="34"/>
      <c r="C26" s="51"/>
      <c r="D26" s="51"/>
      <c r="E26" s="51"/>
      <c r="F26" s="54"/>
      <c r="G26" s="54"/>
      <c r="H26" s="270"/>
      <c r="I26" s="98"/>
      <c r="J26" s="51"/>
      <c r="K26" s="38"/>
      <c r="P26" s="262">
        <f t="shared" si="0"/>
        <v>16</v>
      </c>
      <c r="Q26" s="262">
        <f t="shared" si="5"/>
        <v>17</v>
      </c>
      <c r="R26" s="262"/>
      <c r="S26" s="262">
        <f t="shared" si="1"/>
        <v>15</v>
      </c>
      <c r="T26" s="262">
        <f t="shared" si="6"/>
        <v>19</v>
      </c>
      <c r="U26" s="262"/>
      <c r="V26" s="266">
        <f t="shared" si="2"/>
        <v>132748.20000000001</v>
      </c>
      <c r="W26" s="266">
        <f t="shared" si="3"/>
        <v>120807</v>
      </c>
      <c r="X26" s="262"/>
      <c r="Y26" s="266">
        <f t="shared" si="4"/>
        <v>11941.200000000012</v>
      </c>
      <c r="Z26" s="262"/>
      <c r="AA26" s="262">
        <v>11</v>
      </c>
      <c r="AB26" s="262"/>
      <c r="AC26" s="263">
        <v>8</v>
      </c>
    </row>
    <row r="27" spans="2:29" ht="12.75" customHeight="1" x14ac:dyDescent="0.2">
      <c r="B27" s="34"/>
      <c r="C27" s="51"/>
      <c r="D27" s="55" t="s">
        <v>269</v>
      </c>
      <c r="E27" s="51"/>
      <c r="F27" s="54"/>
      <c r="G27" s="54"/>
      <c r="H27" s="270"/>
      <c r="I27" s="98"/>
      <c r="J27" s="51"/>
      <c r="K27" s="38"/>
      <c r="P27" s="262">
        <f t="shared" si="0"/>
        <v>16</v>
      </c>
      <c r="Q27" s="262">
        <f t="shared" si="5"/>
        <v>18</v>
      </c>
      <c r="R27" s="262"/>
      <c r="S27" s="262">
        <f t="shared" si="1"/>
        <v>15</v>
      </c>
      <c r="T27" s="262">
        <f t="shared" si="6"/>
        <v>20</v>
      </c>
      <c r="U27" s="262"/>
      <c r="V27" s="266">
        <f t="shared" si="2"/>
        <v>132748.20000000001</v>
      </c>
      <c r="W27" s="266">
        <f t="shared" si="3"/>
        <v>120807</v>
      </c>
      <c r="X27" s="262"/>
      <c r="Y27" s="266">
        <f t="shared" si="4"/>
        <v>11941.200000000012</v>
      </c>
      <c r="Z27" s="262"/>
      <c r="AA27" s="262">
        <v>12</v>
      </c>
      <c r="AB27" s="262"/>
      <c r="AC27" s="263">
        <v>9</v>
      </c>
    </row>
    <row r="28" spans="2:29" ht="12.75" customHeight="1" x14ac:dyDescent="0.2">
      <c r="B28" s="34"/>
      <c r="C28" s="51"/>
      <c r="D28" s="55"/>
      <c r="E28" s="51"/>
      <c r="F28" s="54"/>
      <c r="G28" s="54"/>
      <c r="H28" s="270"/>
      <c r="I28" s="98"/>
      <c r="J28" s="51"/>
      <c r="K28" s="38"/>
      <c r="P28" s="262">
        <f t="shared" si="0"/>
        <v>16</v>
      </c>
      <c r="Q28" s="262">
        <f t="shared" si="5"/>
        <v>19</v>
      </c>
      <c r="R28" s="262"/>
      <c r="S28" s="262">
        <f t="shared" si="1"/>
        <v>15</v>
      </c>
      <c r="T28" s="262">
        <f t="shared" si="6"/>
        <v>21</v>
      </c>
      <c r="U28" s="262"/>
      <c r="V28" s="266">
        <f t="shared" si="2"/>
        <v>132748.20000000001</v>
      </c>
      <c r="W28" s="266">
        <f t="shared" si="3"/>
        <v>120807</v>
      </c>
      <c r="X28" s="262"/>
      <c r="Y28" s="266">
        <f t="shared" si="4"/>
        <v>11941.200000000012</v>
      </c>
      <c r="Z28" s="262"/>
      <c r="AA28" s="262">
        <v>13</v>
      </c>
      <c r="AB28" s="262"/>
      <c r="AC28" s="263">
        <v>10</v>
      </c>
    </row>
    <row r="29" spans="2:29" ht="12.75" customHeight="1" x14ac:dyDescent="0.2">
      <c r="B29" s="34"/>
      <c r="C29" s="51"/>
      <c r="D29" s="51" t="s">
        <v>52</v>
      </c>
      <c r="E29" s="51"/>
      <c r="F29" s="264">
        <v>16</v>
      </c>
      <c r="G29" s="265"/>
      <c r="H29" s="270"/>
      <c r="I29" s="98"/>
      <c r="J29" s="51"/>
      <c r="K29" s="38"/>
      <c r="P29" s="262">
        <f t="shared" si="0"/>
        <v>16</v>
      </c>
      <c r="Q29" s="262">
        <f t="shared" si="5"/>
        <v>20</v>
      </c>
      <c r="R29" s="262"/>
      <c r="S29" s="262">
        <f t="shared" si="1"/>
        <v>15</v>
      </c>
      <c r="T29" s="262">
        <f t="shared" si="6"/>
        <v>22</v>
      </c>
      <c r="U29" s="262"/>
      <c r="V29" s="266">
        <f t="shared" si="2"/>
        <v>132748.20000000001</v>
      </c>
      <c r="W29" s="266">
        <f t="shared" si="3"/>
        <v>120807</v>
      </c>
      <c r="X29" s="262"/>
      <c r="Y29" s="266">
        <f t="shared" si="4"/>
        <v>11941.200000000012</v>
      </c>
      <c r="Z29" s="262"/>
      <c r="AA29" s="262">
        <v>14</v>
      </c>
      <c r="AB29" s="262"/>
      <c r="AC29" s="263">
        <v>11</v>
      </c>
    </row>
    <row r="30" spans="2:29" ht="12.75" customHeight="1" x14ac:dyDescent="0.2">
      <c r="B30" s="34"/>
      <c r="C30" s="51"/>
      <c r="D30" s="51" t="s">
        <v>53</v>
      </c>
      <c r="E30" s="51"/>
      <c r="F30" s="66">
        <v>6</v>
      </c>
      <c r="G30" s="54"/>
      <c r="H30" s="267" t="s">
        <v>265</v>
      </c>
      <c r="I30" s="268">
        <f>VLOOKUP(F29,salaristabellen,20,FALSE)</f>
        <v>12</v>
      </c>
      <c r="J30" s="51"/>
      <c r="K30" s="38"/>
      <c r="P30" s="262">
        <f t="shared" si="0"/>
        <v>16</v>
      </c>
      <c r="Q30" s="262">
        <f t="shared" si="5"/>
        <v>21</v>
      </c>
      <c r="R30" s="262"/>
      <c r="S30" s="262">
        <f t="shared" si="1"/>
        <v>15</v>
      </c>
      <c r="T30" s="262">
        <f t="shared" si="6"/>
        <v>23</v>
      </c>
      <c r="U30" s="262"/>
      <c r="V30" s="266">
        <f t="shared" si="2"/>
        <v>132748.20000000001</v>
      </c>
      <c r="W30" s="266">
        <f t="shared" si="3"/>
        <v>120807</v>
      </c>
      <c r="X30" s="262"/>
      <c r="Y30" s="266">
        <f t="shared" si="4"/>
        <v>11941.200000000012</v>
      </c>
      <c r="Z30" s="262"/>
      <c r="AA30" s="262">
        <v>15</v>
      </c>
      <c r="AB30" s="262"/>
      <c r="AC30" s="263">
        <v>12</v>
      </c>
    </row>
    <row r="31" spans="2:29" ht="12.75" customHeight="1" x14ac:dyDescent="0.2">
      <c r="B31" s="34"/>
      <c r="C31" s="51"/>
      <c r="D31" s="51" t="s">
        <v>56</v>
      </c>
      <c r="E31" s="51"/>
      <c r="F31" s="208">
        <f>VLOOKUP(F29,salaristabellen,IF(F30&gt;15,16,F30+1),FALSE)</f>
        <v>5913</v>
      </c>
      <c r="G31" s="207"/>
      <c r="H31" s="51"/>
      <c r="I31" s="51"/>
      <c r="J31" s="51"/>
      <c r="K31" s="38"/>
      <c r="P31" s="262">
        <f t="shared" si="0"/>
        <v>16</v>
      </c>
      <c r="Q31" s="262">
        <f t="shared" si="5"/>
        <v>22</v>
      </c>
      <c r="R31" s="262"/>
      <c r="S31" s="262">
        <f t="shared" si="1"/>
        <v>15</v>
      </c>
      <c r="T31" s="262">
        <f t="shared" si="6"/>
        <v>24</v>
      </c>
      <c r="U31" s="262"/>
      <c r="V31" s="266">
        <f t="shared" si="2"/>
        <v>132748.20000000001</v>
      </c>
      <c r="W31" s="266">
        <f t="shared" si="3"/>
        <v>120807</v>
      </c>
      <c r="X31" s="262"/>
      <c r="Y31" s="266">
        <f t="shared" si="4"/>
        <v>11941.200000000012</v>
      </c>
      <c r="Z31" s="262"/>
      <c r="AA31" s="262">
        <v>16</v>
      </c>
      <c r="AB31" s="262"/>
      <c r="AC31" s="263">
        <v>13</v>
      </c>
    </row>
    <row r="32" spans="2:29" ht="12.75" customHeight="1" x14ac:dyDescent="0.2">
      <c r="B32" s="34"/>
      <c r="C32" s="51"/>
      <c r="D32" s="51"/>
      <c r="E32" s="51"/>
      <c r="F32" s="207"/>
      <c r="G32" s="207"/>
      <c r="H32" s="51"/>
      <c r="I32" s="51"/>
      <c r="J32" s="51"/>
      <c r="K32" s="38"/>
      <c r="P32" s="262">
        <f t="shared" si="0"/>
        <v>16</v>
      </c>
      <c r="Q32" s="262">
        <f t="shared" si="5"/>
        <v>23</v>
      </c>
      <c r="R32" s="262"/>
      <c r="S32" s="262">
        <f t="shared" si="1"/>
        <v>15</v>
      </c>
      <c r="T32" s="262">
        <f t="shared" si="6"/>
        <v>25</v>
      </c>
      <c r="U32" s="262"/>
      <c r="V32" s="266">
        <f t="shared" si="2"/>
        <v>0</v>
      </c>
      <c r="W32" s="266">
        <f t="shared" si="3"/>
        <v>0</v>
      </c>
      <c r="X32" s="262"/>
      <c r="Y32" s="266">
        <f t="shared" si="4"/>
        <v>0</v>
      </c>
      <c r="Z32" s="262"/>
      <c r="AA32" s="262">
        <v>17</v>
      </c>
      <c r="AB32" s="262"/>
      <c r="AC32" s="263">
        <v>14</v>
      </c>
    </row>
    <row r="33" spans="2:29" ht="12.75" customHeight="1" x14ac:dyDescent="0.2">
      <c r="B33" s="34"/>
      <c r="C33" s="51"/>
      <c r="D33" s="55" t="s">
        <v>270</v>
      </c>
      <c r="E33" s="51"/>
      <c r="F33" s="273" t="s">
        <v>271</v>
      </c>
      <c r="G33" s="274"/>
      <c r="H33" s="51"/>
      <c r="I33" s="51"/>
      <c r="J33" s="51"/>
      <c r="K33" s="38"/>
      <c r="P33" s="262">
        <f t="shared" si="0"/>
        <v>16</v>
      </c>
      <c r="Q33" s="262">
        <f t="shared" si="5"/>
        <v>24</v>
      </c>
      <c r="R33" s="262"/>
      <c r="S33" s="262">
        <f t="shared" si="1"/>
        <v>15</v>
      </c>
      <c r="T33" s="262">
        <f t="shared" si="6"/>
        <v>26</v>
      </c>
      <c r="U33" s="262"/>
      <c r="V33" s="266">
        <f t="shared" si="2"/>
        <v>0</v>
      </c>
      <c r="W33" s="266">
        <f t="shared" si="3"/>
        <v>0</v>
      </c>
      <c r="X33" s="262"/>
      <c r="Y33" s="266">
        <f t="shared" si="4"/>
        <v>0</v>
      </c>
      <c r="Z33" s="262"/>
      <c r="AA33" s="262">
        <v>18</v>
      </c>
      <c r="AB33" s="262"/>
      <c r="AC33" s="263">
        <v>15</v>
      </c>
    </row>
    <row r="34" spans="2:29" ht="12.75" customHeight="1" x14ac:dyDescent="0.2">
      <c r="B34" s="34"/>
      <c r="C34" s="51"/>
      <c r="D34" s="51" t="s">
        <v>272</v>
      </c>
      <c r="E34" s="51"/>
      <c r="F34" s="273">
        <v>0</v>
      </c>
      <c r="G34" s="274"/>
      <c r="H34" s="51"/>
      <c r="I34" s="51"/>
      <c r="J34" s="51"/>
      <c r="K34" s="38"/>
      <c r="P34" s="262">
        <f t="shared" si="0"/>
        <v>16</v>
      </c>
      <c r="Q34" s="262">
        <f t="shared" si="5"/>
        <v>25</v>
      </c>
      <c r="R34" s="262"/>
      <c r="S34" s="262">
        <f t="shared" si="1"/>
        <v>15</v>
      </c>
      <c r="T34" s="262">
        <f t="shared" si="6"/>
        <v>27</v>
      </c>
      <c r="U34" s="262"/>
      <c r="V34" s="266">
        <f t="shared" si="2"/>
        <v>0</v>
      </c>
      <c r="W34" s="266">
        <f t="shared" si="3"/>
        <v>0</v>
      </c>
      <c r="X34" s="262"/>
      <c r="Y34" s="266">
        <f t="shared" si="4"/>
        <v>0</v>
      </c>
      <c r="Z34" s="262"/>
      <c r="AA34" s="262">
        <v>19</v>
      </c>
      <c r="AB34" s="262"/>
      <c r="AC34" s="263">
        <v>16</v>
      </c>
    </row>
    <row r="35" spans="2:29" ht="12.75" customHeight="1" x14ac:dyDescent="0.2">
      <c r="B35" s="34"/>
      <c r="C35" s="51"/>
      <c r="D35" s="51" t="s">
        <v>58</v>
      </c>
      <c r="E35" s="51"/>
      <c r="F35" s="208">
        <f>ROUND(IF(F33="ja",F31*F34,F31*F19),2)</f>
        <v>5913</v>
      </c>
      <c r="G35" s="207"/>
      <c r="H35" s="51"/>
      <c r="I35" s="51"/>
      <c r="J35" s="51"/>
      <c r="K35" s="38"/>
      <c r="P35" s="262">
        <f t="shared" si="0"/>
        <v>16</v>
      </c>
      <c r="Q35" s="262">
        <f t="shared" si="5"/>
        <v>26</v>
      </c>
      <c r="R35" s="262"/>
      <c r="S35" s="262">
        <f t="shared" si="1"/>
        <v>15</v>
      </c>
      <c r="T35" s="262">
        <f t="shared" si="6"/>
        <v>28</v>
      </c>
      <c r="U35" s="262"/>
      <c r="V35" s="266">
        <f t="shared" si="2"/>
        <v>0</v>
      </c>
      <c r="W35" s="266">
        <f t="shared" si="3"/>
        <v>0</v>
      </c>
      <c r="X35" s="262"/>
      <c r="Y35" s="266">
        <f t="shared" si="4"/>
        <v>0</v>
      </c>
      <c r="Z35" s="262"/>
      <c r="AA35" s="262">
        <v>20</v>
      </c>
      <c r="AB35" s="262"/>
      <c r="AC35" s="263">
        <v>17</v>
      </c>
    </row>
    <row r="36" spans="2:29" ht="12.75" customHeight="1" x14ac:dyDescent="0.2">
      <c r="B36" s="34"/>
      <c r="C36" s="51"/>
      <c r="D36" s="51"/>
      <c r="E36" s="51"/>
      <c r="F36" s="54"/>
      <c r="G36" s="54"/>
      <c r="H36" s="51"/>
      <c r="I36" s="51"/>
      <c r="J36" s="51"/>
      <c r="K36" s="38"/>
      <c r="P36" s="262">
        <f t="shared" si="0"/>
        <v>16</v>
      </c>
      <c r="Q36" s="262">
        <f t="shared" si="5"/>
        <v>27</v>
      </c>
      <c r="R36" s="262"/>
      <c r="S36" s="262">
        <f t="shared" si="1"/>
        <v>15</v>
      </c>
      <c r="T36" s="262">
        <f t="shared" si="6"/>
        <v>29</v>
      </c>
      <c r="U36" s="262"/>
      <c r="V36" s="266">
        <f t="shared" si="2"/>
        <v>0</v>
      </c>
      <c r="W36" s="266">
        <f t="shared" si="3"/>
        <v>0</v>
      </c>
      <c r="X36" s="262"/>
      <c r="Y36" s="266">
        <f t="shared" si="4"/>
        <v>0</v>
      </c>
      <c r="Z36" s="262"/>
      <c r="AA36" s="262">
        <v>21</v>
      </c>
      <c r="AB36" s="262"/>
      <c r="AC36" s="263" t="s">
        <v>10</v>
      </c>
    </row>
    <row r="37" spans="2:29" ht="12.75" customHeight="1" x14ac:dyDescent="0.2">
      <c r="B37" s="34"/>
      <c r="C37" s="35"/>
      <c r="D37" s="35"/>
      <c r="E37" s="35"/>
      <c r="F37" s="37"/>
      <c r="G37" s="37"/>
      <c r="H37" s="35"/>
      <c r="I37" s="35"/>
      <c r="J37" s="35"/>
      <c r="K37" s="38"/>
      <c r="P37" s="262">
        <f t="shared" si="0"/>
        <v>16</v>
      </c>
      <c r="Q37" s="262">
        <f t="shared" si="5"/>
        <v>28</v>
      </c>
      <c r="R37" s="262"/>
      <c r="S37" s="262">
        <f t="shared" si="1"/>
        <v>15</v>
      </c>
      <c r="T37" s="262">
        <f t="shared" si="6"/>
        <v>30</v>
      </c>
      <c r="U37" s="262"/>
      <c r="V37" s="266">
        <f t="shared" si="2"/>
        <v>0</v>
      </c>
      <c r="W37" s="266">
        <f t="shared" si="3"/>
        <v>0</v>
      </c>
      <c r="X37" s="262"/>
      <c r="Y37" s="266">
        <f t="shared" si="4"/>
        <v>0</v>
      </c>
      <c r="Z37" s="262"/>
      <c r="AA37" s="262">
        <v>22</v>
      </c>
      <c r="AB37" s="262"/>
      <c r="AC37" s="263" t="s">
        <v>11</v>
      </c>
    </row>
    <row r="38" spans="2:29" ht="12.75" customHeight="1" x14ac:dyDescent="0.2">
      <c r="B38" s="34"/>
      <c r="C38" s="51"/>
      <c r="D38" s="51"/>
      <c r="E38" s="51"/>
      <c r="F38" s="54"/>
      <c r="G38" s="54"/>
      <c r="H38" s="51"/>
      <c r="I38" s="51"/>
      <c r="J38" s="51"/>
      <c r="K38" s="38"/>
      <c r="P38" s="262">
        <f t="shared" si="0"/>
        <v>16</v>
      </c>
      <c r="Q38" s="262">
        <f t="shared" si="5"/>
        <v>29</v>
      </c>
      <c r="R38" s="262"/>
      <c r="S38" s="262">
        <f t="shared" si="1"/>
        <v>15</v>
      </c>
      <c r="T38" s="262">
        <f t="shared" si="6"/>
        <v>31</v>
      </c>
      <c r="U38" s="262"/>
      <c r="V38" s="266">
        <f t="shared" si="2"/>
        <v>0</v>
      </c>
      <c r="W38" s="266">
        <f t="shared" si="3"/>
        <v>0</v>
      </c>
      <c r="X38" s="262"/>
      <c r="Y38" s="266">
        <f t="shared" si="4"/>
        <v>0</v>
      </c>
      <c r="Z38" s="262"/>
      <c r="AA38" s="262">
        <v>23</v>
      </c>
      <c r="AB38" s="262"/>
      <c r="AC38" s="263" t="s">
        <v>12</v>
      </c>
    </row>
    <row r="39" spans="2:29" ht="12.75" customHeight="1" x14ac:dyDescent="0.2">
      <c r="B39" s="34"/>
      <c r="C39" s="51"/>
      <c r="D39" s="55" t="s">
        <v>273</v>
      </c>
      <c r="E39" s="51"/>
      <c r="F39" s="54"/>
      <c r="G39" s="54"/>
      <c r="H39" s="51"/>
      <c r="I39" s="51"/>
      <c r="J39" s="51"/>
      <c r="K39" s="38"/>
      <c r="P39" s="262">
        <f t="shared" si="0"/>
        <v>16</v>
      </c>
      <c r="Q39" s="262">
        <f t="shared" si="5"/>
        <v>30</v>
      </c>
      <c r="R39" s="262"/>
      <c r="S39" s="262">
        <f t="shared" si="1"/>
        <v>15</v>
      </c>
      <c r="T39" s="262">
        <f t="shared" si="6"/>
        <v>32</v>
      </c>
      <c r="U39" s="262"/>
      <c r="V39" s="266">
        <f t="shared" si="2"/>
        <v>0</v>
      </c>
      <c r="W39" s="266">
        <f t="shared" si="3"/>
        <v>0</v>
      </c>
      <c r="X39" s="262"/>
      <c r="Y39" s="266">
        <f t="shared" si="4"/>
        <v>0</v>
      </c>
      <c r="Z39" s="262"/>
      <c r="AA39" s="262">
        <v>24</v>
      </c>
      <c r="AB39" s="262"/>
      <c r="AC39" s="263" t="s">
        <v>13</v>
      </c>
    </row>
    <row r="40" spans="2:29" ht="12.75" customHeight="1" x14ac:dyDescent="0.2">
      <c r="B40" s="34"/>
      <c r="C40" s="51"/>
      <c r="D40" s="51"/>
      <c r="E40" s="51"/>
      <c r="F40" s="54"/>
      <c r="G40" s="54"/>
      <c r="H40" s="51"/>
      <c r="I40" s="51"/>
      <c r="J40" s="51"/>
      <c r="K40" s="38"/>
      <c r="P40" s="262">
        <f t="shared" si="0"/>
        <v>16</v>
      </c>
      <c r="Q40" s="262">
        <f t="shared" si="5"/>
        <v>31</v>
      </c>
      <c r="R40" s="262"/>
      <c r="S40" s="262">
        <f t="shared" si="1"/>
        <v>15</v>
      </c>
      <c r="T40" s="262">
        <f t="shared" si="6"/>
        <v>33</v>
      </c>
      <c r="U40" s="262"/>
      <c r="V40" s="266">
        <f t="shared" si="2"/>
        <v>0</v>
      </c>
      <c r="W40" s="266">
        <f t="shared" si="3"/>
        <v>0</v>
      </c>
      <c r="X40" s="262"/>
      <c r="Y40" s="266">
        <f t="shared" si="4"/>
        <v>0</v>
      </c>
      <c r="Z40" s="262"/>
      <c r="AA40" s="262">
        <v>25</v>
      </c>
      <c r="AB40" s="262"/>
      <c r="AC40" s="262"/>
    </row>
    <row r="41" spans="2:29" ht="12.75" customHeight="1" x14ac:dyDescent="0.2">
      <c r="B41" s="34"/>
      <c r="C41" s="51"/>
      <c r="D41" s="51" t="s">
        <v>274</v>
      </c>
      <c r="E41" s="51"/>
      <c r="F41" s="219">
        <f>+F35-F20</f>
        <v>157</v>
      </c>
      <c r="G41" s="207"/>
      <c r="H41" s="51"/>
      <c r="I41" s="51"/>
      <c r="J41" s="51"/>
      <c r="K41" s="38"/>
      <c r="P41" s="262">
        <f t="shared" si="0"/>
        <v>16</v>
      </c>
      <c r="Q41" s="262">
        <f t="shared" si="5"/>
        <v>32</v>
      </c>
      <c r="R41" s="262"/>
      <c r="S41" s="262">
        <f t="shared" si="1"/>
        <v>15</v>
      </c>
      <c r="T41" s="262">
        <f t="shared" si="6"/>
        <v>34</v>
      </c>
      <c r="U41" s="262"/>
      <c r="V41" s="266">
        <f t="shared" si="2"/>
        <v>0</v>
      </c>
      <c r="W41" s="266">
        <f t="shared" si="3"/>
        <v>0</v>
      </c>
      <c r="X41" s="262"/>
      <c r="Y41" s="266">
        <f t="shared" si="4"/>
        <v>0</v>
      </c>
      <c r="Z41" s="262"/>
      <c r="AA41" s="262">
        <v>26</v>
      </c>
      <c r="AB41" s="262"/>
      <c r="AC41" s="275" t="s">
        <v>32</v>
      </c>
    </row>
    <row r="42" spans="2:29" ht="12.75" customHeight="1" x14ac:dyDescent="0.2">
      <c r="B42" s="34"/>
      <c r="C42" s="51"/>
      <c r="D42" s="51" t="s">
        <v>275</v>
      </c>
      <c r="E42" s="51"/>
      <c r="F42" s="235">
        <f>+tabellen!C61</f>
        <v>0.55000000000000004</v>
      </c>
      <c r="G42" s="276"/>
      <c r="H42" s="51"/>
      <c r="I42" s="51"/>
      <c r="J42" s="51"/>
      <c r="K42" s="38"/>
      <c r="P42" s="262">
        <f t="shared" si="0"/>
        <v>16</v>
      </c>
      <c r="Q42" s="262">
        <f t="shared" si="5"/>
        <v>33</v>
      </c>
      <c r="R42" s="262"/>
      <c r="S42" s="262">
        <f t="shared" si="1"/>
        <v>15</v>
      </c>
      <c r="T42" s="262">
        <f t="shared" si="6"/>
        <v>35</v>
      </c>
      <c r="U42" s="262"/>
      <c r="V42" s="266">
        <f t="shared" si="2"/>
        <v>0</v>
      </c>
      <c r="W42" s="266">
        <f t="shared" si="3"/>
        <v>0</v>
      </c>
      <c r="X42" s="262"/>
      <c r="Y42" s="266">
        <f t="shared" si="4"/>
        <v>0</v>
      </c>
      <c r="Z42" s="262"/>
      <c r="AA42" s="262">
        <v>27</v>
      </c>
      <c r="AB42" s="262"/>
      <c r="AC42" s="275" t="s">
        <v>33</v>
      </c>
    </row>
    <row r="43" spans="2:29" ht="12.75" customHeight="1" x14ac:dyDescent="0.2">
      <c r="B43" s="34"/>
      <c r="C43" s="51"/>
      <c r="D43" s="51" t="s">
        <v>276</v>
      </c>
      <c r="E43" s="51"/>
      <c r="F43" s="221">
        <f>+F41*12*(1+F42)</f>
        <v>2920.2000000000003</v>
      </c>
      <c r="G43" s="207"/>
      <c r="H43" s="51"/>
      <c r="I43" s="51"/>
      <c r="J43" s="51"/>
      <c r="K43" s="38"/>
      <c r="P43" s="262">
        <f t="shared" si="0"/>
        <v>16</v>
      </c>
      <c r="Q43" s="262">
        <f t="shared" si="5"/>
        <v>34</v>
      </c>
      <c r="R43" s="262"/>
      <c r="S43" s="262">
        <f t="shared" si="1"/>
        <v>15</v>
      </c>
      <c r="T43" s="262">
        <f t="shared" si="6"/>
        <v>36</v>
      </c>
      <c r="U43" s="262"/>
      <c r="V43" s="266">
        <f t="shared" si="2"/>
        <v>0</v>
      </c>
      <c r="W43" s="266">
        <f t="shared" si="3"/>
        <v>0</v>
      </c>
      <c r="X43" s="262"/>
      <c r="Y43" s="266">
        <f t="shared" si="4"/>
        <v>0</v>
      </c>
      <c r="Z43" s="262"/>
      <c r="AA43" s="262">
        <v>28</v>
      </c>
      <c r="AB43" s="262"/>
      <c r="AC43" s="275" t="s">
        <v>34</v>
      </c>
    </row>
    <row r="44" spans="2:29" ht="12.75" customHeight="1" x14ac:dyDescent="0.2">
      <c r="B44" s="34"/>
      <c r="C44" s="51"/>
      <c r="D44" s="51" t="s">
        <v>277</v>
      </c>
      <c r="E44" s="51"/>
      <c r="F44" s="277">
        <f>+F23-F22</f>
        <v>17</v>
      </c>
      <c r="G44" s="54"/>
      <c r="H44" s="51"/>
      <c r="I44" s="51"/>
      <c r="J44" s="51"/>
      <c r="K44" s="38"/>
      <c r="L44" s="278"/>
      <c r="M44" s="278"/>
      <c r="N44" s="278"/>
      <c r="O44" s="278"/>
      <c r="P44" s="262">
        <f t="shared" si="0"/>
        <v>16</v>
      </c>
      <c r="Q44" s="262">
        <f t="shared" si="5"/>
        <v>35</v>
      </c>
      <c r="R44" s="262"/>
      <c r="S44" s="262">
        <f t="shared" si="1"/>
        <v>15</v>
      </c>
      <c r="T44" s="262">
        <f t="shared" si="6"/>
        <v>37</v>
      </c>
      <c r="U44" s="262"/>
      <c r="V44" s="266">
        <f t="shared" si="2"/>
        <v>0</v>
      </c>
      <c r="W44" s="266">
        <f t="shared" si="3"/>
        <v>0</v>
      </c>
      <c r="X44" s="262"/>
      <c r="Y44" s="266">
        <f t="shared" si="4"/>
        <v>0</v>
      </c>
      <c r="Z44" s="262"/>
      <c r="AA44" s="262">
        <v>29</v>
      </c>
      <c r="AB44" s="262"/>
      <c r="AC44" s="279" t="s">
        <v>35</v>
      </c>
    </row>
    <row r="45" spans="2:29" s="282" customFormat="1" ht="12.75" customHeight="1" x14ac:dyDescent="0.2">
      <c r="B45" s="34"/>
      <c r="C45" s="51"/>
      <c r="D45" s="51" t="s">
        <v>278</v>
      </c>
      <c r="E45" s="51"/>
      <c r="F45" s="240">
        <f>IF(F33="nee",Y63*F19,Y63*F34)</f>
        <v>9224.5058823529507</v>
      </c>
      <c r="G45" s="280"/>
      <c r="H45" s="88"/>
      <c r="I45" s="51"/>
      <c r="J45" s="51"/>
      <c r="K45" s="38"/>
      <c r="L45" s="281"/>
      <c r="M45" s="281"/>
      <c r="N45" s="281"/>
      <c r="O45" s="281"/>
      <c r="P45" s="262">
        <f t="shared" si="0"/>
        <v>16</v>
      </c>
      <c r="Q45" s="262">
        <f t="shared" si="5"/>
        <v>36</v>
      </c>
      <c r="R45" s="262"/>
      <c r="S45" s="262">
        <f t="shared" si="1"/>
        <v>15</v>
      </c>
      <c r="T45" s="262">
        <f t="shared" si="6"/>
        <v>38</v>
      </c>
      <c r="U45" s="262"/>
      <c r="V45" s="266">
        <f t="shared" si="2"/>
        <v>0</v>
      </c>
      <c r="W45" s="266">
        <f t="shared" si="3"/>
        <v>0</v>
      </c>
      <c r="X45" s="262"/>
      <c r="Y45" s="266">
        <f t="shared" si="4"/>
        <v>0</v>
      </c>
      <c r="Z45" s="262"/>
      <c r="AA45" s="262">
        <v>30</v>
      </c>
      <c r="AB45" s="262"/>
      <c r="AC45" s="262"/>
    </row>
    <row r="46" spans="2:29" ht="12.75" customHeight="1" x14ac:dyDescent="0.2">
      <c r="B46" s="34"/>
      <c r="C46" s="51"/>
      <c r="D46" s="55"/>
      <c r="E46" s="51"/>
      <c r="F46" s="283"/>
      <c r="G46" s="283"/>
      <c r="H46" s="88"/>
      <c r="I46" s="51"/>
      <c r="J46" s="88"/>
      <c r="K46" s="284"/>
      <c r="L46" s="278"/>
      <c r="M46" s="278"/>
      <c r="N46" s="278"/>
      <c r="O46" s="278"/>
      <c r="P46" s="262">
        <f t="shared" si="0"/>
        <v>16</v>
      </c>
      <c r="Q46" s="262">
        <f t="shared" si="5"/>
        <v>37</v>
      </c>
      <c r="R46" s="262"/>
      <c r="S46" s="262">
        <f t="shared" si="1"/>
        <v>15</v>
      </c>
      <c r="T46" s="262">
        <f t="shared" si="6"/>
        <v>39</v>
      </c>
      <c r="U46" s="262"/>
      <c r="V46" s="266">
        <f t="shared" si="2"/>
        <v>0</v>
      </c>
      <c r="W46" s="266">
        <f t="shared" si="3"/>
        <v>0</v>
      </c>
      <c r="X46" s="262"/>
      <c r="Y46" s="266">
        <f t="shared" si="4"/>
        <v>0</v>
      </c>
      <c r="Z46" s="262"/>
      <c r="AA46" s="262">
        <v>31</v>
      </c>
      <c r="AB46" s="262"/>
      <c r="AC46" s="262"/>
    </row>
    <row r="47" spans="2:29" ht="12.75" customHeight="1" x14ac:dyDescent="0.2">
      <c r="B47" s="56"/>
      <c r="C47" s="55"/>
      <c r="D47" s="55" t="s">
        <v>279</v>
      </c>
      <c r="E47" s="55"/>
      <c r="F47" s="240">
        <f>+Y62*F19</f>
        <v>156816.60000000015</v>
      </c>
      <c r="G47" s="283"/>
      <c r="H47" s="55"/>
      <c r="I47" s="55"/>
      <c r="J47" s="124"/>
      <c r="K47" s="285"/>
      <c r="L47" s="278"/>
      <c r="M47" s="278"/>
      <c r="N47" s="278"/>
      <c r="O47" s="278"/>
      <c r="P47" s="262">
        <f t="shared" si="0"/>
        <v>16</v>
      </c>
      <c r="Q47" s="262">
        <f t="shared" si="5"/>
        <v>38</v>
      </c>
      <c r="R47" s="262"/>
      <c r="S47" s="262">
        <f t="shared" si="1"/>
        <v>15</v>
      </c>
      <c r="T47" s="262">
        <f t="shared" si="6"/>
        <v>40</v>
      </c>
      <c r="U47" s="262"/>
      <c r="V47" s="266">
        <f t="shared" si="2"/>
        <v>0</v>
      </c>
      <c r="W47" s="266">
        <f t="shared" si="3"/>
        <v>0</v>
      </c>
      <c r="X47" s="262"/>
      <c r="Y47" s="266">
        <f t="shared" si="4"/>
        <v>0</v>
      </c>
      <c r="Z47" s="262"/>
      <c r="AA47" s="262">
        <v>32</v>
      </c>
      <c r="AB47" s="262"/>
      <c r="AC47" s="262"/>
    </row>
    <row r="48" spans="2:29" ht="12.75" customHeight="1" x14ac:dyDescent="0.2">
      <c r="B48" s="34"/>
      <c r="C48" s="51"/>
      <c r="D48" s="51"/>
      <c r="E48" s="51"/>
      <c r="F48" s="54"/>
      <c r="G48" s="54"/>
      <c r="H48" s="51"/>
      <c r="I48" s="51"/>
      <c r="J48" s="88"/>
      <c r="K48" s="284"/>
      <c r="L48" s="278"/>
      <c r="M48" s="278"/>
      <c r="N48" s="278"/>
      <c r="O48" s="278"/>
      <c r="P48" s="262">
        <f t="shared" si="0"/>
        <v>16</v>
      </c>
      <c r="Q48" s="262">
        <f t="shared" si="5"/>
        <v>39</v>
      </c>
      <c r="R48" s="262"/>
      <c r="S48" s="262">
        <f t="shared" si="1"/>
        <v>15</v>
      </c>
      <c r="T48" s="262">
        <f t="shared" si="6"/>
        <v>41</v>
      </c>
      <c r="U48" s="262"/>
      <c r="V48" s="266">
        <f t="shared" si="2"/>
        <v>0</v>
      </c>
      <c r="W48" s="266">
        <f t="shared" si="3"/>
        <v>0</v>
      </c>
      <c r="X48" s="262"/>
      <c r="Y48" s="266">
        <f t="shared" si="4"/>
        <v>0</v>
      </c>
      <c r="Z48" s="262"/>
      <c r="AA48" s="262">
        <v>33</v>
      </c>
      <c r="AB48" s="262"/>
      <c r="AC48" s="262"/>
    </row>
    <row r="49" spans="2:29" ht="12.75" customHeight="1" x14ac:dyDescent="0.2">
      <c r="B49" s="34"/>
      <c r="C49" s="35"/>
      <c r="D49" s="35"/>
      <c r="E49" s="35"/>
      <c r="F49" s="37"/>
      <c r="G49" s="37"/>
      <c r="H49" s="35"/>
      <c r="I49" s="35"/>
      <c r="J49" s="150"/>
      <c r="K49" s="284"/>
      <c r="L49" s="278"/>
      <c r="M49" s="278"/>
      <c r="N49" s="278"/>
      <c r="O49" s="278"/>
      <c r="P49" s="262">
        <f t="shared" si="0"/>
        <v>16</v>
      </c>
      <c r="Q49" s="262">
        <f t="shared" si="5"/>
        <v>40</v>
      </c>
      <c r="R49" s="262"/>
      <c r="S49" s="262">
        <f t="shared" si="1"/>
        <v>15</v>
      </c>
      <c r="T49" s="262">
        <f t="shared" si="6"/>
        <v>42</v>
      </c>
      <c r="U49" s="262"/>
      <c r="V49" s="266">
        <f t="shared" si="2"/>
        <v>0</v>
      </c>
      <c r="W49" s="266">
        <f t="shared" si="3"/>
        <v>0</v>
      </c>
      <c r="X49" s="262"/>
      <c r="Y49" s="266">
        <f t="shared" si="4"/>
        <v>0</v>
      </c>
      <c r="Z49" s="262"/>
      <c r="AA49" s="262">
        <v>34</v>
      </c>
      <c r="AB49" s="262"/>
      <c r="AC49" s="262"/>
    </row>
    <row r="50" spans="2:29" ht="12.75" customHeight="1" thickBot="1" x14ac:dyDescent="0.25">
      <c r="B50" s="151"/>
      <c r="C50" s="152"/>
      <c r="D50" s="152"/>
      <c r="E50" s="152"/>
      <c r="F50" s="286"/>
      <c r="G50" s="286"/>
      <c r="H50" s="152"/>
      <c r="I50" s="152"/>
      <c r="J50" s="155" t="s">
        <v>108</v>
      </c>
      <c r="K50" s="287"/>
      <c r="L50" s="278"/>
      <c r="M50" s="278"/>
      <c r="N50" s="278"/>
      <c r="O50" s="278"/>
      <c r="P50" s="262">
        <f t="shared" si="0"/>
        <v>16</v>
      </c>
      <c r="Q50" s="262">
        <f t="shared" si="5"/>
        <v>41</v>
      </c>
      <c r="R50" s="262"/>
      <c r="S50" s="262">
        <f t="shared" si="1"/>
        <v>15</v>
      </c>
      <c r="T50" s="262">
        <f t="shared" si="6"/>
        <v>43</v>
      </c>
      <c r="U50" s="262"/>
      <c r="V50" s="266">
        <f t="shared" si="2"/>
        <v>0</v>
      </c>
      <c r="W50" s="266">
        <f t="shared" si="3"/>
        <v>0</v>
      </c>
      <c r="X50" s="262"/>
      <c r="Y50" s="266">
        <f t="shared" si="4"/>
        <v>0</v>
      </c>
      <c r="Z50" s="262"/>
      <c r="AA50" s="262">
        <v>35</v>
      </c>
      <c r="AB50" s="262"/>
      <c r="AC50" s="262"/>
    </row>
    <row r="51" spans="2:29" ht="12.75" customHeight="1" x14ac:dyDescent="0.2">
      <c r="J51" s="288"/>
      <c r="K51" s="278"/>
      <c r="L51" s="278"/>
      <c r="M51" s="278"/>
      <c r="N51" s="278"/>
      <c r="O51" s="278"/>
      <c r="P51" s="262">
        <f t="shared" si="0"/>
        <v>16</v>
      </c>
      <c r="Q51" s="262">
        <f t="shared" si="5"/>
        <v>42</v>
      </c>
      <c r="R51" s="262"/>
      <c r="S51" s="262">
        <f t="shared" si="1"/>
        <v>15</v>
      </c>
      <c r="T51" s="262">
        <f t="shared" si="6"/>
        <v>44</v>
      </c>
      <c r="U51" s="262"/>
      <c r="V51" s="266">
        <f t="shared" si="2"/>
        <v>0</v>
      </c>
      <c r="W51" s="266">
        <f t="shared" si="3"/>
        <v>0</v>
      </c>
      <c r="X51" s="262"/>
      <c r="Y51" s="266">
        <f t="shared" si="4"/>
        <v>0</v>
      </c>
      <c r="Z51" s="262"/>
      <c r="AA51" s="262">
        <v>36</v>
      </c>
      <c r="AB51" s="262"/>
      <c r="AC51" s="262"/>
    </row>
    <row r="52" spans="2:29" ht="12.75" customHeight="1" x14ac:dyDescent="0.2">
      <c r="J52" s="278"/>
      <c r="K52" s="278"/>
      <c r="L52" s="278"/>
      <c r="M52" s="278"/>
      <c r="N52" s="278"/>
      <c r="O52" s="278"/>
      <c r="P52" s="262">
        <f t="shared" si="0"/>
        <v>16</v>
      </c>
      <c r="Q52" s="262">
        <f t="shared" si="5"/>
        <v>43</v>
      </c>
      <c r="R52" s="262"/>
      <c r="S52" s="262">
        <f t="shared" si="1"/>
        <v>15</v>
      </c>
      <c r="T52" s="262">
        <f t="shared" si="6"/>
        <v>45</v>
      </c>
      <c r="U52" s="262"/>
      <c r="V52" s="266">
        <f t="shared" si="2"/>
        <v>0</v>
      </c>
      <c r="W52" s="266">
        <f t="shared" si="3"/>
        <v>0</v>
      </c>
      <c r="X52" s="262"/>
      <c r="Y52" s="266">
        <f t="shared" si="4"/>
        <v>0</v>
      </c>
      <c r="Z52" s="262"/>
      <c r="AA52" s="262">
        <v>37</v>
      </c>
      <c r="AB52" s="262"/>
      <c r="AC52" s="262"/>
    </row>
    <row r="53" spans="2:29" ht="12.75" customHeight="1" x14ac:dyDescent="0.2">
      <c r="J53" s="278"/>
      <c r="K53" s="278"/>
      <c r="L53" s="278"/>
      <c r="P53" s="262">
        <f t="shared" si="0"/>
        <v>16</v>
      </c>
      <c r="Q53" s="262">
        <f t="shared" si="5"/>
        <v>44</v>
      </c>
      <c r="R53" s="262"/>
      <c r="S53" s="262">
        <f t="shared" si="1"/>
        <v>15</v>
      </c>
      <c r="T53" s="262">
        <f t="shared" si="6"/>
        <v>46</v>
      </c>
      <c r="U53" s="262"/>
      <c r="V53" s="266">
        <f t="shared" si="2"/>
        <v>0</v>
      </c>
      <c r="W53" s="266">
        <f t="shared" si="3"/>
        <v>0</v>
      </c>
      <c r="X53" s="262"/>
      <c r="Y53" s="266">
        <f t="shared" si="4"/>
        <v>0</v>
      </c>
      <c r="Z53" s="262"/>
      <c r="AA53" s="262">
        <v>38</v>
      </c>
      <c r="AB53" s="262"/>
      <c r="AC53" s="262"/>
    </row>
    <row r="54" spans="2:29" ht="12.75" customHeight="1" x14ac:dyDescent="0.2">
      <c r="J54" s="278"/>
      <c r="K54" s="278"/>
      <c r="L54" s="278"/>
      <c r="P54" s="262">
        <f t="shared" si="0"/>
        <v>16</v>
      </c>
      <c r="Q54" s="262">
        <f t="shared" si="5"/>
        <v>45</v>
      </c>
      <c r="R54" s="262"/>
      <c r="S54" s="262">
        <f t="shared" si="1"/>
        <v>15</v>
      </c>
      <c r="T54" s="262">
        <f t="shared" si="6"/>
        <v>47</v>
      </c>
      <c r="U54" s="262"/>
      <c r="V54" s="266">
        <f t="shared" si="2"/>
        <v>0</v>
      </c>
      <c r="W54" s="266">
        <f t="shared" si="3"/>
        <v>0</v>
      </c>
      <c r="X54" s="262"/>
      <c r="Y54" s="266">
        <f t="shared" si="4"/>
        <v>0</v>
      </c>
      <c r="Z54" s="262"/>
      <c r="AA54" s="262">
        <v>39</v>
      </c>
      <c r="AB54" s="262"/>
      <c r="AC54" s="262"/>
    </row>
    <row r="55" spans="2:29" ht="12.75" customHeight="1" x14ac:dyDescent="0.2">
      <c r="J55" s="278"/>
      <c r="K55" s="278"/>
      <c r="L55" s="278"/>
      <c r="P55" s="262">
        <f t="shared" si="0"/>
        <v>16</v>
      </c>
      <c r="Q55" s="262">
        <f t="shared" si="5"/>
        <v>46</v>
      </c>
      <c r="R55" s="262"/>
      <c r="S55" s="262">
        <f t="shared" si="1"/>
        <v>15</v>
      </c>
      <c r="T55" s="262">
        <f t="shared" si="6"/>
        <v>48</v>
      </c>
      <c r="U55" s="262"/>
      <c r="V55" s="266">
        <f t="shared" si="2"/>
        <v>0</v>
      </c>
      <c r="W55" s="266">
        <f t="shared" si="3"/>
        <v>0</v>
      </c>
      <c r="X55" s="262"/>
      <c r="Y55" s="266">
        <f t="shared" si="4"/>
        <v>0</v>
      </c>
      <c r="Z55" s="262"/>
      <c r="AA55" s="262">
        <v>40</v>
      </c>
      <c r="AB55" s="262"/>
      <c r="AC55" s="262"/>
    </row>
    <row r="56" spans="2:29" ht="12.75" customHeight="1" x14ac:dyDescent="0.2">
      <c r="J56" s="278"/>
      <c r="K56" s="278"/>
      <c r="L56" s="278"/>
      <c r="P56" s="262">
        <f t="shared" si="0"/>
        <v>16</v>
      </c>
      <c r="Q56" s="262">
        <f t="shared" si="5"/>
        <v>47</v>
      </c>
      <c r="R56" s="262"/>
      <c r="S56" s="262">
        <f t="shared" si="1"/>
        <v>15</v>
      </c>
      <c r="T56" s="262">
        <f t="shared" si="6"/>
        <v>49</v>
      </c>
      <c r="U56" s="262"/>
      <c r="V56" s="266">
        <f t="shared" si="2"/>
        <v>0</v>
      </c>
      <c r="W56" s="266">
        <f t="shared" si="3"/>
        <v>0</v>
      </c>
      <c r="X56" s="262"/>
      <c r="Y56" s="266">
        <f t="shared" si="4"/>
        <v>0</v>
      </c>
      <c r="Z56" s="262"/>
      <c r="AA56" s="262">
        <v>41</v>
      </c>
      <c r="AB56" s="289"/>
      <c r="AC56" s="262"/>
    </row>
    <row r="57" spans="2:29" ht="12.75" customHeight="1" x14ac:dyDescent="0.2">
      <c r="J57" s="278"/>
      <c r="K57" s="278"/>
      <c r="L57" s="278"/>
      <c r="P57" s="262">
        <f t="shared" si="0"/>
        <v>16</v>
      </c>
      <c r="Q57" s="262">
        <f t="shared" si="5"/>
        <v>48</v>
      </c>
      <c r="R57" s="262"/>
      <c r="S57" s="262">
        <f t="shared" si="1"/>
        <v>15</v>
      </c>
      <c r="T57" s="262">
        <f t="shared" si="6"/>
        <v>50</v>
      </c>
      <c r="U57" s="262"/>
      <c r="V57" s="266">
        <f t="shared" si="2"/>
        <v>0</v>
      </c>
      <c r="W57" s="266">
        <f t="shared" si="3"/>
        <v>0</v>
      </c>
      <c r="X57" s="262"/>
      <c r="Y57" s="266">
        <f t="shared" si="4"/>
        <v>0</v>
      </c>
      <c r="Z57" s="262"/>
      <c r="AA57" s="262">
        <v>42</v>
      </c>
      <c r="AB57" s="290"/>
      <c r="AC57" s="290"/>
    </row>
    <row r="58" spans="2:29" ht="12.75" customHeight="1" x14ac:dyDescent="0.2">
      <c r="J58" s="278"/>
      <c r="K58" s="278"/>
      <c r="L58" s="278"/>
      <c r="P58" s="262">
        <f t="shared" si="0"/>
        <v>16</v>
      </c>
      <c r="Q58" s="262">
        <f t="shared" si="5"/>
        <v>49</v>
      </c>
      <c r="R58" s="262"/>
      <c r="S58" s="262">
        <f t="shared" si="1"/>
        <v>15</v>
      </c>
      <c r="T58" s="262">
        <f t="shared" si="6"/>
        <v>51</v>
      </c>
      <c r="U58" s="262"/>
      <c r="V58" s="266">
        <f t="shared" si="2"/>
        <v>0</v>
      </c>
      <c r="W58" s="266">
        <f t="shared" si="3"/>
        <v>0</v>
      </c>
      <c r="X58" s="262"/>
      <c r="Y58" s="266">
        <f t="shared" si="4"/>
        <v>0</v>
      </c>
      <c r="Z58" s="262"/>
      <c r="AA58" s="262">
        <v>43</v>
      </c>
      <c r="AB58" s="262"/>
      <c r="AC58" s="262"/>
    </row>
    <row r="59" spans="2:29" ht="12.75" customHeight="1" x14ac:dyDescent="0.2">
      <c r="J59" s="278"/>
      <c r="K59" s="278"/>
      <c r="L59" s="278"/>
      <c r="P59" s="262">
        <f t="shared" si="0"/>
        <v>16</v>
      </c>
      <c r="Q59" s="262">
        <f t="shared" si="5"/>
        <v>50</v>
      </c>
      <c r="R59" s="262"/>
      <c r="S59" s="262">
        <f t="shared" si="1"/>
        <v>15</v>
      </c>
      <c r="T59" s="262">
        <f t="shared" si="6"/>
        <v>52</v>
      </c>
      <c r="U59" s="262"/>
      <c r="V59" s="266">
        <f t="shared" si="2"/>
        <v>0</v>
      </c>
      <c r="W59" s="266">
        <f t="shared" si="3"/>
        <v>0</v>
      </c>
      <c r="X59" s="262"/>
      <c r="Y59" s="266">
        <f t="shared" si="4"/>
        <v>0</v>
      </c>
      <c r="Z59" s="262"/>
      <c r="AA59" s="262">
        <v>44</v>
      </c>
      <c r="AB59" s="262"/>
      <c r="AC59" s="262"/>
    </row>
    <row r="60" spans="2:29" ht="12.75" customHeight="1" x14ac:dyDescent="0.2">
      <c r="J60" s="278"/>
      <c r="K60" s="278"/>
      <c r="L60" s="278"/>
      <c r="P60" s="262">
        <f t="shared" si="0"/>
        <v>16</v>
      </c>
      <c r="Q60" s="262">
        <f t="shared" si="5"/>
        <v>51</v>
      </c>
      <c r="R60" s="262"/>
      <c r="S60" s="262">
        <f t="shared" si="1"/>
        <v>15</v>
      </c>
      <c r="T60" s="262">
        <f t="shared" si="6"/>
        <v>53</v>
      </c>
      <c r="U60" s="262"/>
      <c r="V60" s="266">
        <f t="shared" si="2"/>
        <v>0</v>
      </c>
      <c r="W60" s="266">
        <f t="shared" si="3"/>
        <v>0</v>
      </c>
      <c r="X60" s="262"/>
      <c r="Y60" s="266">
        <f t="shared" si="4"/>
        <v>0</v>
      </c>
      <c r="Z60" s="262"/>
      <c r="AA60" s="262">
        <v>45</v>
      </c>
      <c r="AB60" s="262"/>
      <c r="AC60" s="262"/>
    </row>
    <row r="61" spans="2:29" ht="12.75" customHeight="1" x14ac:dyDescent="0.2">
      <c r="C61" s="291"/>
      <c r="J61" s="278"/>
      <c r="K61" s="278"/>
      <c r="L61" s="278"/>
      <c r="P61" s="262"/>
      <c r="Q61" s="262"/>
      <c r="R61" s="262"/>
      <c r="S61" s="262"/>
      <c r="T61" s="262"/>
      <c r="U61" s="262"/>
      <c r="V61" s="262"/>
      <c r="W61" s="262"/>
      <c r="X61" s="262"/>
      <c r="Y61" s="262"/>
      <c r="Z61" s="262"/>
      <c r="AA61" s="262"/>
      <c r="AB61" s="262"/>
      <c r="AC61" s="262"/>
    </row>
    <row r="62" spans="2:29" ht="12.75" customHeight="1" x14ac:dyDescent="0.2">
      <c r="C62" s="291"/>
      <c r="J62" s="278"/>
      <c r="K62" s="278"/>
      <c r="L62" s="278"/>
      <c r="P62" s="262"/>
      <c r="Q62" s="262"/>
      <c r="R62" s="262"/>
      <c r="S62" s="262"/>
      <c r="T62" s="262"/>
      <c r="U62" s="262"/>
      <c r="V62" s="262"/>
      <c r="W62" s="262"/>
      <c r="X62" s="262"/>
      <c r="Y62" s="266">
        <f>SUM(Y15:Y60)</f>
        <v>156816.60000000015</v>
      </c>
      <c r="Z62" s="262"/>
      <c r="AA62" s="262"/>
      <c r="AB62" s="262"/>
      <c r="AC62" s="262"/>
    </row>
    <row r="63" spans="2:29" ht="13.5" customHeight="1" x14ac:dyDescent="0.2">
      <c r="C63" s="291"/>
      <c r="J63" s="278"/>
      <c r="K63" s="278"/>
      <c r="L63" s="278"/>
      <c r="P63" s="262"/>
      <c r="Q63" s="262"/>
      <c r="R63" s="262"/>
      <c r="S63" s="262"/>
      <c r="T63" s="262"/>
      <c r="U63" s="262"/>
      <c r="V63" s="262"/>
      <c r="W63" s="262" t="s">
        <v>280</v>
      </c>
      <c r="X63" s="262"/>
      <c r="Y63" s="266">
        <f>IF(F44=0,0,+Y62/F44)</f>
        <v>9224.5058823529507</v>
      </c>
      <c r="Z63" s="262"/>
      <c r="AA63" s="262"/>
      <c r="AB63" s="262"/>
      <c r="AC63" s="262"/>
    </row>
    <row r="64" spans="2:29" ht="13.5" customHeight="1" x14ac:dyDescent="0.2">
      <c r="C64" s="292"/>
      <c r="J64" s="278"/>
      <c r="K64" s="278"/>
      <c r="L64" s="278"/>
      <c r="P64" s="293"/>
      <c r="Q64" s="293"/>
    </row>
    <row r="65" spans="10:17" s="249" customFormat="1" ht="12.75" x14ac:dyDescent="0.2">
      <c r="J65" s="278"/>
      <c r="K65" s="278"/>
      <c r="L65" s="278"/>
      <c r="P65" s="293"/>
      <c r="Q65" s="293"/>
    </row>
    <row r="66" spans="10:17" s="249" customFormat="1" ht="12.75" x14ac:dyDescent="0.2">
      <c r="J66" s="278"/>
      <c r="K66" s="278"/>
      <c r="L66" s="278"/>
      <c r="P66" s="293"/>
      <c r="Q66" s="293"/>
    </row>
    <row r="67" spans="10:17" s="249" customFormat="1" ht="12.75" x14ac:dyDescent="0.2">
      <c r="J67" s="278"/>
      <c r="K67" s="278"/>
      <c r="L67" s="278"/>
      <c r="P67" s="293"/>
      <c r="Q67" s="293"/>
    </row>
    <row r="68" spans="10:17" s="249" customFormat="1" ht="12.75" x14ac:dyDescent="0.2">
      <c r="J68" s="278"/>
      <c r="K68" s="278"/>
      <c r="L68" s="278"/>
      <c r="P68" s="293"/>
      <c r="Q68" s="293"/>
    </row>
    <row r="69" spans="10:17" s="249" customFormat="1" ht="12.75" x14ac:dyDescent="0.2">
      <c r="J69" s="278"/>
      <c r="K69" s="278"/>
      <c r="L69" s="278"/>
      <c r="P69" s="293"/>
      <c r="Q69" s="293"/>
    </row>
    <row r="70" spans="10:17" s="249" customFormat="1" ht="12.75" x14ac:dyDescent="0.2">
      <c r="J70" s="278"/>
      <c r="K70" s="278"/>
      <c r="L70" s="278"/>
      <c r="P70" s="293"/>
      <c r="Q70" s="293"/>
    </row>
    <row r="71" spans="10:17" s="249" customFormat="1" ht="12.75" x14ac:dyDescent="0.2">
      <c r="J71" s="278"/>
      <c r="K71" s="278"/>
      <c r="L71" s="278"/>
      <c r="P71" s="293"/>
      <c r="Q71" s="293"/>
    </row>
    <row r="72" spans="10:17" s="249" customFormat="1" ht="12.75" x14ac:dyDescent="0.2">
      <c r="J72" s="278"/>
      <c r="K72" s="278"/>
      <c r="L72" s="278"/>
      <c r="P72" s="293"/>
      <c r="Q72" s="293"/>
    </row>
    <row r="73" spans="10:17" s="249" customFormat="1" ht="12.75" x14ac:dyDescent="0.2">
      <c r="J73" s="278"/>
      <c r="K73" s="278"/>
      <c r="L73" s="278"/>
      <c r="P73" s="293"/>
      <c r="Q73" s="293"/>
    </row>
    <row r="74" spans="10:17" s="249" customFormat="1" ht="12.75" x14ac:dyDescent="0.2">
      <c r="J74" s="278"/>
      <c r="K74" s="278"/>
      <c r="L74" s="278"/>
      <c r="P74" s="293"/>
      <c r="Q74" s="293"/>
    </row>
    <row r="75" spans="10:17" s="249" customFormat="1" ht="12.75" x14ac:dyDescent="0.2">
      <c r="J75" s="278"/>
      <c r="K75" s="278"/>
      <c r="L75" s="278"/>
      <c r="P75" s="293"/>
      <c r="Q75" s="293"/>
    </row>
    <row r="76" spans="10:17" s="249" customFormat="1" ht="12.75" x14ac:dyDescent="0.2">
      <c r="J76" s="278"/>
      <c r="K76" s="278"/>
      <c r="L76" s="278"/>
      <c r="P76" s="293"/>
      <c r="Q76" s="293"/>
    </row>
    <row r="77" spans="10:17" s="249" customFormat="1" ht="12.75" x14ac:dyDescent="0.2">
      <c r="J77" s="278"/>
      <c r="K77" s="278"/>
      <c r="L77" s="278"/>
      <c r="P77" s="293"/>
      <c r="Q77" s="293"/>
    </row>
    <row r="78" spans="10:17" s="249" customFormat="1" ht="12.75" x14ac:dyDescent="0.2">
      <c r="J78" s="278"/>
      <c r="K78" s="278"/>
      <c r="L78" s="278"/>
      <c r="P78" s="293"/>
      <c r="Q78" s="293"/>
    </row>
    <row r="79" spans="10:17" s="249" customFormat="1" ht="12.75" x14ac:dyDescent="0.2">
      <c r="J79" s="278"/>
      <c r="K79" s="278"/>
      <c r="L79" s="278"/>
      <c r="P79" s="293"/>
      <c r="Q79" s="293"/>
    </row>
    <row r="80" spans="10:17" s="249" customFormat="1" ht="12.75" x14ac:dyDescent="0.2">
      <c r="J80" s="278"/>
      <c r="K80" s="278"/>
      <c r="L80" s="278"/>
      <c r="P80" s="293"/>
      <c r="Q80" s="293"/>
    </row>
    <row r="81" spans="6:17" ht="12.75" x14ac:dyDescent="0.2">
      <c r="J81" s="278"/>
      <c r="K81" s="278"/>
      <c r="L81" s="278"/>
      <c r="P81" s="293"/>
      <c r="Q81" s="293"/>
    </row>
    <row r="82" spans="6:17" ht="12.75" x14ac:dyDescent="0.2">
      <c r="J82" s="278"/>
      <c r="K82" s="278"/>
      <c r="L82" s="278"/>
      <c r="P82" s="293"/>
      <c r="Q82" s="293"/>
    </row>
    <row r="83" spans="6:17" ht="12.75" x14ac:dyDescent="0.2">
      <c r="J83" s="278"/>
      <c r="K83" s="278"/>
      <c r="L83" s="278"/>
      <c r="P83" s="293"/>
      <c r="Q83" s="293"/>
    </row>
    <row r="84" spans="6:17" ht="12.75" x14ac:dyDescent="0.2">
      <c r="J84" s="278"/>
      <c r="K84" s="278"/>
      <c r="L84" s="278"/>
      <c r="P84" s="293"/>
      <c r="Q84" s="293"/>
    </row>
    <row r="85" spans="6:17" ht="12.75" x14ac:dyDescent="0.2">
      <c r="J85" s="278"/>
      <c r="K85" s="278"/>
      <c r="L85" s="278"/>
      <c r="P85" s="293"/>
      <c r="Q85" s="293"/>
    </row>
    <row r="86" spans="6:17" ht="12.75" x14ac:dyDescent="0.2">
      <c r="J86" s="278"/>
      <c r="K86" s="278"/>
      <c r="L86" s="278"/>
      <c r="P86" s="293"/>
      <c r="Q86" s="293"/>
    </row>
    <row r="87" spans="6:17" ht="12.75" x14ac:dyDescent="0.2">
      <c r="J87" s="278"/>
      <c r="K87" s="278"/>
      <c r="L87" s="278"/>
      <c r="P87" s="293"/>
      <c r="Q87" s="293"/>
    </row>
    <row r="88" spans="6:17" ht="12.75" x14ac:dyDescent="0.2">
      <c r="J88" s="278"/>
      <c r="K88" s="278"/>
      <c r="L88" s="278"/>
      <c r="P88" s="293"/>
      <c r="Q88" s="293"/>
    </row>
    <row r="89" spans="6:17" ht="12.75" x14ac:dyDescent="0.2">
      <c r="J89" s="278"/>
      <c r="K89" s="278"/>
      <c r="L89" s="278"/>
      <c r="P89" s="293"/>
      <c r="Q89" s="293"/>
    </row>
    <row r="90" spans="6:17" ht="12.75" x14ac:dyDescent="0.2">
      <c r="J90" s="278"/>
      <c r="K90" s="278"/>
      <c r="L90" s="278"/>
      <c r="P90" s="293"/>
      <c r="Q90" s="293"/>
    </row>
    <row r="91" spans="6:17" ht="12.75" x14ac:dyDescent="0.2">
      <c r="J91" s="278"/>
      <c r="K91" s="278"/>
      <c r="L91" s="278"/>
      <c r="P91" s="293"/>
      <c r="Q91" s="293"/>
    </row>
    <row r="92" spans="6:17" ht="12.75" x14ac:dyDescent="0.2">
      <c r="J92" s="278"/>
      <c r="K92" s="278"/>
      <c r="L92" s="278"/>
      <c r="P92" s="293"/>
      <c r="Q92" s="293"/>
    </row>
    <row r="93" spans="6:17" ht="12.75" x14ac:dyDescent="0.2">
      <c r="J93" s="278"/>
      <c r="K93" s="278"/>
      <c r="L93" s="278"/>
      <c r="P93" s="293"/>
      <c r="Q93" s="293"/>
    </row>
    <row r="94" spans="6:17" ht="12.75" x14ac:dyDescent="0.2">
      <c r="J94" s="278"/>
      <c r="K94" s="278"/>
      <c r="L94" s="278"/>
      <c r="P94" s="293"/>
      <c r="Q94" s="293"/>
    </row>
    <row r="95" spans="6:17" ht="12.75" x14ac:dyDescent="0.2">
      <c r="J95" s="278"/>
      <c r="K95" s="278"/>
      <c r="L95" s="278"/>
      <c r="P95" s="293"/>
      <c r="Q95" s="293"/>
    </row>
    <row r="96" spans="6:17" ht="12.75" x14ac:dyDescent="0.2">
      <c r="F96" s="294"/>
      <c r="G96" s="294"/>
      <c r="H96" s="295"/>
      <c r="J96" s="278"/>
      <c r="K96" s="278"/>
      <c r="L96" s="278"/>
    </row>
    <row r="97" spans="6:12" ht="12.75" x14ac:dyDescent="0.2">
      <c r="F97" s="294"/>
      <c r="G97" s="294"/>
      <c r="H97" s="295"/>
      <c r="J97" s="278"/>
      <c r="K97" s="278"/>
      <c r="L97" s="278"/>
    </row>
    <row r="98" spans="6:12" ht="12.75" x14ac:dyDescent="0.2">
      <c r="F98" s="294"/>
      <c r="G98" s="294"/>
      <c r="H98" s="295"/>
      <c r="J98" s="278"/>
      <c r="K98" s="278"/>
      <c r="L98" s="278"/>
    </row>
    <row r="99" spans="6:12" ht="12.75" x14ac:dyDescent="0.2">
      <c r="F99" s="294"/>
      <c r="G99" s="294"/>
      <c r="H99" s="295"/>
      <c r="J99" s="278"/>
      <c r="K99" s="278"/>
      <c r="L99" s="278"/>
    </row>
    <row r="100" spans="6:12" ht="12.75" x14ac:dyDescent="0.2">
      <c r="F100" s="296"/>
      <c r="G100" s="296"/>
      <c r="H100" s="278"/>
      <c r="J100" s="278"/>
      <c r="K100" s="278"/>
      <c r="L100" s="278"/>
    </row>
    <row r="101" spans="6:12" ht="12.75" x14ac:dyDescent="0.2">
      <c r="F101" s="294"/>
      <c r="G101" s="294"/>
      <c r="H101" s="278"/>
      <c r="J101" s="278"/>
      <c r="K101" s="278"/>
      <c r="L101" s="278"/>
    </row>
    <row r="102" spans="6:12" ht="12.75" x14ac:dyDescent="0.2">
      <c r="F102" s="297"/>
      <c r="G102" s="297"/>
      <c r="J102" s="278"/>
      <c r="K102" s="278"/>
      <c r="L102" s="278"/>
    </row>
    <row r="103" spans="6:12" ht="12.75" x14ac:dyDescent="0.2">
      <c r="J103" s="278"/>
      <c r="K103" s="278"/>
    </row>
    <row r="104" spans="6:12" ht="12.75" x14ac:dyDescent="0.2">
      <c r="J104" s="278"/>
      <c r="K104" s="278"/>
    </row>
  </sheetData>
  <sheetProtection password="DE55" sheet="1" objects="1" scenarios="1"/>
  <mergeCells count="1">
    <mergeCell ref="F8:H8"/>
  </mergeCells>
  <dataValidations disablePrompts="1"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249" customWidth="1"/>
    <col min="4" max="4" width="45.7109375" style="249" customWidth="1"/>
    <col min="5" max="5" width="2.85546875" style="249" customWidth="1"/>
    <col min="6" max="6" width="14.85546875" style="249" customWidth="1"/>
    <col min="7" max="7" width="2.7109375" style="249" customWidth="1"/>
    <col min="8" max="8" width="14.85546875" style="249" customWidth="1"/>
    <col min="9" max="9" width="14.42578125" style="249" customWidth="1"/>
    <col min="10" max="12" width="2.7109375" style="249" customWidth="1"/>
    <col min="13" max="40" width="10.7109375" style="249" customWidth="1"/>
    <col min="41" max="16384" width="9.7109375" style="249"/>
  </cols>
  <sheetData>
    <row r="1" spans="2:23" thickBot="1" x14ac:dyDescent="0.25"/>
    <row r="2" spans="2:23" ht="12.75" x14ac:dyDescent="0.2">
      <c r="B2" s="29"/>
      <c r="C2" s="30"/>
      <c r="D2" s="30"/>
      <c r="E2" s="30"/>
      <c r="F2" s="30"/>
      <c r="G2" s="30"/>
      <c r="H2" s="30"/>
      <c r="I2" s="30"/>
      <c r="J2" s="30"/>
      <c r="K2" s="33"/>
    </row>
    <row r="3" spans="2:23" ht="12.75" x14ac:dyDescent="0.2">
      <c r="B3" s="34"/>
      <c r="C3" s="35"/>
      <c r="D3" s="35"/>
      <c r="E3" s="35"/>
      <c r="F3" s="35"/>
      <c r="G3" s="35"/>
      <c r="H3" s="35"/>
      <c r="I3" s="35"/>
      <c r="J3" s="35"/>
      <c r="K3" s="38"/>
    </row>
    <row r="4" spans="2:23" ht="18" x14ac:dyDescent="0.25">
      <c r="B4" s="34"/>
      <c r="C4" s="40" t="s">
        <v>281</v>
      </c>
      <c r="D4" s="35"/>
      <c r="E4" s="35"/>
      <c r="F4" s="298"/>
      <c r="G4" s="205"/>
      <c r="H4" s="204"/>
      <c r="I4" s="35"/>
      <c r="J4" s="35"/>
      <c r="K4" s="38"/>
    </row>
    <row r="5" spans="2:23" ht="12.75" x14ac:dyDescent="0.2">
      <c r="B5" s="34"/>
      <c r="C5" s="35"/>
      <c r="D5" s="204"/>
      <c r="E5" s="35"/>
      <c r="F5" s="35"/>
      <c r="G5" s="35"/>
      <c r="H5" s="35"/>
      <c r="I5" s="35"/>
      <c r="J5" s="35"/>
      <c r="K5" s="38"/>
    </row>
    <row r="6" spans="2:23" ht="12.75" x14ac:dyDescent="0.2">
      <c r="B6" s="34"/>
      <c r="C6" s="35"/>
      <c r="D6" s="204"/>
      <c r="E6" s="35"/>
      <c r="F6" s="35"/>
      <c r="G6" s="35"/>
      <c r="H6" s="35"/>
      <c r="I6" s="35"/>
      <c r="J6" s="35"/>
      <c r="K6" s="38"/>
    </row>
    <row r="7" spans="2:23" ht="12.75" x14ac:dyDescent="0.2">
      <c r="B7" s="34"/>
      <c r="C7" s="51"/>
      <c r="D7" s="55"/>
      <c r="E7" s="51"/>
      <c r="F7" s="51"/>
      <c r="G7" s="51"/>
      <c r="H7" s="51"/>
      <c r="I7" s="51"/>
      <c r="J7" s="51"/>
      <c r="K7" s="38"/>
    </row>
    <row r="8" spans="2:23" ht="12.75" x14ac:dyDescent="0.2">
      <c r="B8" s="34"/>
      <c r="C8" s="55"/>
      <c r="D8" s="55" t="s">
        <v>282</v>
      </c>
      <c r="E8" s="51"/>
      <c r="F8" s="51"/>
      <c r="G8" s="51"/>
      <c r="H8" s="51"/>
      <c r="I8" s="51"/>
      <c r="J8" s="51"/>
      <c r="K8" s="38"/>
    </row>
    <row r="9" spans="2:23" ht="12.75" x14ac:dyDescent="0.2">
      <c r="B9" s="34"/>
      <c r="C9" s="55"/>
      <c r="D9" s="55"/>
      <c r="E9" s="51"/>
      <c r="F9" s="51"/>
      <c r="G9" s="51"/>
      <c r="H9" s="51"/>
      <c r="I9" s="51"/>
      <c r="J9" s="51"/>
      <c r="K9" s="38"/>
    </row>
    <row r="10" spans="2:23" ht="12.75" x14ac:dyDescent="0.2">
      <c r="B10" s="34"/>
      <c r="C10" s="51"/>
      <c r="D10" s="51" t="s">
        <v>219</v>
      </c>
      <c r="E10" s="51"/>
      <c r="F10" s="333" t="s">
        <v>49</v>
      </c>
      <c r="G10" s="333"/>
      <c r="H10" s="333"/>
      <c r="I10" s="51"/>
      <c r="J10" s="51"/>
      <c r="K10" s="38"/>
      <c r="P10" s="299"/>
    </row>
    <row r="11" spans="2:23" ht="12.75" x14ac:dyDescent="0.2">
      <c r="B11" s="34"/>
      <c r="C11" s="51"/>
      <c r="D11" s="51"/>
      <c r="E11" s="51"/>
      <c r="F11" s="141"/>
      <c r="G11" s="141"/>
      <c r="H11" s="141"/>
      <c r="I11" s="51"/>
      <c r="J11" s="51"/>
      <c r="K11" s="38"/>
      <c r="P11" s="299"/>
    </row>
    <row r="12" spans="2:23" ht="12.75" x14ac:dyDescent="0.2">
      <c r="B12" s="34"/>
      <c r="C12" s="35"/>
      <c r="D12" s="35"/>
      <c r="E12" s="35"/>
      <c r="F12" s="260"/>
      <c r="G12" s="260"/>
      <c r="H12" s="260"/>
      <c r="I12" s="35"/>
      <c r="J12" s="35"/>
      <c r="K12" s="38"/>
      <c r="P12" s="299"/>
    </row>
    <row r="13" spans="2:23" ht="12.75" x14ac:dyDescent="0.2">
      <c r="B13" s="34"/>
      <c r="C13" s="51"/>
      <c r="D13" s="55"/>
      <c r="E13" s="51"/>
      <c r="F13" s="141"/>
      <c r="G13" s="141"/>
      <c r="H13" s="141"/>
      <c r="I13" s="51"/>
      <c r="J13" s="51"/>
      <c r="K13" s="38"/>
      <c r="P13" s="299"/>
    </row>
    <row r="14" spans="2:23" ht="12.75" x14ac:dyDescent="0.2">
      <c r="B14" s="34"/>
      <c r="C14" s="51"/>
      <c r="D14" s="55" t="s">
        <v>51</v>
      </c>
      <c r="E14" s="51"/>
      <c r="F14" s="51"/>
      <c r="G14" s="51"/>
      <c r="H14" s="51"/>
      <c r="I14" s="51"/>
      <c r="J14" s="51"/>
      <c r="K14" s="38"/>
      <c r="P14" s="300"/>
    </row>
    <row r="15" spans="2:23" ht="12.75" x14ac:dyDescent="0.2">
      <c r="B15" s="34"/>
      <c r="C15" s="51"/>
      <c r="D15" s="55"/>
      <c r="E15" s="51"/>
      <c r="F15" s="51"/>
      <c r="G15" s="51"/>
      <c r="H15" s="51"/>
      <c r="I15" s="51"/>
      <c r="J15" s="51"/>
      <c r="K15" s="38"/>
      <c r="P15" s="301"/>
    </row>
    <row r="16" spans="2:23" ht="12.75" x14ac:dyDescent="0.2">
      <c r="B16" s="34"/>
      <c r="C16" s="51"/>
      <c r="D16" s="51" t="s">
        <v>52</v>
      </c>
      <c r="E16" s="51"/>
      <c r="F16" s="66" t="s">
        <v>6</v>
      </c>
      <c r="G16" s="54"/>
      <c r="H16" s="51"/>
      <c r="I16" s="51"/>
      <c r="J16" s="51"/>
      <c r="K16" s="38"/>
      <c r="P16" s="302" t="s">
        <v>52</v>
      </c>
      <c r="Q16" s="262" t="s">
        <v>283</v>
      </c>
      <c r="R16" s="262" t="s">
        <v>284</v>
      </c>
      <c r="S16" s="262"/>
      <c r="T16" s="262"/>
      <c r="U16" s="262"/>
      <c r="V16" s="262"/>
      <c r="W16" s="262"/>
    </row>
    <row r="17" spans="2:23" ht="12.75" x14ac:dyDescent="0.2">
      <c r="B17" s="34"/>
      <c r="C17" s="51"/>
      <c r="D17" s="51" t="s">
        <v>53</v>
      </c>
      <c r="E17" s="51"/>
      <c r="F17" s="66">
        <v>8</v>
      </c>
      <c r="G17" s="54"/>
      <c r="H17" s="303" t="s">
        <v>265</v>
      </c>
      <c r="I17" s="268">
        <f>VLOOKUP(F16,salaristabellen,20,FALSE)</f>
        <v>12</v>
      </c>
      <c r="J17" s="51"/>
      <c r="K17" s="38"/>
      <c r="P17" s="304" t="str">
        <f>$F$16</f>
        <v>LB</v>
      </c>
      <c r="Q17" s="262">
        <f t="shared" ref="Q17:Q36" si="0">$F$17+$F$26+V17</f>
        <v>10</v>
      </c>
      <c r="R17" s="262">
        <f t="shared" ref="R17:R36" si="1">$F$17+V17</f>
        <v>8</v>
      </c>
      <c r="S17" s="305">
        <f t="shared" ref="S17:S36" si="2">IF(Q17&gt;$I$17,VLOOKUP(P17,salaristabellen,$I$17+1,FALSE),VLOOKUP(P17,salaristabellen,Q17+1,FALSE))*12*(1+$F$29)</f>
        <v>62644.800000000003</v>
      </c>
      <c r="T17" s="305">
        <f t="shared" ref="T17:T36" si="3">IF(R17&gt;$I$17,VLOOKUP(P17,salaristabellen,$I$17+1,FALSE),VLOOKUP(P17,salaristabellen,R17+1,FALSE))*12*(1+$F$29)</f>
        <v>57027.6</v>
      </c>
      <c r="U17" s="305">
        <f>S17-T17</f>
        <v>5617.2000000000044</v>
      </c>
      <c r="V17" s="262">
        <v>0</v>
      </c>
      <c r="W17" s="263" t="s">
        <v>6</v>
      </c>
    </row>
    <row r="18" spans="2:23" ht="12.75" x14ac:dyDescent="0.2">
      <c r="B18" s="34"/>
      <c r="C18" s="51"/>
      <c r="D18" s="51" t="s">
        <v>56</v>
      </c>
      <c r="E18" s="51"/>
      <c r="F18" s="306">
        <f>VLOOKUP(F16,salaristabellen,F17+1,FALSE)</f>
        <v>3066</v>
      </c>
      <c r="G18" s="307"/>
      <c r="H18" s="51"/>
      <c r="I18" s="51"/>
      <c r="J18" s="51"/>
      <c r="K18" s="38"/>
      <c r="P18" s="304" t="str">
        <f t="shared" ref="P18:P36" si="4">$F$16</f>
        <v>LB</v>
      </c>
      <c r="Q18" s="262">
        <f t="shared" si="0"/>
        <v>11</v>
      </c>
      <c r="R18" s="262">
        <f t="shared" si="1"/>
        <v>9</v>
      </c>
      <c r="S18" s="305">
        <f t="shared" si="2"/>
        <v>65918.400000000009</v>
      </c>
      <c r="T18" s="305">
        <f t="shared" si="3"/>
        <v>59687.4</v>
      </c>
      <c r="U18" s="305">
        <f t="shared" ref="U18:U36" si="5">S18-T18</f>
        <v>6231.0000000000073</v>
      </c>
      <c r="V18" s="262">
        <v>1</v>
      </c>
      <c r="W18" s="263" t="s">
        <v>7</v>
      </c>
    </row>
    <row r="19" spans="2:23" ht="12.75" x14ac:dyDescent="0.2">
      <c r="B19" s="34"/>
      <c r="C19" s="51"/>
      <c r="D19" s="55" t="s">
        <v>57</v>
      </c>
      <c r="E19" s="51"/>
      <c r="F19" s="271">
        <v>1</v>
      </c>
      <c r="G19" s="216"/>
      <c r="H19" s="51"/>
      <c r="I19" s="51"/>
      <c r="J19" s="51"/>
      <c r="K19" s="38"/>
      <c r="P19" s="304" t="str">
        <f t="shared" si="4"/>
        <v>LB</v>
      </c>
      <c r="Q19" s="262">
        <f t="shared" si="0"/>
        <v>12</v>
      </c>
      <c r="R19" s="262">
        <f t="shared" si="1"/>
        <v>10</v>
      </c>
      <c r="S19" s="305">
        <f t="shared" si="2"/>
        <v>69545.400000000009</v>
      </c>
      <c r="T19" s="305">
        <f t="shared" si="3"/>
        <v>62644.800000000003</v>
      </c>
      <c r="U19" s="305">
        <f t="shared" si="5"/>
        <v>6900.6000000000058</v>
      </c>
      <c r="V19" s="262">
        <v>2</v>
      </c>
      <c r="W19" s="263" t="s">
        <v>8</v>
      </c>
    </row>
    <row r="20" spans="2:23" ht="12.75" x14ac:dyDescent="0.2">
      <c r="B20" s="34"/>
      <c r="C20" s="51"/>
      <c r="D20" s="51" t="s">
        <v>58</v>
      </c>
      <c r="E20" s="51"/>
      <c r="F20" s="306">
        <f>+F18*F19</f>
        <v>3066</v>
      </c>
      <c r="G20" s="307"/>
      <c r="H20" s="51"/>
      <c r="I20" s="51"/>
      <c r="J20" s="51"/>
      <c r="K20" s="38"/>
      <c r="P20" s="304" t="str">
        <f t="shared" si="4"/>
        <v>LB</v>
      </c>
      <c r="Q20" s="262">
        <f t="shared" si="0"/>
        <v>13</v>
      </c>
      <c r="R20" s="262">
        <f t="shared" si="1"/>
        <v>11</v>
      </c>
      <c r="S20" s="305">
        <f t="shared" si="2"/>
        <v>69545.400000000009</v>
      </c>
      <c r="T20" s="305">
        <f t="shared" si="3"/>
        <v>65918.400000000009</v>
      </c>
      <c r="U20" s="305">
        <f t="shared" si="5"/>
        <v>3627</v>
      </c>
      <c r="V20" s="262">
        <v>3</v>
      </c>
      <c r="W20" s="263" t="s">
        <v>9</v>
      </c>
    </row>
    <row r="21" spans="2:23" ht="12.75" x14ac:dyDescent="0.2">
      <c r="B21" s="34"/>
      <c r="C21" s="51"/>
      <c r="D21" s="51"/>
      <c r="E21" s="51"/>
      <c r="F21" s="54"/>
      <c r="G21" s="54"/>
      <c r="H21" s="51"/>
      <c r="I21" s="51"/>
      <c r="J21" s="51"/>
      <c r="K21" s="38"/>
      <c r="P21" s="304" t="str">
        <f t="shared" si="4"/>
        <v>LB</v>
      </c>
      <c r="Q21" s="262">
        <f t="shared" si="0"/>
        <v>14</v>
      </c>
      <c r="R21" s="262">
        <f t="shared" si="1"/>
        <v>12</v>
      </c>
      <c r="S21" s="305">
        <f t="shared" si="2"/>
        <v>69545.400000000009</v>
      </c>
      <c r="T21" s="305">
        <f t="shared" si="3"/>
        <v>69545.400000000009</v>
      </c>
      <c r="U21" s="305">
        <f t="shared" si="5"/>
        <v>0</v>
      </c>
      <c r="V21" s="262">
        <v>4</v>
      </c>
      <c r="W21" s="263">
        <v>1</v>
      </c>
    </row>
    <row r="22" spans="2:23" ht="12.75" x14ac:dyDescent="0.2">
      <c r="B22" s="34"/>
      <c r="C22" s="51"/>
      <c r="D22" s="55" t="s">
        <v>285</v>
      </c>
      <c r="E22" s="51"/>
      <c r="F22" s="54"/>
      <c r="G22" s="54"/>
      <c r="H22" s="51"/>
      <c r="I22" s="51"/>
      <c r="J22" s="51"/>
      <c r="K22" s="38"/>
      <c r="P22" s="304" t="str">
        <f t="shared" si="4"/>
        <v>LB</v>
      </c>
      <c r="Q22" s="262">
        <f t="shared" si="0"/>
        <v>15</v>
      </c>
      <c r="R22" s="262">
        <f t="shared" si="1"/>
        <v>13</v>
      </c>
      <c r="S22" s="305">
        <f t="shared" si="2"/>
        <v>69545.400000000009</v>
      </c>
      <c r="T22" s="305">
        <f t="shared" si="3"/>
        <v>69545.400000000009</v>
      </c>
      <c r="U22" s="305">
        <f t="shared" si="5"/>
        <v>0</v>
      </c>
      <c r="V22" s="262">
        <v>5</v>
      </c>
      <c r="W22" s="263">
        <v>2</v>
      </c>
    </row>
    <row r="23" spans="2:23" ht="12.75" x14ac:dyDescent="0.2">
      <c r="B23" s="34"/>
      <c r="C23" s="51"/>
      <c r="D23" s="51" t="s">
        <v>286</v>
      </c>
      <c r="E23" s="51"/>
      <c r="F23" s="66" t="s">
        <v>271</v>
      </c>
      <c r="G23" s="54"/>
      <c r="H23" s="51"/>
      <c r="I23" s="51"/>
      <c r="J23" s="51"/>
      <c r="K23" s="38"/>
      <c r="P23" s="304" t="str">
        <f t="shared" si="4"/>
        <v>LB</v>
      </c>
      <c r="Q23" s="262">
        <f t="shared" si="0"/>
        <v>16</v>
      </c>
      <c r="R23" s="262">
        <f t="shared" si="1"/>
        <v>14</v>
      </c>
      <c r="S23" s="305">
        <f t="shared" si="2"/>
        <v>69545.400000000009</v>
      </c>
      <c r="T23" s="305">
        <f t="shared" si="3"/>
        <v>69545.400000000009</v>
      </c>
      <c r="U23" s="305">
        <f t="shared" si="5"/>
        <v>0</v>
      </c>
      <c r="V23" s="262">
        <v>6</v>
      </c>
      <c r="W23" s="263">
        <v>3</v>
      </c>
    </row>
    <row r="24" spans="2:23" ht="12.75" x14ac:dyDescent="0.2">
      <c r="B24" s="34"/>
      <c r="C24" s="51"/>
      <c r="D24" s="51" t="s">
        <v>287</v>
      </c>
      <c r="E24" s="51"/>
      <c r="F24" s="66" t="s">
        <v>271</v>
      </c>
      <c r="G24" s="54"/>
      <c r="H24" s="51"/>
      <c r="I24" s="51"/>
      <c r="J24" s="51"/>
      <c r="K24" s="38"/>
      <c r="P24" s="304" t="str">
        <f t="shared" si="4"/>
        <v>LB</v>
      </c>
      <c r="Q24" s="262">
        <f t="shared" si="0"/>
        <v>17</v>
      </c>
      <c r="R24" s="262">
        <f t="shared" si="1"/>
        <v>15</v>
      </c>
      <c r="S24" s="305">
        <f t="shared" si="2"/>
        <v>69545.400000000009</v>
      </c>
      <c r="T24" s="305">
        <f t="shared" si="3"/>
        <v>69545.400000000009</v>
      </c>
      <c r="U24" s="305">
        <f t="shared" si="5"/>
        <v>0</v>
      </c>
      <c r="V24" s="262">
        <v>7</v>
      </c>
      <c r="W24" s="263">
        <v>4</v>
      </c>
    </row>
    <row r="25" spans="2:23" ht="12.75" x14ac:dyDescent="0.2">
      <c r="B25" s="34"/>
      <c r="C25" s="51"/>
      <c r="D25" s="51" t="s">
        <v>288</v>
      </c>
      <c r="E25" s="51"/>
      <c r="F25" s="66" t="s">
        <v>61</v>
      </c>
      <c r="G25" s="54"/>
      <c r="H25" s="51"/>
      <c r="I25" s="51"/>
      <c r="J25" s="51"/>
      <c r="K25" s="38"/>
      <c r="P25" s="304" t="str">
        <f t="shared" si="4"/>
        <v>LB</v>
      </c>
      <c r="Q25" s="262">
        <f t="shared" si="0"/>
        <v>18</v>
      </c>
      <c r="R25" s="262">
        <f t="shared" si="1"/>
        <v>16</v>
      </c>
      <c r="S25" s="305">
        <f t="shared" si="2"/>
        <v>69545.400000000009</v>
      </c>
      <c r="T25" s="305">
        <f t="shared" si="3"/>
        <v>69545.400000000009</v>
      </c>
      <c r="U25" s="305">
        <f t="shared" si="5"/>
        <v>0</v>
      </c>
      <c r="V25" s="262">
        <v>8</v>
      </c>
      <c r="W25" s="263">
        <v>5</v>
      </c>
    </row>
    <row r="26" spans="2:23" ht="12.75" x14ac:dyDescent="0.2">
      <c r="B26" s="34"/>
      <c r="C26" s="51"/>
      <c r="D26" s="51" t="s">
        <v>289</v>
      </c>
      <c r="E26" s="51"/>
      <c r="F26" s="66">
        <v>2</v>
      </c>
      <c r="G26" s="54"/>
      <c r="H26" s="51"/>
      <c r="I26" s="51"/>
      <c r="J26" s="51"/>
      <c r="K26" s="38"/>
      <c r="P26" s="304" t="str">
        <f t="shared" si="4"/>
        <v>LB</v>
      </c>
      <c r="Q26" s="262">
        <f t="shared" si="0"/>
        <v>19</v>
      </c>
      <c r="R26" s="262">
        <f t="shared" si="1"/>
        <v>17</v>
      </c>
      <c r="S26" s="305">
        <f t="shared" si="2"/>
        <v>69545.400000000009</v>
      </c>
      <c r="T26" s="305">
        <f t="shared" si="3"/>
        <v>69545.400000000009</v>
      </c>
      <c r="U26" s="305">
        <f t="shared" si="5"/>
        <v>0</v>
      </c>
      <c r="V26" s="262">
        <v>9</v>
      </c>
      <c r="W26" s="263">
        <v>6</v>
      </c>
    </row>
    <row r="27" spans="2:23" ht="12.75" x14ac:dyDescent="0.2">
      <c r="B27" s="34"/>
      <c r="C27" s="51"/>
      <c r="D27" s="51"/>
      <c r="E27" s="51"/>
      <c r="F27" s="54"/>
      <c r="G27" s="54"/>
      <c r="H27" s="51"/>
      <c r="I27" s="51"/>
      <c r="J27" s="51"/>
      <c r="K27" s="38"/>
      <c r="P27" s="304" t="str">
        <f t="shared" si="4"/>
        <v>LB</v>
      </c>
      <c r="Q27" s="262">
        <f t="shared" si="0"/>
        <v>20</v>
      </c>
      <c r="R27" s="262">
        <f t="shared" si="1"/>
        <v>18</v>
      </c>
      <c r="S27" s="305">
        <f t="shared" si="2"/>
        <v>69545.400000000009</v>
      </c>
      <c r="T27" s="305">
        <f t="shared" si="3"/>
        <v>69545.400000000009</v>
      </c>
      <c r="U27" s="305">
        <f t="shared" si="5"/>
        <v>0</v>
      </c>
      <c r="V27" s="262">
        <v>10</v>
      </c>
      <c r="W27" s="263">
        <v>7</v>
      </c>
    </row>
    <row r="28" spans="2:23" ht="12.75" x14ac:dyDescent="0.2">
      <c r="B28" s="34"/>
      <c r="C28" s="51"/>
      <c r="D28" s="51" t="s">
        <v>290</v>
      </c>
      <c r="E28" s="51"/>
      <c r="F28" s="219">
        <f>IF(F17+F26&gt;I17,"verkeerde invoer",(VLOOKUP(F16,salaristabellen,F17+F26+1,FALSE)-VLOOKUP(F16,salaristabellen,F17+1,FALSE))*F19)</f>
        <v>302</v>
      </c>
      <c r="G28" s="207"/>
      <c r="H28" s="51"/>
      <c r="I28" s="51"/>
      <c r="J28" s="51"/>
      <c r="K28" s="38"/>
      <c r="P28" s="304" t="str">
        <f t="shared" si="4"/>
        <v>LB</v>
      </c>
      <c r="Q28" s="262">
        <f t="shared" si="0"/>
        <v>21</v>
      </c>
      <c r="R28" s="262">
        <f t="shared" si="1"/>
        <v>19</v>
      </c>
      <c r="S28" s="305">
        <f t="shared" si="2"/>
        <v>69545.400000000009</v>
      </c>
      <c r="T28" s="305">
        <f t="shared" si="3"/>
        <v>69545.400000000009</v>
      </c>
      <c r="U28" s="305">
        <f t="shared" si="5"/>
        <v>0</v>
      </c>
      <c r="V28" s="262">
        <v>11</v>
      </c>
      <c r="W28" s="263">
        <v>8</v>
      </c>
    </row>
    <row r="29" spans="2:23" ht="12.75" x14ac:dyDescent="0.2">
      <c r="B29" s="34"/>
      <c r="C29" s="51"/>
      <c r="D29" s="51" t="s">
        <v>275</v>
      </c>
      <c r="E29" s="51"/>
      <c r="F29" s="235">
        <f>+tabellen!C61</f>
        <v>0.55000000000000004</v>
      </c>
      <c r="G29" s="276"/>
      <c r="H29" s="51"/>
      <c r="I29" s="51"/>
      <c r="J29" s="51"/>
      <c r="K29" s="38"/>
      <c r="P29" s="304" t="str">
        <f t="shared" si="4"/>
        <v>LB</v>
      </c>
      <c r="Q29" s="262">
        <f t="shared" si="0"/>
        <v>22</v>
      </c>
      <c r="R29" s="262">
        <f t="shared" si="1"/>
        <v>20</v>
      </c>
      <c r="S29" s="305">
        <f t="shared" si="2"/>
        <v>69545.400000000009</v>
      </c>
      <c r="T29" s="305">
        <f t="shared" si="3"/>
        <v>69545.400000000009</v>
      </c>
      <c r="U29" s="305">
        <f t="shared" si="5"/>
        <v>0</v>
      </c>
      <c r="V29" s="262">
        <v>12</v>
      </c>
      <c r="W29" s="263">
        <v>9</v>
      </c>
    </row>
    <row r="30" spans="2:23" ht="12.75" x14ac:dyDescent="0.2">
      <c r="B30" s="34"/>
      <c r="C30" s="51"/>
      <c r="D30" s="51" t="s">
        <v>276</v>
      </c>
      <c r="E30" s="51"/>
      <c r="F30" s="308">
        <f>+F28*12*(1+F29)</f>
        <v>5617.2</v>
      </c>
      <c r="G30" s="307"/>
      <c r="H30" s="51"/>
      <c r="I30" s="51"/>
      <c r="J30" s="51"/>
      <c r="K30" s="38"/>
      <c r="P30" s="304" t="str">
        <f t="shared" si="4"/>
        <v>LB</v>
      </c>
      <c r="Q30" s="262">
        <f t="shared" si="0"/>
        <v>23</v>
      </c>
      <c r="R30" s="262">
        <f t="shared" si="1"/>
        <v>21</v>
      </c>
      <c r="S30" s="305">
        <f t="shared" si="2"/>
        <v>69545.400000000009</v>
      </c>
      <c r="T30" s="305">
        <f t="shared" si="3"/>
        <v>69545.400000000009</v>
      </c>
      <c r="U30" s="305">
        <f t="shared" si="5"/>
        <v>0</v>
      </c>
      <c r="V30" s="262">
        <v>13</v>
      </c>
      <c r="W30" s="263">
        <v>10</v>
      </c>
    </row>
    <row r="31" spans="2:23" ht="12.75" x14ac:dyDescent="0.2">
      <c r="B31" s="34"/>
      <c r="C31" s="51"/>
      <c r="D31" s="51" t="s">
        <v>291</v>
      </c>
      <c r="E31" s="51"/>
      <c r="F31" s="309">
        <f>IF(F26=0,0,+I17-F17)</f>
        <v>4</v>
      </c>
      <c r="G31" s="54"/>
      <c r="H31" s="51"/>
      <c r="I31" s="51"/>
      <c r="J31" s="51"/>
      <c r="K31" s="38"/>
      <c r="P31" s="304" t="str">
        <f t="shared" si="4"/>
        <v>LB</v>
      </c>
      <c r="Q31" s="262">
        <f t="shared" si="0"/>
        <v>24</v>
      </c>
      <c r="R31" s="262">
        <f t="shared" si="1"/>
        <v>22</v>
      </c>
      <c r="S31" s="305">
        <f t="shared" si="2"/>
        <v>69545.400000000009</v>
      </c>
      <c r="T31" s="305">
        <f t="shared" si="3"/>
        <v>69545.400000000009</v>
      </c>
      <c r="U31" s="305">
        <f t="shared" si="5"/>
        <v>0</v>
      </c>
      <c r="V31" s="262">
        <v>14</v>
      </c>
      <c r="W31" s="263">
        <v>11</v>
      </c>
    </row>
    <row r="32" spans="2:23" ht="12.75" x14ac:dyDescent="0.2">
      <c r="B32" s="34"/>
      <c r="C32" s="51"/>
      <c r="D32" s="51" t="s">
        <v>278</v>
      </c>
      <c r="E32" s="51"/>
      <c r="F32" s="240">
        <f>U39*F19</f>
        <v>5593.9500000000044</v>
      </c>
      <c r="G32" s="280"/>
      <c r="H32" s="88"/>
      <c r="I32" s="51"/>
      <c r="J32" s="51"/>
      <c r="K32" s="38"/>
      <c r="P32" s="304" t="str">
        <f t="shared" si="4"/>
        <v>LB</v>
      </c>
      <c r="Q32" s="262">
        <f t="shared" si="0"/>
        <v>25</v>
      </c>
      <c r="R32" s="262">
        <f t="shared" si="1"/>
        <v>23</v>
      </c>
      <c r="S32" s="305">
        <f t="shared" si="2"/>
        <v>69545.400000000009</v>
      </c>
      <c r="T32" s="305">
        <f t="shared" si="3"/>
        <v>69545.400000000009</v>
      </c>
      <c r="U32" s="305">
        <f t="shared" si="5"/>
        <v>0</v>
      </c>
      <c r="V32" s="262">
        <v>15</v>
      </c>
      <c r="W32" s="263">
        <v>12</v>
      </c>
    </row>
    <row r="33" spans="2:23" ht="12.75" x14ac:dyDescent="0.2">
      <c r="B33" s="34"/>
      <c r="C33" s="51"/>
      <c r="D33" s="51"/>
      <c r="E33" s="51"/>
      <c r="F33" s="280"/>
      <c r="G33" s="280"/>
      <c r="H33" s="88"/>
      <c r="I33" s="51"/>
      <c r="J33" s="51"/>
      <c r="K33" s="38"/>
      <c r="P33" s="304" t="str">
        <f t="shared" si="4"/>
        <v>LB</v>
      </c>
      <c r="Q33" s="262">
        <f t="shared" si="0"/>
        <v>26</v>
      </c>
      <c r="R33" s="262">
        <f t="shared" si="1"/>
        <v>24</v>
      </c>
      <c r="S33" s="305">
        <f t="shared" si="2"/>
        <v>69545.400000000009</v>
      </c>
      <c r="T33" s="305">
        <f t="shared" si="3"/>
        <v>69545.400000000009</v>
      </c>
      <c r="U33" s="305">
        <f t="shared" si="5"/>
        <v>0</v>
      </c>
      <c r="V33" s="262">
        <v>16</v>
      </c>
      <c r="W33" s="263">
        <v>13</v>
      </c>
    </row>
    <row r="34" spans="2:23" ht="12.75" x14ac:dyDescent="0.2">
      <c r="B34" s="34"/>
      <c r="C34" s="51"/>
      <c r="D34" s="55" t="s">
        <v>292</v>
      </c>
      <c r="E34" s="51"/>
      <c r="F34" s="240">
        <f>U38*F19</f>
        <v>22375.800000000017</v>
      </c>
      <c r="G34" s="283"/>
      <c r="H34" s="51"/>
      <c r="I34" s="51"/>
      <c r="J34" s="51"/>
      <c r="K34" s="38"/>
      <c r="P34" s="304" t="str">
        <f t="shared" si="4"/>
        <v>LB</v>
      </c>
      <c r="Q34" s="262">
        <f t="shared" si="0"/>
        <v>27</v>
      </c>
      <c r="R34" s="262">
        <f t="shared" si="1"/>
        <v>25</v>
      </c>
      <c r="S34" s="305">
        <f t="shared" si="2"/>
        <v>69545.400000000009</v>
      </c>
      <c r="T34" s="305">
        <f t="shared" si="3"/>
        <v>69545.400000000009</v>
      </c>
      <c r="U34" s="305">
        <f t="shared" si="5"/>
        <v>0</v>
      </c>
      <c r="V34" s="262">
        <v>17</v>
      </c>
      <c r="W34" s="263">
        <v>14</v>
      </c>
    </row>
    <row r="35" spans="2:23" ht="12.75" x14ac:dyDescent="0.2">
      <c r="B35" s="34"/>
      <c r="C35" s="51"/>
      <c r="D35" s="51"/>
      <c r="E35" s="51"/>
      <c r="F35" s="51"/>
      <c r="G35" s="51"/>
      <c r="H35" s="51"/>
      <c r="I35" s="51"/>
      <c r="J35" s="51"/>
      <c r="K35" s="38"/>
      <c r="P35" s="304" t="str">
        <f t="shared" si="4"/>
        <v>LB</v>
      </c>
      <c r="Q35" s="262">
        <f t="shared" si="0"/>
        <v>28</v>
      </c>
      <c r="R35" s="262">
        <f t="shared" si="1"/>
        <v>26</v>
      </c>
      <c r="S35" s="305">
        <f t="shared" si="2"/>
        <v>69545.400000000009</v>
      </c>
      <c r="T35" s="305">
        <f t="shared" si="3"/>
        <v>69545.400000000009</v>
      </c>
      <c r="U35" s="305">
        <f t="shared" si="5"/>
        <v>0</v>
      </c>
      <c r="V35" s="262">
        <v>18</v>
      </c>
      <c r="W35" s="263">
        <v>15</v>
      </c>
    </row>
    <row r="36" spans="2:23" ht="12.75" x14ac:dyDescent="0.2">
      <c r="B36" s="34"/>
      <c r="C36" s="35"/>
      <c r="D36" s="35"/>
      <c r="E36" s="35"/>
      <c r="F36" s="35"/>
      <c r="G36" s="35"/>
      <c r="H36" s="35"/>
      <c r="I36" s="35"/>
      <c r="J36" s="35"/>
      <c r="K36" s="38"/>
      <c r="P36" s="304" t="str">
        <f t="shared" si="4"/>
        <v>LB</v>
      </c>
      <c r="Q36" s="262">
        <f t="shared" si="0"/>
        <v>29</v>
      </c>
      <c r="R36" s="262">
        <f t="shared" si="1"/>
        <v>27</v>
      </c>
      <c r="S36" s="305">
        <f t="shared" si="2"/>
        <v>69545.400000000009</v>
      </c>
      <c r="T36" s="305">
        <f t="shared" si="3"/>
        <v>69545.400000000009</v>
      </c>
      <c r="U36" s="305">
        <f t="shared" si="5"/>
        <v>0</v>
      </c>
      <c r="V36" s="262">
        <v>19</v>
      </c>
      <c r="W36" s="263">
        <v>16</v>
      </c>
    </row>
    <row r="37" spans="2:23" ht="12.75" x14ac:dyDescent="0.2">
      <c r="B37" s="34"/>
      <c r="C37" s="51"/>
      <c r="D37" s="51"/>
      <c r="E37" s="51"/>
      <c r="F37" s="51"/>
      <c r="G37" s="51"/>
      <c r="H37" s="51"/>
      <c r="I37" s="51"/>
      <c r="J37" s="51"/>
      <c r="K37" s="38"/>
      <c r="P37" s="310"/>
      <c r="Q37" s="262"/>
      <c r="R37" s="262"/>
      <c r="S37" s="262"/>
      <c r="T37" s="262"/>
      <c r="U37" s="262"/>
      <c r="V37" s="262"/>
      <c r="W37" s="263">
        <v>17</v>
      </c>
    </row>
    <row r="38" spans="2:23" ht="12.75" x14ac:dyDescent="0.2">
      <c r="B38" s="34"/>
      <c r="C38" s="51"/>
      <c r="D38" s="55" t="s">
        <v>293</v>
      </c>
      <c r="E38" s="51"/>
      <c r="F38" s="51"/>
      <c r="G38" s="51"/>
      <c r="H38" s="51"/>
      <c r="I38" s="51"/>
      <c r="J38" s="51"/>
      <c r="K38" s="38"/>
      <c r="P38" s="310"/>
      <c r="Q38" s="262"/>
      <c r="R38" s="262"/>
      <c r="S38" s="262"/>
      <c r="T38" s="262"/>
      <c r="U38" s="305">
        <f>SUM(U17:U36)</f>
        <v>22375.800000000017</v>
      </c>
      <c r="V38" s="262"/>
      <c r="W38" s="263" t="s">
        <v>10</v>
      </c>
    </row>
    <row r="39" spans="2:23" ht="12.75" x14ac:dyDescent="0.2">
      <c r="B39" s="34"/>
      <c r="C39" s="51"/>
      <c r="D39" s="55"/>
      <c r="E39" s="51"/>
      <c r="F39" s="51"/>
      <c r="G39" s="51"/>
      <c r="H39" s="51"/>
      <c r="I39" s="51"/>
      <c r="J39" s="51"/>
      <c r="K39" s="38"/>
      <c r="P39" s="310"/>
      <c r="Q39" s="262"/>
      <c r="R39" s="262"/>
      <c r="S39" s="262"/>
      <c r="T39" s="262"/>
      <c r="U39" s="305">
        <f>IF(F31=0,0,U38/F31)</f>
        <v>5593.9500000000044</v>
      </c>
      <c r="V39" s="262"/>
      <c r="W39" s="263" t="s">
        <v>11</v>
      </c>
    </row>
    <row r="40" spans="2:23" ht="12.75" x14ac:dyDescent="0.2">
      <c r="B40" s="34"/>
      <c r="C40" s="51"/>
      <c r="D40" s="51" t="s">
        <v>294</v>
      </c>
      <c r="E40" s="51"/>
      <c r="F40" s="329" t="s">
        <v>295</v>
      </c>
      <c r="G40" s="329"/>
      <c r="H40" s="329"/>
      <c r="I40" s="141"/>
      <c r="J40" s="51"/>
      <c r="K40" s="38"/>
      <c r="P40" s="262"/>
      <c r="Q40" s="262"/>
      <c r="R40" s="262"/>
      <c r="S40" s="262"/>
      <c r="T40" s="262"/>
      <c r="U40" s="262"/>
      <c r="V40" s="262"/>
      <c r="W40" s="263" t="s">
        <v>12</v>
      </c>
    </row>
    <row r="41" spans="2:23" ht="12.75" x14ac:dyDescent="0.2">
      <c r="B41" s="34"/>
      <c r="C41" s="51"/>
      <c r="D41" s="51"/>
      <c r="E41" s="51"/>
      <c r="F41" s="123"/>
      <c r="G41" s="123"/>
      <c r="H41" s="141"/>
      <c r="I41" s="141"/>
      <c r="J41" s="51"/>
      <c r="K41" s="38"/>
      <c r="P41" s="262"/>
      <c r="Q41" s="262"/>
      <c r="R41" s="262"/>
      <c r="S41" s="262"/>
      <c r="T41" s="262"/>
      <c r="U41" s="262"/>
      <c r="V41" s="262"/>
      <c r="W41" s="263" t="s">
        <v>13</v>
      </c>
    </row>
    <row r="42" spans="2:23" ht="12.75" x14ac:dyDescent="0.2">
      <c r="B42" s="34"/>
      <c r="C42" s="51"/>
      <c r="D42" s="125" t="s">
        <v>240</v>
      </c>
      <c r="E42" s="51"/>
      <c r="F42" s="51"/>
      <c r="G42" s="51"/>
      <c r="H42" s="51"/>
      <c r="I42" s="51"/>
      <c r="J42" s="51"/>
      <c r="K42" s="38"/>
      <c r="P42" s="262"/>
      <c r="Q42" s="262"/>
      <c r="R42" s="262"/>
      <c r="S42" s="262"/>
      <c r="T42" s="262"/>
      <c r="U42" s="262"/>
      <c r="V42" s="262"/>
      <c r="W42" s="262"/>
    </row>
    <row r="43" spans="2:23" ht="12.75" x14ac:dyDescent="0.2">
      <c r="B43" s="34"/>
      <c r="C43" s="51"/>
      <c r="D43" s="51" t="s">
        <v>241</v>
      </c>
      <c r="E43" s="51"/>
      <c r="F43" s="232">
        <v>500</v>
      </c>
      <c r="G43" s="311"/>
      <c r="H43" s="51"/>
      <c r="I43" s="51"/>
      <c r="J43" s="51"/>
      <c r="K43" s="38"/>
    </row>
    <row r="44" spans="2:23" ht="12.75" x14ac:dyDescent="0.2">
      <c r="B44" s="34"/>
      <c r="C44" s="51"/>
      <c r="D44" s="51" t="s">
        <v>243</v>
      </c>
      <c r="E44" s="51"/>
      <c r="F44" s="235">
        <v>0.75</v>
      </c>
      <c r="G44" s="276"/>
      <c r="H44" s="51"/>
      <c r="I44" s="51"/>
      <c r="J44" s="51"/>
      <c r="K44" s="38"/>
    </row>
    <row r="45" spans="2:23" ht="12.75" x14ac:dyDescent="0.2">
      <c r="B45" s="34"/>
      <c r="C45" s="51"/>
      <c r="D45" s="51" t="s">
        <v>296</v>
      </c>
      <c r="E45" s="51"/>
      <c r="F45" s="236">
        <f>ROUND(+F43*F44,0)</f>
        <v>375</v>
      </c>
      <c r="G45" s="311"/>
      <c r="H45" s="51"/>
      <c r="I45" s="51"/>
      <c r="J45" s="51"/>
      <c r="K45" s="38"/>
    </row>
    <row r="46" spans="2:23" ht="12.75" x14ac:dyDescent="0.2">
      <c r="B46" s="34"/>
      <c r="C46" s="51"/>
      <c r="D46" s="51"/>
      <c r="E46" s="51"/>
      <c r="F46" s="54"/>
      <c r="G46" s="54"/>
      <c r="H46" s="51"/>
      <c r="I46" s="51"/>
      <c r="J46" s="51"/>
      <c r="K46" s="38"/>
    </row>
    <row r="47" spans="2:23" ht="12.75" x14ac:dyDescent="0.2">
      <c r="B47" s="34"/>
      <c r="C47" s="51"/>
      <c r="D47" s="51" t="s">
        <v>297</v>
      </c>
      <c r="E47" s="51"/>
      <c r="F47" s="312">
        <v>0.02</v>
      </c>
      <c r="G47" s="79"/>
      <c r="H47" s="51"/>
      <c r="I47" s="51"/>
      <c r="J47" s="88"/>
      <c r="K47" s="284"/>
    </row>
    <row r="48" spans="2:23" ht="12.75" x14ac:dyDescent="0.2">
      <c r="B48" s="34"/>
      <c r="C48" s="51"/>
      <c r="D48" s="51" t="s">
        <v>296</v>
      </c>
      <c r="E48" s="51"/>
      <c r="F48" s="236">
        <f>ROUND(+F45*F47,0)</f>
        <v>8</v>
      </c>
      <c r="G48" s="311"/>
      <c r="H48" s="51"/>
      <c r="I48" s="51"/>
      <c r="J48" s="88"/>
      <c r="K48" s="284"/>
    </row>
    <row r="49" spans="2:14" ht="12.75" x14ac:dyDescent="0.2">
      <c r="B49" s="34"/>
      <c r="C49" s="51"/>
      <c r="D49" s="51" t="s">
        <v>298</v>
      </c>
      <c r="E49" s="51"/>
      <c r="F49" s="238">
        <v>4000</v>
      </c>
      <c r="G49" s="280"/>
      <c r="H49" s="51"/>
      <c r="I49" s="51"/>
      <c r="J49" s="88"/>
      <c r="K49" s="284"/>
    </row>
    <row r="50" spans="2:14" ht="12.75" x14ac:dyDescent="0.2">
      <c r="B50" s="34"/>
      <c r="C50" s="51"/>
      <c r="D50" s="51"/>
      <c r="E50" s="51"/>
      <c r="F50" s="280"/>
      <c r="G50" s="280"/>
      <c r="H50" s="51"/>
      <c r="I50" s="51"/>
      <c r="J50" s="88"/>
      <c r="K50" s="284"/>
    </row>
    <row r="51" spans="2:14" s="282" customFormat="1" ht="12.75" x14ac:dyDescent="0.2">
      <c r="B51" s="56"/>
      <c r="C51" s="55"/>
      <c r="D51" s="55" t="s">
        <v>299</v>
      </c>
      <c r="E51" s="55"/>
      <c r="F51" s="240">
        <f>+F48*F49</f>
        <v>32000</v>
      </c>
      <c r="G51" s="283"/>
      <c r="H51" s="55"/>
      <c r="I51" s="55"/>
      <c r="J51" s="124"/>
      <c r="K51" s="285"/>
    </row>
    <row r="52" spans="2:14" ht="12.75" x14ac:dyDescent="0.2">
      <c r="B52" s="34"/>
      <c r="C52" s="51"/>
      <c r="D52" s="55"/>
      <c r="E52" s="51"/>
      <c r="F52" s="51"/>
      <c r="G52" s="51"/>
      <c r="H52" s="51"/>
      <c r="I52" s="51"/>
      <c r="J52" s="88"/>
      <c r="K52" s="284"/>
    </row>
    <row r="53" spans="2:14" ht="12.75" x14ac:dyDescent="0.2">
      <c r="B53" s="34"/>
      <c r="C53" s="35"/>
      <c r="D53" s="35"/>
      <c r="E53" s="35"/>
      <c r="F53" s="35"/>
      <c r="G53" s="35"/>
      <c r="H53" s="35"/>
      <c r="I53" s="35"/>
      <c r="J53" s="150"/>
      <c r="K53" s="284"/>
    </row>
    <row r="54" spans="2:14" thickBot="1" x14ac:dyDescent="0.25">
      <c r="B54" s="151"/>
      <c r="C54" s="152"/>
      <c r="D54" s="152"/>
      <c r="E54" s="152"/>
      <c r="F54" s="152"/>
      <c r="G54" s="152"/>
      <c r="H54" s="152"/>
      <c r="I54" s="152"/>
      <c r="J54" s="313" t="s">
        <v>108</v>
      </c>
      <c r="K54" s="287"/>
    </row>
    <row r="55" spans="2:14" ht="12.75" x14ac:dyDescent="0.2">
      <c r="J55" s="288"/>
      <c r="K55" s="278"/>
    </row>
    <row r="56" spans="2:14" ht="12.75" x14ac:dyDescent="0.2">
      <c r="J56" s="288"/>
      <c r="K56" s="278"/>
    </row>
    <row r="57" spans="2:14" ht="12.75" x14ac:dyDescent="0.2">
      <c r="J57" s="288"/>
      <c r="K57" s="278"/>
    </row>
    <row r="58" spans="2:14" ht="12.75" x14ac:dyDescent="0.2">
      <c r="J58" s="278"/>
      <c r="K58" s="278"/>
    </row>
    <row r="59" spans="2:14" ht="12.75" x14ac:dyDescent="0.2">
      <c r="J59" s="278"/>
      <c r="K59" s="278"/>
      <c r="L59" s="293"/>
      <c r="M59" s="293"/>
      <c r="N59" s="293"/>
    </row>
    <row r="60" spans="2:14" ht="12.75" x14ac:dyDescent="0.2">
      <c r="J60" s="278"/>
      <c r="K60" s="278"/>
      <c r="M60" s="293"/>
      <c r="N60" s="293"/>
    </row>
    <row r="61" spans="2:14" ht="12.75" x14ac:dyDescent="0.2">
      <c r="J61" s="278"/>
      <c r="K61" s="278"/>
      <c r="M61" s="293"/>
      <c r="N61" s="293"/>
    </row>
    <row r="62" spans="2:14" ht="12.75" x14ac:dyDescent="0.2">
      <c r="J62" s="278"/>
      <c r="K62" s="278"/>
      <c r="M62" s="293"/>
      <c r="N62" s="293"/>
    </row>
    <row r="63" spans="2:14" ht="12.75" x14ac:dyDescent="0.2">
      <c r="J63" s="278"/>
      <c r="K63" s="278"/>
      <c r="M63" s="293"/>
      <c r="N63" s="293"/>
    </row>
    <row r="64" spans="2:14" ht="12.75" x14ac:dyDescent="0.2">
      <c r="J64" s="278"/>
      <c r="K64" s="278"/>
      <c r="M64" s="293"/>
      <c r="N64" s="293"/>
    </row>
    <row r="65" spans="10:14" ht="12.75" x14ac:dyDescent="0.2">
      <c r="J65" s="278"/>
      <c r="K65" s="278"/>
      <c r="M65" s="293"/>
      <c r="N65" s="293"/>
    </row>
    <row r="66" spans="10:14" ht="12.75" x14ac:dyDescent="0.2">
      <c r="J66" s="278"/>
      <c r="K66" s="278"/>
      <c r="M66" s="293"/>
      <c r="N66" s="293"/>
    </row>
    <row r="67" spans="10:14" ht="12.75" x14ac:dyDescent="0.2">
      <c r="J67" s="278"/>
      <c r="K67" s="278"/>
      <c r="M67" s="293"/>
      <c r="N67" s="293"/>
    </row>
    <row r="68" spans="10:14" ht="12.75" x14ac:dyDescent="0.2">
      <c r="J68" s="278"/>
      <c r="K68" s="278"/>
      <c r="M68" s="293"/>
      <c r="N68" s="293"/>
    </row>
    <row r="69" spans="10:14" ht="12.75" x14ac:dyDescent="0.2">
      <c r="J69" s="278"/>
      <c r="K69" s="278"/>
      <c r="M69" s="293"/>
      <c r="N69" s="293"/>
    </row>
    <row r="70" spans="10:14" ht="12.75" x14ac:dyDescent="0.2">
      <c r="J70" s="278"/>
      <c r="K70" s="278"/>
      <c r="M70" s="293"/>
      <c r="N70" s="293"/>
    </row>
    <row r="71" spans="10:14" ht="12.75" x14ac:dyDescent="0.2">
      <c r="J71" s="278"/>
      <c r="K71" s="278"/>
      <c r="M71" s="293"/>
      <c r="N71" s="293"/>
    </row>
    <row r="72" spans="10:14" ht="12.75" x14ac:dyDescent="0.2">
      <c r="J72" s="278"/>
      <c r="K72" s="278"/>
      <c r="M72" s="293"/>
      <c r="N72" s="293"/>
    </row>
    <row r="73" spans="10:14" ht="12.75" x14ac:dyDescent="0.2">
      <c r="J73" s="278"/>
      <c r="K73" s="278"/>
      <c r="M73" s="293"/>
      <c r="N73" s="293"/>
    </row>
    <row r="74" spans="10:14" ht="12.75" x14ac:dyDescent="0.2">
      <c r="J74" s="278"/>
      <c r="K74" s="278"/>
      <c r="M74" s="293"/>
      <c r="N74" s="293"/>
    </row>
    <row r="75" spans="10:14" ht="12.75" x14ac:dyDescent="0.2">
      <c r="J75" s="278"/>
      <c r="K75" s="278"/>
      <c r="M75" s="293"/>
      <c r="N75" s="293"/>
    </row>
    <row r="76" spans="10:14" ht="12.75" x14ac:dyDescent="0.2">
      <c r="J76" s="278"/>
      <c r="K76" s="278"/>
      <c r="M76" s="293"/>
      <c r="N76" s="293"/>
    </row>
    <row r="77" spans="10:14" ht="12.75" x14ac:dyDescent="0.2">
      <c r="J77" s="278"/>
      <c r="K77" s="278"/>
      <c r="M77" s="293"/>
      <c r="N77" s="293"/>
    </row>
    <row r="78" spans="10:14" ht="12.75" x14ac:dyDescent="0.2">
      <c r="J78" s="278"/>
      <c r="K78" s="278"/>
      <c r="M78" s="293"/>
      <c r="N78" s="293"/>
    </row>
    <row r="79" spans="10:14" ht="12.75" x14ac:dyDescent="0.2">
      <c r="J79" s="278"/>
      <c r="K79" s="278"/>
      <c r="M79" s="293"/>
      <c r="N79" s="293"/>
    </row>
    <row r="80" spans="10:14" ht="12.75" x14ac:dyDescent="0.2">
      <c r="J80" s="278"/>
      <c r="K80" s="278"/>
      <c r="M80" s="293"/>
      <c r="N80" s="293"/>
    </row>
    <row r="81" spans="6:14" ht="12.75" x14ac:dyDescent="0.2">
      <c r="J81" s="278"/>
      <c r="K81" s="278"/>
      <c r="M81" s="293"/>
      <c r="N81" s="293"/>
    </row>
    <row r="82" spans="6:14" ht="12.75" x14ac:dyDescent="0.2">
      <c r="J82" s="278"/>
      <c r="K82" s="278"/>
      <c r="M82" s="293"/>
      <c r="N82" s="293"/>
    </row>
    <row r="83" spans="6:14" ht="12.75" x14ac:dyDescent="0.2">
      <c r="J83" s="278"/>
      <c r="K83" s="278"/>
      <c r="M83" s="293"/>
      <c r="N83" s="293"/>
    </row>
    <row r="84" spans="6:14" ht="12.75" x14ac:dyDescent="0.2">
      <c r="J84" s="278"/>
      <c r="K84" s="278"/>
      <c r="M84" s="293"/>
      <c r="N84" s="293"/>
    </row>
    <row r="85" spans="6:14" ht="12.75" x14ac:dyDescent="0.2">
      <c r="J85" s="278"/>
      <c r="K85" s="278"/>
      <c r="M85" s="293"/>
      <c r="N85" s="293"/>
    </row>
    <row r="86" spans="6:14" ht="12.75" x14ac:dyDescent="0.2">
      <c r="J86" s="278"/>
      <c r="K86" s="278"/>
      <c r="M86" s="293"/>
      <c r="N86" s="293"/>
    </row>
    <row r="87" spans="6:14" ht="12.75" x14ac:dyDescent="0.2">
      <c r="J87" s="278"/>
      <c r="K87" s="278"/>
      <c r="M87" s="293"/>
      <c r="N87" s="293"/>
    </row>
    <row r="88" spans="6:14" ht="12.75" x14ac:dyDescent="0.2">
      <c r="J88" s="278"/>
      <c r="K88" s="278"/>
      <c r="M88" s="293"/>
      <c r="N88" s="293"/>
    </row>
    <row r="89" spans="6:14" ht="12.75" x14ac:dyDescent="0.2">
      <c r="J89" s="278"/>
      <c r="K89" s="278"/>
      <c r="M89" s="293"/>
      <c r="N89" s="293"/>
    </row>
    <row r="90" spans="6:14" ht="12.75" x14ac:dyDescent="0.2">
      <c r="F90" s="314"/>
      <c r="G90" s="314"/>
      <c r="H90" s="314"/>
      <c r="J90" s="278"/>
      <c r="K90" s="278"/>
      <c r="M90" s="293"/>
      <c r="N90" s="293"/>
    </row>
    <row r="91" spans="6:14" ht="12.75" x14ac:dyDescent="0.2">
      <c r="F91" s="314"/>
      <c r="G91" s="314"/>
      <c r="H91" s="314"/>
      <c r="J91" s="278"/>
      <c r="K91" s="278"/>
      <c r="M91" s="293"/>
      <c r="N91" s="293"/>
    </row>
    <row r="92" spans="6:14" ht="12.75" x14ac:dyDescent="0.2">
      <c r="F92" s="314"/>
      <c r="G92" s="314"/>
      <c r="H92" s="314"/>
      <c r="J92" s="278"/>
      <c r="K92" s="278"/>
      <c r="M92" s="293"/>
      <c r="N92" s="293"/>
    </row>
    <row r="93" spans="6:14" ht="12.75" x14ac:dyDescent="0.2">
      <c r="F93" s="314"/>
      <c r="G93" s="314"/>
      <c r="H93" s="314"/>
      <c r="J93" s="278"/>
      <c r="K93" s="278"/>
      <c r="M93" s="293"/>
      <c r="N93" s="293"/>
    </row>
    <row r="94" spans="6:14" ht="12.75" x14ac:dyDescent="0.2">
      <c r="F94" s="314"/>
      <c r="G94" s="314"/>
      <c r="H94" s="314"/>
      <c r="J94" s="278"/>
      <c r="K94" s="278"/>
      <c r="M94" s="293"/>
      <c r="N94" s="293"/>
    </row>
    <row r="95" spans="6:14" ht="12.75" x14ac:dyDescent="0.2">
      <c r="F95" s="314"/>
      <c r="G95" s="314"/>
      <c r="H95" s="314"/>
      <c r="J95" s="278"/>
      <c r="K95" s="278"/>
      <c r="M95" s="293"/>
      <c r="N95" s="293"/>
    </row>
    <row r="96" spans="6:14" ht="12.75" x14ac:dyDescent="0.2">
      <c r="F96" s="314"/>
      <c r="G96" s="314"/>
      <c r="H96" s="314"/>
      <c r="J96" s="278"/>
      <c r="K96" s="278"/>
      <c r="M96" s="293"/>
      <c r="N96" s="293"/>
    </row>
    <row r="97" spans="6:14" ht="12.75" x14ac:dyDescent="0.2">
      <c r="F97" s="314"/>
      <c r="G97" s="314"/>
      <c r="H97" s="314"/>
      <c r="J97" s="278"/>
      <c r="K97" s="278"/>
      <c r="M97" s="293"/>
      <c r="N97" s="293"/>
    </row>
    <row r="98" spans="6:14" ht="12.75" x14ac:dyDescent="0.2">
      <c r="F98" s="314"/>
      <c r="G98" s="314"/>
      <c r="H98" s="314"/>
      <c r="J98" s="278"/>
      <c r="K98" s="278"/>
      <c r="M98" s="293"/>
      <c r="N98" s="293"/>
    </row>
    <row r="99" spans="6:14" ht="12.75" x14ac:dyDescent="0.2">
      <c r="F99" s="315"/>
      <c r="G99" s="315"/>
      <c r="H99" s="295"/>
      <c r="J99" s="278"/>
      <c r="K99" s="278"/>
      <c r="M99" s="293"/>
      <c r="N99" s="293"/>
    </row>
    <row r="100" spans="6:14" ht="12.75" x14ac:dyDescent="0.2">
      <c r="F100" s="315"/>
      <c r="G100" s="315"/>
      <c r="H100" s="295"/>
      <c r="J100" s="278"/>
      <c r="K100" s="278"/>
      <c r="M100" s="293"/>
      <c r="N100" s="293"/>
    </row>
    <row r="101" spans="6:14" ht="12.75" x14ac:dyDescent="0.2">
      <c r="F101" s="315"/>
      <c r="G101" s="315"/>
      <c r="H101" s="295"/>
      <c r="J101" s="278"/>
      <c r="K101" s="278"/>
      <c r="M101" s="293"/>
      <c r="N101" s="293"/>
    </row>
    <row r="102" spans="6:14" ht="12.75" x14ac:dyDescent="0.2">
      <c r="F102" s="315"/>
      <c r="G102" s="315"/>
      <c r="H102" s="295"/>
      <c r="J102" s="278"/>
      <c r="K102" s="278"/>
      <c r="M102" s="293"/>
      <c r="N102" s="293"/>
    </row>
    <row r="103" spans="6:14" ht="12.75" x14ac:dyDescent="0.2">
      <c r="F103" s="316"/>
      <c r="G103" s="316"/>
      <c r="H103" s="278"/>
      <c r="J103" s="278"/>
      <c r="K103" s="278"/>
    </row>
    <row r="104" spans="6:14" ht="12.75" x14ac:dyDescent="0.2">
      <c r="F104" s="315"/>
      <c r="G104" s="315"/>
      <c r="H104" s="278"/>
      <c r="J104" s="278"/>
      <c r="K104" s="278"/>
    </row>
    <row r="105" spans="6:14" ht="12.75" x14ac:dyDescent="0.2">
      <c r="F105" s="317"/>
      <c r="G105" s="317"/>
      <c r="H105" s="314"/>
      <c r="J105" s="278"/>
      <c r="K105" s="278"/>
    </row>
    <row r="106" spans="6:14" ht="12.75" x14ac:dyDescent="0.2">
      <c r="F106" s="314"/>
      <c r="G106" s="314"/>
      <c r="H106" s="314"/>
      <c r="J106" s="278"/>
      <c r="K106" s="278"/>
    </row>
    <row r="107" spans="6:14" ht="12.75" x14ac:dyDescent="0.2">
      <c r="F107" s="314"/>
      <c r="G107" s="314"/>
      <c r="H107" s="314"/>
      <c r="J107" s="278"/>
      <c r="K107" s="278"/>
    </row>
    <row r="108" spans="6:14" ht="12.75" x14ac:dyDescent="0.2">
      <c r="F108" s="314"/>
      <c r="G108" s="314"/>
      <c r="H108" s="314"/>
    </row>
    <row r="109" spans="6:14" ht="12.75" x14ac:dyDescent="0.2">
      <c r="F109" s="314"/>
      <c r="G109" s="314"/>
      <c r="H109" s="314"/>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314"/>
      <c r="G120" s="314"/>
      <c r="H120" s="314"/>
    </row>
    <row r="121" spans="6:8" ht="12.75" x14ac:dyDescent="0.2">
      <c r="F121" s="314"/>
      <c r="G121" s="314"/>
      <c r="H121" s="314"/>
    </row>
    <row r="122" spans="6:8" ht="12.75" x14ac:dyDescent="0.2">
      <c r="F122" s="314"/>
      <c r="G122" s="314"/>
      <c r="H122" s="314"/>
    </row>
    <row r="123" spans="6:8" ht="12.75" x14ac:dyDescent="0.2">
      <c r="F123" s="314"/>
      <c r="G123" s="314"/>
      <c r="H123" s="314"/>
    </row>
    <row r="124" spans="6:8" ht="12.75" x14ac:dyDescent="0.2">
      <c r="F124" s="314"/>
      <c r="G124" s="314"/>
      <c r="H124" s="314"/>
    </row>
    <row r="125" spans="6:8" ht="12.75" x14ac:dyDescent="0.2">
      <c r="F125" s="314"/>
      <c r="G125" s="314"/>
      <c r="H125" s="314"/>
    </row>
    <row r="126" spans="6:8" ht="12.75" x14ac:dyDescent="0.2">
      <c r="F126" s="314"/>
      <c r="G126" s="314"/>
      <c r="H126" s="314"/>
    </row>
    <row r="127" spans="6:8" ht="12.75" x14ac:dyDescent="0.2">
      <c r="F127" s="314"/>
      <c r="G127" s="314"/>
      <c r="H127" s="314"/>
    </row>
    <row r="128" spans="6:8" ht="12.75" x14ac:dyDescent="0.2">
      <c r="F128" s="314"/>
      <c r="G128" s="314"/>
      <c r="H128" s="314"/>
    </row>
    <row r="129" spans="6:8" ht="12.75" x14ac:dyDescent="0.2">
      <c r="F129" s="314"/>
      <c r="G129" s="314"/>
      <c r="H129" s="314"/>
    </row>
    <row r="130" spans="6:8" ht="12.75" x14ac:dyDescent="0.2">
      <c r="F130" s="314"/>
      <c r="G130" s="314"/>
      <c r="H130" s="314"/>
    </row>
    <row r="131" spans="6:8" ht="12.75" x14ac:dyDescent="0.2">
      <c r="F131" s="314"/>
      <c r="G131" s="314"/>
      <c r="H131" s="314"/>
    </row>
    <row r="132" spans="6:8" ht="12.75" x14ac:dyDescent="0.2">
      <c r="F132" s="314"/>
      <c r="G132" s="314"/>
      <c r="H132" s="314"/>
    </row>
    <row r="133" spans="6:8" ht="12.75" x14ac:dyDescent="0.2">
      <c r="F133" s="314"/>
      <c r="G133" s="314"/>
      <c r="H133" s="314"/>
    </row>
    <row r="134" spans="6:8" ht="12.75" x14ac:dyDescent="0.2">
      <c r="F134" s="314"/>
      <c r="G134" s="314"/>
      <c r="H134" s="314"/>
    </row>
    <row r="135" spans="6:8" ht="12.75" x14ac:dyDescent="0.2">
      <c r="F135" s="314"/>
      <c r="G135" s="314"/>
      <c r="H135" s="314"/>
    </row>
    <row r="136" spans="6:8" ht="12.75" x14ac:dyDescent="0.2">
      <c r="F136" s="314"/>
      <c r="G136" s="314"/>
      <c r="H136" s="314"/>
    </row>
    <row r="137" spans="6:8" ht="12.75" x14ac:dyDescent="0.2">
      <c r="F137" s="314"/>
      <c r="G137" s="314"/>
      <c r="H137" s="314"/>
    </row>
    <row r="138" spans="6:8" ht="12.75" x14ac:dyDescent="0.2">
      <c r="F138" s="314"/>
      <c r="G138" s="314"/>
      <c r="H138" s="314"/>
    </row>
    <row r="139" spans="6:8" ht="12.75" x14ac:dyDescent="0.2">
      <c r="F139" s="314"/>
      <c r="G139" s="314"/>
      <c r="H139" s="314"/>
    </row>
  </sheetData>
  <sheetProtection password="DE55"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8"/>
  <sheetViews>
    <sheetView zoomScale="84" zoomScaleNormal="84" workbookViewId="0"/>
  </sheetViews>
  <sheetFormatPr defaultRowHeight="12.75" x14ac:dyDescent="0.2"/>
  <cols>
    <col min="1" max="1" width="33.7109375" style="1" customWidth="1"/>
    <col min="2" max="20" width="10.7109375" style="1" customWidth="1"/>
    <col min="21" max="16384" width="9.140625" style="1"/>
  </cols>
  <sheetData>
    <row r="2" spans="1:20" x14ac:dyDescent="0.2">
      <c r="A2" s="1" t="s">
        <v>0</v>
      </c>
      <c r="B2" s="2">
        <v>2014</v>
      </c>
      <c r="C2" s="3" t="s">
        <v>1</v>
      </c>
    </row>
    <row r="3" spans="1:20" x14ac:dyDescent="0.2">
      <c r="A3" s="1" t="s">
        <v>2</v>
      </c>
      <c r="B3" s="2" t="s">
        <v>300</v>
      </c>
    </row>
    <row r="5" spans="1:20" x14ac:dyDescent="0.2">
      <c r="A5" s="4" t="s">
        <v>3</v>
      </c>
      <c r="B5" s="5">
        <v>41640</v>
      </c>
      <c r="E5" s="6"/>
      <c r="O5" s="7"/>
      <c r="P5" s="7"/>
      <c r="Q5" s="7"/>
      <c r="R5" s="7"/>
      <c r="S5" s="7"/>
    </row>
    <row r="6" spans="1:20" x14ac:dyDescent="0.2">
      <c r="A6" s="1" t="s">
        <v>4</v>
      </c>
      <c r="B6" s="8">
        <v>1</v>
      </c>
      <c r="C6" s="8">
        <v>2</v>
      </c>
      <c r="D6" s="8">
        <v>3</v>
      </c>
      <c r="E6" s="8">
        <v>4</v>
      </c>
      <c r="F6" s="8">
        <v>5</v>
      </c>
      <c r="G6" s="8">
        <v>6</v>
      </c>
      <c r="H6" s="8">
        <v>7</v>
      </c>
      <c r="I6" s="8">
        <v>8</v>
      </c>
      <c r="J6" s="8">
        <v>9</v>
      </c>
      <c r="K6" s="8">
        <v>10</v>
      </c>
      <c r="L6" s="8">
        <v>11</v>
      </c>
      <c r="M6" s="8">
        <v>12</v>
      </c>
      <c r="N6" s="8">
        <v>13</v>
      </c>
      <c r="O6" s="8">
        <v>14</v>
      </c>
      <c r="P6" s="8">
        <v>15</v>
      </c>
      <c r="Q6" s="8">
        <v>16</v>
      </c>
      <c r="R6" s="8">
        <v>17</v>
      </c>
      <c r="S6" s="8">
        <v>18</v>
      </c>
      <c r="T6" s="8" t="s">
        <v>5</v>
      </c>
    </row>
    <row r="7" spans="1:20" x14ac:dyDescent="0.2">
      <c r="A7" s="9" t="s">
        <v>6</v>
      </c>
      <c r="B7" s="323">
        <v>2445</v>
      </c>
      <c r="C7" s="323">
        <v>2505</v>
      </c>
      <c r="D7" s="323">
        <v>2581</v>
      </c>
      <c r="E7" s="323">
        <v>2657</v>
      </c>
      <c r="F7" s="323">
        <v>2734</v>
      </c>
      <c r="G7" s="323">
        <v>2829</v>
      </c>
      <c r="H7" s="323">
        <v>2940</v>
      </c>
      <c r="I7" s="323">
        <v>3066</v>
      </c>
      <c r="J7" s="323">
        <v>3209</v>
      </c>
      <c r="K7" s="323">
        <v>3368</v>
      </c>
      <c r="L7" s="323">
        <v>3544</v>
      </c>
      <c r="M7" s="323">
        <v>3739</v>
      </c>
      <c r="N7" s="10"/>
      <c r="O7" s="11"/>
      <c r="P7" s="11"/>
      <c r="Q7" s="11"/>
      <c r="R7" s="11"/>
      <c r="S7" s="11"/>
      <c r="T7" s="6">
        <f>COUNTA(B7:S7)</f>
        <v>12</v>
      </c>
    </row>
    <row r="8" spans="1:20" x14ac:dyDescent="0.2">
      <c r="A8" s="9" t="s">
        <v>7</v>
      </c>
      <c r="B8" s="323">
        <v>2460</v>
      </c>
      <c r="C8" s="323">
        <v>2578</v>
      </c>
      <c r="D8" s="323">
        <v>2713</v>
      </c>
      <c r="E8" s="323">
        <v>2848</v>
      </c>
      <c r="F8" s="323">
        <v>2982</v>
      </c>
      <c r="G8" s="323">
        <v>3132</v>
      </c>
      <c r="H8" s="323">
        <v>3298</v>
      </c>
      <c r="I8" s="323">
        <v>3479</v>
      </c>
      <c r="J8" s="323">
        <v>3676</v>
      </c>
      <c r="K8" s="323">
        <v>3889</v>
      </c>
      <c r="L8" s="323">
        <v>4117</v>
      </c>
      <c r="M8" s="323">
        <v>4361</v>
      </c>
      <c r="N8" s="10"/>
      <c r="O8" s="11"/>
      <c r="P8" s="11"/>
      <c r="Q8" s="11"/>
      <c r="R8" s="11"/>
      <c r="S8" s="11"/>
      <c r="T8" s="6">
        <f t="shared" ref="T8:T31" si="0">COUNTA(B8:S8)</f>
        <v>12</v>
      </c>
    </row>
    <row r="9" spans="1:20" x14ac:dyDescent="0.2">
      <c r="A9" s="9" t="s">
        <v>8</v>
      </c>
      <c r="B9" s="323">
        <v>2470</v>
      </c>
      <c r="C9" s="323">
        <v>2617</v>
      </c>
      <c r="D9" s="323">
        <v>2788</v>
      </c>
      <c r="E9" s="323">
        <v>2959</v>
      </c>
      <c r="F9" s="323">
        <v>3130</v>
      </c>
      <c r="G9" s="323">
        <v>3323</v>
      </c>
      <c r="H9" s="323">
        <v>3538</v>
      </c>
      <c r="I9" s="323">
        <v>3778</v>
      </c>
      <c r="J9" s="323">
        <v>4039</v>
      </c>
      <c r="K9" s="323">
        <v>4324</v>
      </c>
      <c r="L9" s="323">
        <v>4631</v>
      </c>
      <c r="M9" s="323">
        <v>4962</v>
      </c>
      <c r="N9" s="10"/>
      <c r="O9" s="11"/>
      <c r="P9" s="11"/>
      <c r="Q9" s="11"/>
      <c r="R9" s="11"/>
      <c r="S9" s="11"/>
      <c r="T9" s="6">
        <f t="shared" si="0"/>
        <v>12</v>
      </c>
    </row>
    <row r="10" spans="1:20" x14ac:dyDescent="0.2">
      <c r="A10" s="9" t="s">
        <v>9</v>
      </c>
      <c r="B10" s="323">
        <v>3177</v>
      </c>
      <c r="C10" s="323">
        <v>3296</v>
      </c>
      <c r="D10" s="323">
        <v>3402</v>
      </c>
      <c r="E10" s="323">
        <v>3617</v>
      </c>
      <c r="F10" s="323">
        <v>3856</v>
      </c>
      <c r="G10" s="323">
        <v>4074</v>
      </c>
      <c r="H10" s="323">
        <v>4291</v>
      </c>
      <c r="I10" s="323">
        <v>4509</v>
      </c>
      <c r="J10" s="323">
        <v>4727</v>
      </c>
      <c r="K10" s="323">
        <v>4944</v>
      </c>
      <c r="L10" s="323">
        <v>5161</v>
      </c>
      <c r="M10" s="323">
        <v>5381</v>
      </c>
      <c r="N10" s="10"/>
      <c r="O10" s="11"/>
      <c r="P10" s="11"/>
      <c r="Q10" s="11"/>
      <c r="R10" s="11"/>
      <c r="S10" s="11"/>
      <c r="T10" s="6">
        <f t="shared" si="0"/>
        <v>12</v>
      </c>
    </row>
    <row r="11" spans="1:20" x14ac:dyDescent="0.2">
      <c r="A11" s="1">
        <v>1</v>
      </c>
      <c r="B11" s="11">
        <v>1512</v>
      </c>
      <c r="C11" s="11">
        <v>1573</v>
      </c>
      <c r="D11" s="11">
        <v>1632</v>
      </c>
      <c r="E11" s="11">
        <v>1660</v>
      </c>
      <c r="F11" s="11">
        <v>1692</v>
      </c>
      <c r="G11" s="11">
        <v>1723</v>
      </c>
      <c r="H11" s="11">
        <v>1765</v>
      </c>
      <c r="I11" s="11"/>
      <c r="J11" s="11"/>
      <c r="K11" s="11"/>
      <c r="L11" s="11"/>
      <c r="M11" s="11"/>
      <c r="N11" s="11"/>
      <c r="O11" s="11"/>
      <c r="P11" s="11"/>
      <c r="Q11" s="11"/>
      <c r="R11" s="11"/>
      <c r="S11" s="11"/>
      <c r="T11" s="6">
        <f t="shared" si="0"/>
        <v>7</v>
      </c>
    </row>
    <row r="12" spans="1:20" x14ac:dyDescent="0.2">
      <c r="A12" s="1">
        <v>2</v>
      </c>
      <c r="B12" s="11">
        <v>1545</v>
      </c>
      <c r="C12" s="11">
        <v>1604</v>
      </c>
      <c r="D12" s="11">
        <v>1660</v>
      </c>
      <c r="E12" s="11">
        <v>1723</v>
      </c>
      <c r="F12" s="11">
        <v>1765</v>
      </c>
      <c r="G12" s="11">
        <v>1814</v>
      </c>
      <c r="H12" s="11">
        <v>1873</v>
      </c>
      <c r="I12" s="11">
        <v>1928</v>
      </c>
      <c r="J12" s="11"/>
      <c r="K12" s="11"/>
      <c r="L12" s="11"/>
      <c r="M12" s="11"/>
      <c r="N12" s="11"/>
      <c r="O12" s="11"/>
      <c r="P12" s="11"/>
      <c r="Q12" s="11"/>
      <c r="R12" s="11"/>
      <c r="S12" s="11"/>
      <c r="T12" s="6">
        <f t="shared" si="0"/>
        <v>8</v>
      </c>
    </row>
    <row r="13" spans="1:20" x14ac:dyDescent="0.2">
      <c r="A13" s="1">
        <v>3</v>
      </c>
      <c r="B13" s="11">
        <v>1545</v>
      </c>
      <c r="C13" s="11">
        <v>1660</v>
      </c>
      <c r="D13" s="11">
        <v>1723</v>
      </c>
      <c r="E13" s="11">
        <v>1814</v>
      </c>
      <c r="F13" s="11">
        <v>1873</v>
      </c>
      <c r="G13" s="11">
        <v>1928</v>
      </c>
      <c r="H13" s="11">
        <v>1983</v>
      </c>
      <c r="I13" s="11">
        <v>2036</v>
      </c>
      <c r="J13" s="11">
        <v>2089</v>
      </c>
      <c r="K13" s="11"/>
      <c r="L13" s="11"/>
      <c r="M13" s="11"/>
      <c r="N13" s="11"/>
      <c r="O13" s="11"/>
      <c r="P13" s="11"/>
      <c r="Q13" s="11"/>
      <c r="R13" s="11"/>
      <c r="S13" s="11"/>
      <c r="T13" s="6">
        <f t="shared" si="0"/>
        <v>9</v>
      </c>
    </row>
    <row r="14" spans="1:20" x14ac:dyDescent="0.2">
      <c r="A14" s="1">
        <v>4</v>
      </c>
      <c r="B14" s="11">
        <v>1573</v>
      </c>
      <c r="C14" s="11">
        <v>1632</v>
      </c>
      <c r="D14" s="11">
        <v>1692</v>
      </c>
      <c r="E14" s="11">
        <v>1765</v>
      </c>
      <c r="F14" s="11">
        <v>1873</v>
      </c>
      <c r="G14" s="11">
        <v>1928</v>
      </c>
      <c r="H14" s="11">
        <v>1983</v>
      </c>
      <c r="I14" s="11">
        <v>2036</v>
      </c>
      <c r="J14" s="11">
        <v>2089</v>
      </c>
      <c r="K14" s="11">
        <v>2140</v>
      </c>
      <c r="L14" s="11">
        <v>2191</v>
      </c>
      <c r="M14" s="11"/>
      <c r="N14" s="11"/>
      <c r="O14" s="11"/>
      <c r="P14" s="11"/>
      <c r="Q14" s="11"/>
      <c r="R14" s="11"/>
      <c r="S14" s="11"/>
      <c r="T14" s="6">
        <f t="shared" si="0"/>
        <v>11</v>
      </c>
    </row>
    <row r="15" spans="1:20" x14ac:dyDescent="0.2">
      <c r="A15" s="1">
        <v>5</v>
      </c>
      <c r="B15" s="11">
        <v>1604</v>
      </c>
      <c r="C15" s="11">
        <v>1632</v>
      </c>
      <c r="D15" s="11">
        <v>1723</v>
      </c>
      <c r="E15" s="11">
        <v>1814</v>
      </c>
      <c r="F15" s="11">
        <v>1928</v>
      </c>
      <c r="G15" s="11">
        <v>1983</v>
      </c>
      <c r="H15" s="11">
        <v>2036</v>
      </c>
      <c r="I15" s="11">
        <v>2089</v>
      </c>
      <c r="J15" s="11">
        <v>2140</v>
      </c>
      <c r="K15" s="11">
        <v>2191</v>
      </c>
      <c r="L15" s="11">
        <v>2243</v>
      </c>
      <c r="M15" s="11">
        <v>2302</v>
      </c>
      <c r="N15" s="11"/>
      <c r="O15" s="11"/>
      <c r="P15" s="11"/>
      <c r="Q15" s="11"/>
      <c r="R15" s="11"/>
      <c r="S15" s="11"/>
      <c r="T15" s="6">
        <f t="shared" si="0"/>
        <v>12</v>
      </c>
    </row>
    <row r="16" spans="1:20" x14ac:dyDescent="0.2">
      <c r="A16" s="1">
        <v>6</v>
      </c>
      <c r="B16" s="11">
        <v>1660</v>
      </c>
      <c r="C16" s="11">
        <v>1723</v>
      </c>
      <c r="D16" s="11">
        <v>1928</v>
      </c>
      <c r="E16" s="11">
        <v>2036</v>
      </c>
      <c r="F16" s="11">
        <v>2089</v>
      </c>
      <c r="G16" s="11">
        <v>2140</v>
      </c>
      <c r="H16" s="11">
        <v>2191</v>
      </c>
      <c r="I16" s="11">
        <v>2243</v>
      </c>
      <c r="J16" s="11">
        <v>2302</v>
      </c>
      <c r="K16" s="11">
        <v>2359</v>
      </c>
      <c r="L16" s="11">
        <v>2412</v>
      </c>
      <c r="M16" s="11"/>
      <c r="N16" s="11"/>
      <c r="O16" s="11"/>
      <c r="P16" s="11"/>
      <c r="Q16" s="11"/>
      <c r="R16" s="11"/>
      <c r="S16" s="11"/>
      <c r="T16" s="6">
        <f t="shared" si="0"/>
        <v>11</v>
      </c>
    </row>
    <row r="17" spans="1:20" x14ac:dyDescent="0.2">
      <c r="A17" s="1">
        <v>7</v>
      </c>
      <c r="B17" s="11">
        <v>1765</v>
      </c>
      <c r="C17" s="11">
        <v>1814</v>
      </c>
      <c r="D17" s="11">
        <v>1928</v>
      </c>
      <c r="E17" s="11">
        <v>2140</v>
      </c>
      <c r="F17" s="11">
        <v>2243</v>
      </c>
      <c r="G17" s="11">
        <v>2302</v>
      </c>
      <c r="H17" s="11">
        <v>2359</v>
      </c>
      <c r="I17" s="11">
        <v>2412</v>
      </c>
      <c r="J17" s="11">
        <v>2470</v>
      </c>
      <c r="K17" s="11">
        <v>2530</v>
      </c>
      <c r="L17" s="11">
        <v>2590</v>
      </c>
      <c r="M17" s="11">
        <v>2660</v>
      </c>
      <c r="N17" s="11"/>
      <c r="O17" s="11"/>
      <c r="P17" s="11"/>
      <c r="Q17" s="11"/>
      <c r="R17" s="11"/>
      <c r="S17" s="11"/>
      <c r="T17" s="6">
        <f t="shared" si="0"/>
        <v>12</v>
      </c>
    </row>
    <row r="18" spans="1:20" x14ac:dyDescent="0.2">
      <c r="A18" s="1">
        <v>8</v>
      </c>
      <c r="B18" s="11">
        <v>1983</v>
      </c>
      <c r="C18" s="11">
        <v>2036</v>
      </c>
      <c r="D18" s="11">
        <v>2140</v>
      </c>
      <c r="E18" s="11">
        <v>2359</v>
      </c>
      <c r="F18" s="11">
        <v>2470</v>
      </c>
      <c r="G18" s="11">
        <v>2590</v>
      </c>
      <c r="H18" s="11">
        <v>2660</v>
      </c>
      <c r="I18" s="11">
        <v>2723</v>
      </c>
      <c r="J18" s="11">
        <v>2779</v>
      </c>
      <c r="K18" s="11">
        <v>2840</v>
      </c>
      <c r="L18" s="11">
        <v>2900</v>
      </c>
      <c r="M18" s="11">
        <v>2956</v>
      </c>
      <c r="N18" s="11">
        <v>3009</v>
      </c>
      <c r="O18" s="11"/>
      <c r="P18" s="11"/>
      <c r="Q18" s="11"/>
      <c r="R18" s="11"/>
      <c r="S18" s="11"/>
      <c r="T18" s="6">
        <f t="shared" si="0"/>
        <v>13</v>
      </c>
    </row>
    <row r="19" spans="1:20" x14ac:dyDescent="0.2">
      <c r="A19" s="1">
        <v>9</v>
      </c>
      <c r="B19" s="11">
        <v>2243</v>
      </c>
      <c r="C19" s="11">
        <v>2359</v>
      </c>
      <c r="D19" s="11">
        <v>2590</v>
      </c>
      <c r="E19" s="11">
        <v>2723</v>
      </c>
      <c r="F19" s="11">
        <v>2840</v>
      </c>
      <c r="G19" s="11">
        <v>2956</v>
      </c>
      <c r="H19" s="11">
        <v>3067</v>
      </c>
      <c r="I19" s="11">
        <v>3177</v>
      </c>
      <c r="J19" s="11">
        <v>3296</v>
      </c>
      <c r="K19" s="11">
        <v>3402</v>
      </c>
      <c r="L19" s="11"/>
      <c r="M19" s="11"/>
      <c r="N19" s="11"/>
      <c r="O19" s="11"/>
      <c r="P19" s="11"/>
      <c r="Q19" s="11"/>
      <c r="R19" s="11"/>
      <c r="S19" s="11"/>
      <c r="T19" s="6">
        <f t="shared" si="0"/>
        <v>10</v>
      </c>
    </row>
    <row r="20" spans="1:20" x14ac:dyDescent="0.2">
      <c r="A20" s="1">
        <v>10</v>
      </c>
      <c r="B20" s="11">
        <v>2243</v>
      </c>
      <c r="C20" s="11">
        <v>2470</v>
      </c>
      <c r="D20" s="11">
        <v>2590</v>
      </c>
      <c r="E20" s="11">
        <v>2723</v>
      </c>
      <c r="F20" s="11">
        <v>2840</v>
      </c>
      <c r="G20" s="11">
        <v>2956</v>
      </c>
      <c r="H20" s="11">
        <v>3067</v>
      </c>
      <c r="I20" s="11">
        <v>3177</v>
      </c>
      <c r="J20" s="11">
        <v>3296</v>
      </c>
      <c r="K20" s="11">
        <v>3402</v>
      </c>
      <c r="L20" s="11">
        <v>3511</v>
      </c>
      <c r="M20" s="11">
        <v>3617</v>
      </c>
      <c r="N20" s="11">
        <v>3739</v>
      </c>
      <c r="O20" s="11"/>
      <c r="P20" s="11"/>
      <c r="Q20" s="11"/>
      <c r="R20" s="11"/>
      <c r="S20" s="11"/>
      <c r="T20" s="6">
        <f t="shared" si="0"/>
        <v>13</v>
      </c>
    </row>
    <row r="21" spans="1:20" x14ac:dyDescent="0.2">
      <c r="A21" s="1">
        <v>11</v>
      </c>
      <c r="B21" s="11">
        <v>2359</v>
      </c>
      <c r="C21" s="11">
        <v>2470</v>
      </c>
      <c r="D21" s="11">
        <v>2590</v>
      </c>
      <c r="E21" s="11">
        <v>2723</v>
      </c>
      <c r="F21" s="11">
        <v>2848</v>
      </c>
      <c r="G21" s="11">
        <v>2972</v>
      </c>
      <c r="H21" s="11">
        <v>3097</v>
      </c>
      <c r="I21" s="11">
        <v>3296</v>
      </c>
      <c r="J21" s="11">
        <v>3429</v>
      </c>
      <c r="K21" s="11">
        <v>3562</v>
      </c>
      <c r="L21" s="11">
        <v>3695</v>
      </c>
      <c r="M21" s="11">
        <v>3829</v>
      </c>
      <c r="N21" s="11">
        <v>3962</v>
      </c>
      <c r="O21" s="11">
        <v>4095</v>
      </c>
      <c r="P21" s="11">
        <v>4229</v>
      </c>
      <c r="Q21" s="11">
        <v>4361</v>
      </c>
      <c r="R21" s="11"/>
      <c r="S21" s="11"/>
      <c r="T21" s="6">
        <f t="shared" si="0"/>
        <v>16</v>
      </c>
    </row>
    <row r="22" spans="1:20" x14ac:dyDescent="0.2">
      <c r="A22" s="1">
        <v>12</v>
      </c>
      <c r="B22" s="11">
        <v>3177</v>
      </c>
      <c r="C22" s="11">
        <v>3296</v>
      </c>
      <c r="D22" s="11">
        <v>3402</v>
      </c>
      <c r="E22" s="11">
        <v>3511</v>
      </c>
      <c r="F22" s="11">
        <v>3617</v>
      </c>
      <c r="G22" s="11">
        <v>3739</v>
      </c>
      <c r="H22" s="11">
        <v>3973</v>
      </c>
      <c r="I22" s="11">
        <v>4083</v>
      </c>
      <c r="J22" s="11">
        <v>4196</v>
      </c>
      <c r="K22" s="11">
        <v>4304</v>
      </c>
      <c r="L22" s="11">
        <v>4419</v>
      </c>
      <c r="M22" s="11">
        <v>4531</v>
      </c>
      <c r="N22" s="11">
        <v>4640</v>
      </c>
      <c r="O22" s="11">
        <v>4751</v>
      </c>
      <c r="P22" s="11">
        <v>4891</v>
      </c>
      <c r="Q22" s="11">
        <v>4962</v>
      </c>
      <c r="R22" s="11"/>
      <c r="S22" s="11"/>
      <c r="T22" s="6">
        <f t="shared" si="0"/>
        <v>16</v>
      </c>
    </row>
    <row r="23" spans="1:20" x14ac:dyDescent="0.2">
      <c r="A23" s="1">
        <v>13</v>
      </c>
      <c r="B23" s="11">
        <v>3856</v>
      </c>
      <c r="C23" s="11">
        <v>3973</v>
      </c>
      <c r="D23" s="11">
        <v>4083</v>
      </c>
      <c r="E23" s="11">
        <v>4196</v>
      </c>
      <c r="F23" s="11">
        <v>4304</v>
      </c>
      <c r="G23" s="11">
        <v>4531</v>
      </c>
      <c r="H23" s="11">
        <v>4640</v>
      </c>
      <c r="I23" s="11">
        <v>4751</v>
      </c>
      <c r="J23" s="11">
        <v>4891</v>
      </c>
      <c r="K23" s="11">
        <v>5032</v>
      </c>
      <c r="L23" s="11">
        <v>5172</v>
      </c>
      <c r="M23" s="11">
        <v>5313</v>
      </c>
      <c r="N23" s="11">
        <v>5381</v>
      </c>
      <c r="O23" s="11"/>
      <c r="P23" s="11"/>
      <c r="Q23" s="11"/>
      <c r="R23" s="11"/>
      <c r="S23" s="11"/>
      <c r="T23" s="6">
        <f t="shared" si="0"/>
        <v>13</v>
      </c>
    </row>
    <row r="24" spans="1:20" x14ac:dyDescent="0.2">
      <c r="A24" s="1">
        <v>14</v>
      </c>
      <c r="B24" s="11">
        <v>4419</v>
      </c>
      <c r="C24" s="11">
        <v>4531</v>
      </c>
      <c r="D24" s="11">
        <v>4751</v>
      </c>
      <c r="E24" s="11">
        <v>4891</v>
      </c>
      <c r="F24" s="11">
        <v>5032</v>
      </c>
      <c r="G24" s="11">
        <v>5172</v>
      </c>
      <c r="H24" s="11">
        <v>5313</v>
      </c>
      <c r="I24" s="11">
        <v>5455</v>
      </c>
      <c r="J24" s="11">
        <v>5603</v>
      </c>
      <c r="K24" s="11">
        <v>5756</v>
      </c>
      <c r="L24" s="11">
        <v>5913</v>
      </c>
      <c r="M24" s="11"/>
      <c r="N24" s="11"/>
      <c r="O24" s="11"/>
      <c r="P24" s="11"/>
      <c r="Q24" s="11"/>
      <c r="R24" s="11"/>
      <c r="S24" s="11"/>
      <c r="T24" s="6">
        <f t="shared" si="0"/>
        <v>11</v>
      </c>
    </row>
    <row r="25" spans="1:20" x14ac:dyDescent="0.2">
      <c r="A25" s="1">
        <v>15</v>
      </c>
      <c r="B25" s="11">
        <v>4640</v>
      </c>
      <c r="C25" s="11">
        <v>4751</v>
      </c>
      <c r="D25" s="11">
        <v>4891</v>
      </c>
      <c r="E25" s="11">
        <v>5172</v>
      </c>
      <c r="F25" s="11">
        <v>5313</v>
      </c>
      <c r="G25" s="11">
        <v>5455</v>
      </c>
      <c r="H25" s="11">
        <v>5603</v>
      </c>
      <c r="I25" s="11">
        <v>5756</v>
      </c>
      <c r="J25" s="11">
        <v>5913</v>
      </c>
      <c r="K25" s="11">
        <v>6101</v>
      </c>
      <c r="L25" s="11">
        <v>6296</v>
      </c>
      <c r="M25" s="11">
        <v>6495</v>
      </c>
      <c r="N25" s="11"/>
      <c r="O25" s="11"/>
      <c r="P25" s="11"/>
      <c r="Q25" s="11"/>
      <c r="R25" s="11"/>
      <c r="S25" s="11"/>
      <c r="T25" s="6">
        <f t="shared" si="0"/>
        <v>12</v>
      </c>
    </row>
    <row r="26" spans="1:20" x14ac:dyDescent="0.2">
      <c r="A26" s="1">
        <v>16</v>
      </c>
      <c r="B26" s="11">
        <v>5032</v>
      </c>
      <c r="C26" s="11">
        <v>5172</v>
      </c>
      <c r="D26" s="11">
        <v>5313</v>
      </c>
      <c r="E26" s="11">
        <v>5603</v>
      </c>
      <c r="F26" s="11">
        <v>5756</v>
      </c>
      <c r="G26" s="11">
        <v>5913</v>
      </c>
      <c r="H26" s="11">
        <v>6101</v>
      </c>
      <c r="I26" s="11">
        <v>6296</v>
      </c>
      <c r="J26" s="11">
        <v>6495</v>
      </c>
      <c r="K26" s="11">
        <v>6704</v>
      </c>
      <c r="L26" s="11">
        <v>6916</v>
      </c>
      <c r="M26" s="11">
        <v>7137</v>
      </c>
      <c r="N26" s="11"/>
      <c r="O26" s="11"/>
      <c r="P26" s="11"/>
      <c r="Q26" s="11"/>
      <c r="R26" s="11"/>
      <c r="S26" s="11"/>
      <c r="T26" s="6">
        <f t="shared" si="0"/>
        <v>12</v>
      </c>
    </row>
    <row r="27" spans="1:20" x14ac:dyDescent="0.2">
      <c r="A27" s="1">
        <v>17</v>
      </c>
      <c r="B27" s="11">
        <v>5455</v>
      </c>
      <c r="C27" s="11">
        <v>5603</v>
      </c>
      <c r="D27" s="11">
        <v>5756</v>
      </c>
      <c r="E27" s="11">
        <v>6101</v>
      </c>
      <c r="F27" s="11">
        <v>6296</v>
      </c>
      <c r="G27" s="11">
        <v>6495</v>
      </c>
      <c r="H27" s="11">
        <v>6704</v>
      </c>
      <c r="I27" s="11">
        <v>6916</v>
      </c>
      <c r="J27" s="11">
        <v>7137</v>
      </c>
      <c r="K27" s="11">
        <v>7366</v>
      </c>
      <c r="L27" s="11">
        <v>7600</v>
      </c>
      <c r="M27" s="11">
        <v>7842</v>
      </c>
      <c r="N27" s="11"/>
      <c r="O27" s="11"/>
      <c r="P27" s="11"/>
      <c r="Q27" s="11"/>
      <c r="R27" s="11"/>
      <c r="S27" s="11"/>
      <c r="T27" s="6">
        <f t="shared" si="0"/>
        <v>12</v>
      </c>
    </row>
    <row r="28" spans="1:20" x14ac:dyDescent="0.2">
      <c r="A28" s="1" t="s">
        <v>10</v>
      </c>
      <c r="B28" s="324">
        <v>1485.65</v>
      </c>
      <c r="C28" s="324">
        <f>+(B28+B11)/2</f>
        <v>1498.825</v>
      </c>
      <c r="D28" s="11">
        <v>1512</v>
      </c>
      <c r="E28" s="11">
        <v>1573</v>
      </c>
      <c r="F28" s="11">
        <v>1632</v>
      </c>
      <c r="G28" s="11">
        <v>1660</v>
      </c>
      <c r="H28" s="11">
        <v>1692</v>
      </c>
      <c r="I28" s="11">
        <v>1723</v>
      </c>
      <c r="J28" s="11">
        <v>1765</v>
      </c>
      <c r="K28" s="11"/>
      <c r="L28" s="11"/>
      <c r="M28" s="11"/>
      <c r="N28" s="11"/>
      <c r="O28" s="11"/>
      <c r="P28" s="11"/>
      <c r="Q28" s="11"/>
      <c r="R28" s="11"/>
      <c r="S28" s="11"/>
      <c r="T28" s="6">
        <f t="shared" si="0"/>
        <v>9</v>
      </c>
    </row>
    <row r="29" spans="1:20" x14ac:dyDescent="0.2">
      <c r="A29" s="1" t="s">
        <v>11</v>
      </c>
      <c r="B29" s="11">
        <v>1545</v>
      </c>
      <c r="C29" s="11">
        <v>1604</v>
      </c>
      <c r="D29" s="11">
        <v>1660</v>
      </c>
      <c r="E29" s="11">
        <v>1723</v>
      </c>
      <c r="F29" s="11">
        <v>1765</v>
      </c>
      <c r="G29" s="11">
        <v>1814</v>
      </c>
      <c r="H29" s="11">
        <v>1873</v>
      </c>
      <c r="I29" s="11">
        <v>1928</v>
      </c>
      <c r="J29" s="11"/>
      <c r="K29" s="11"/>
      <c r="L29" s="11"/>
      <c r="M29" s="11"/>
      <c r="N29" s="11"/>
      <c r="O29" s="11"/>
      <c r="P29" s="11"/>
      <c r="Q29" s="11"/>
      <c r="R29" s="11"/>
      <c r="S29" s="11"/>
      <c r="T29" s="6">
        <f t="shared" si="0"/>
        <v>8</v>
      </c>
    </row>
    <row r="30" spans="1:20" x14ac:dyDescent="0.2">
      <c r="A30" s="1" t="s">
        <v>12</v>
      </c>
      <c r="B30" s="11">
        <v>1545</v>
      </c>
      <c r="C30" s="11">
        <v>1660</v>
      </c>
      <c r="D30" s="11">
        <v>1723</v>
      </c>
      <c r="E30" s="11">
        <v>1814</v>
      </c>
      <c r="F30" s="11">
        <v>1873</v>
      </c>
      <c r="G30" s="11">
        <v>1928</v>
      </c>
      <c r="H30" s="11">
        <v>1983</v>
      </c>
      <c r="I30" s="11"/>
      <c r="J30" s="11"/>
      <c r="K30" s="11"/>
      <c r="L30" s="11"/>
      <c r="M30" s="11"/>
      <c r="N30" s="11"/>
      <c r="O30" s="11"/>
      <c r="P30" s="11"/>
      <c r="Q30" s="11"/>
      <c r="R30" s="11"/>
      <c r="S30" s="11"/>
      <c r="T30" s="6">
        <f t="shared" si="0"/>
        <v>7</v>
      </c>
    </row>
    <row r="31" spans="1:20" x14ac:dyDescent="0.2">
      <c r="A31" s="1" t="s">
        <v>13</v>
      </c>
      <c r="B31" s="11">
        <v>1235</v>
      </c>
      <c r="C31" s="11"/>
      <c r="D31" s="11"/>
      <c r="E31" s="11"/>
      <c r="F31" s="11"/>
      <c r="G31" s="11"/>
      <c r="H31" s="11"/>
      <c r="I31" s="11"/>
      <c r="J31" s="11"/>
      <c r="K31" s="11"/>
      <c r="L31" s="11"/>
      <c r="M31" s="11"/>
      <c r="N31" s="11"/>
      <c r="O31" s="11"/>
      <c r="P31" s="11"/>
      <c r="Q31" s="11"/>
      <c r="R31" s="11"/>
      <c r="S31" s="11"/>
      <c r="T31" s="6">
        <f t="shared" si="0"/>
        <v>1</v>
      </c>
    </row>
    <row r="34" spans="1:8" x14ac:dyDescent="0.2">
      <c r="A34" s="4" t="s">
        <v>14</v>
      </c>
    </row>
    <row r="35" spans="1:8" x14ac:dyDescent="0.2">
      <c r="A35" s="4"/>
      <c r="B35" s="4"/>
      <c r="C35" s="1" t="s">
        <v>15</v>
      </c>
      <c r="D35" s="1" t="s">
        <v>16</v>
      </c>
      <c r="E35" s="1" t="s">
        <v>17</v>
      </c>
      <c r="F35" s="1" t="s">
        <v>18</v>
      </c>
      <c r="G35" s="1" t="s">
        <v>19</v>
      </c>
      <c r="H35" s="1" t="s">
        <v>20</v>
      </c>
    </row>
    <row r="36" spans="1:8" x14ac:dyDescent="0.2">
      <c r="A36" s="1" t="s">
        <v>21</v>
      </c>
      <c r="B36" s="6">
        <v>1</v>
      </c>
      <c r="C36" s="12">
        <f>14.21%+0.075%</f>
        <v>0.14285</v>
      </c>
      <c r="D36" s="12">
        <f>7.39%+0.225%</f>
        <v>7.6149999999999995E-2</v>
      </c>
      <c r="E36" s="13">
        <v>11150</v>
      </c>
      <c r="F36" s="14">
        <f>+E36/12</f>
        <v>929.16666666666663</v>
      </c>
    </row>
    <row r="37" spans="1:8" x14ac:dyDescent="0.2">
      <c r="A37" s="1" t="s">
        <v>22</v>
      </c>
      <c r="B37" s="6">
        <v>2</v>
      </c>
      <c r="C37" s="12">
        <v>3.0000000000000001E-3</v>
      </c>
      <c r="D37" s="12">
        <v>1E-3</v>
      </c>
      <c r="E37" s="13">
        <v>19250</v>
      </c>
      <c r="F37" s="14">
        <f>+E37/12</f>
        <v>1604.1666666666667</v>
      </c>
    </row>
    <row r="38" spans="1:8" x14ac:dyDescent="0.2">
      <c r="A38" s="1" t="s">
        <v>23</v>
      </c>
      <c r="B38" s="6">
        <v>3</v>
      </c>
      <c r="C38" s="15">
        <v>0.04</v>
      </c>
      <c r="D38" s="15">
        <v>0</v>
      </c>
      <c r="E38" s="16"/>
      <c r="F38" s="16"/>
    </row>
    <row r="39" spans="1:8" x14ac:dyDescent="0.2">
      <c r="A39" s="6" t="s">
        <v>311</v>
      </c>
      <c r="B39" s="1">
        <v>4</v>
      </c>
      <c r="C39" s="15">
        <v>5.45E-2</v>
      </c>
      <c r="D39" s="17"/>
      <c r="E39" s="17"/>
      <c r="F39" s="17"/>
      <c r="G39" s="14">
        <v>51414</v>
      </c>
      <c r="H39" s="14">
        <f t="shared" ref="H39:H43" si="1">+G39/12</f>
        <v>4284.5</v>
      </c>
    </row>
    <row r="40" spans="1:8" x14ac:dyDescent="0.2">
      <c r="A40" s="6" t="s">
        <v>315</v>
      </c>
      <c r="B40" s="1">
        <v>5</v>
      </c>
      <c r="C40" s="15">
        <v>5.0000000000000001E-3</v>
      </c>
      <c r="D40" s="334"/>
      <c r="E40" s="17"/>
      <c r="F40" s="17"/>
      <c r="G40" s="14">
        <f>+G39</f>
        <v>51414</v>
      </c>
      <c r="H40" s="14">
        <f t="shared" si="1"/>
        <v>4284.5</v>
      </c>
    </row>
    <row r="41" spans="1:8" x14ac:dyDescent="0.2">
      <c r="A41" s="1" t="s">
        <v>24</v>
      </c>
      <c r="B41" s="1">
        <v>7</v>
      </c>
      <c r="C41" s="17"/>
      <c r="D41" s="15">
        <v>0</v>
      </c>
      <c r="E41" s="13">
        <v>0</v>
      </c>
      <c r="F41" s="14">
        <v>0</v>
      </c>
      <c r="G41" s="14">
        <v>0</v>
      </c>
      <c r="H41" s="14">
        <v>0</v>
      </c>
    </row>
    <row r="42" spans="1:8" x14ac:dyDescent="0.2">
      <c r="A42" s="1" t="s">
        <v>25</v>
      </c>
      <c r="B42" s="1">
        <v>8</v>
      </c>
      <c r="C42" s="15">
        <v>7.4999999999999997E-2</v>
      </c>
      <c r="E42" s="16"/>
      <c r="F42" s="16"/>
      <c r="G42" s="14">
        <f>+G39</f>
        <v>51414</v>
      </c>
      <c r="H42" s="14">
        <f>+G42/12</f>
        <v>4284.5</v>
      </c>
    </row>
    <row r="43" spans="1:8" x14ac:dyDescent="0.2">
      <c r="A43" s="6" t="s">
        <v>26</v>
      </c>
      <c r="B43" s="1">
        <v>9</v>
      </c>
      <c r="C43" s="15">
        <f>0.83%</f>
        <v>8.3000000000000001E-3</v>
      </c>
      <c r="D43" s="17"/>
      <c r="E43" s="17"/>
      <c r="F43" s="17"/>
      <c r="G43" s="14">
        <f>+G39</f>
        <v>51414</v>
      </c>
      <c r="H43" s="14">
        <f t="shared" si="1"/>
        <v>4284.5</v>
      </c>
    </row>
    <row r="44" spans="1:8" x14ac:dyDescent="0.2">
      <c r="A44" s="1" t="s">
        <v>27</v>
      </c>
      <c r="B44" s="1">
        <v>10</v>
      </c>
      <c r="C44" s="15">
        <v>0</v>
      </c>
      <c r="D44" s="17"/>
      <c r="E44" s="17"/>
      <c r="F44" s="17"/>
      <c r="G44" s="16"/>
      <c r="H44" s="16"/>
    </row>
    <row r="45" spans="1:8" x14ac:dyDescent="0.2">
      <c r="A45" s="1" t="s">
        <v>28</v>
      </c>
      <c r="B45" s="1">
        <v>11</v>
      </c>
      <c r="C45" s="15">
        <v>0</v>
      </c>
      <c r="D45" s="17"/>
      <c r="E45" s="17"/>
      <c r="F45" s="17"/>
      <c r="G45" s="16"/>
      <c r="H45" s="16"/>
    </row>
    <row r="46" spans="1:8" x14ac:dyDescent="0.2">
      <c r="B46" s="1" t="s">
        <v>29</v>
      </c>
      <c r="C46" s="18">
        <f>SUM(C36:C45)</f>
        <v>0.32865</v>
      </c>
      <c r="D46" s="18">
        <f>SUM(D36:D45)</f>
        <v>7.7149999999999996E-2</v>
      </c>
      <c r="E46" s="18">
        <f>SUM(C46:D46)</f>
        <v>0.40579999999999999</v>
      </c>
    </row>
    <row r="48" spans="1:8" x14ac:dyDescent="0.2">
      <c r="A48" s="4" t="s">
        <v>30</v>
      </c>
      <c r="B48" s="1" t="s">
        <v>6</v>
      </c>
      <c r="C48" s="19">
        <v>26.78</v>
      </c>
    </row>
    <row r="49" spans="1:5" x14ac:dyDescent="0.2">
      <c r="B49" s="1" t="s">
        <v>7</v>
      </c>
      <c r="C49" s="19">
        <v>48.93</v>
      </c>
    </row>
    <row r="50" spans="1:5" x14ac:dyDescent="0.2">
      <c r="B50" s="1" t="s">
        <v>8</v>
      </c>
      <c r="C50" s="19">
        <v>24.21</v>
      </c>
    </row>
    <row r="51" spans="1:5" x14ac:dyDescent="0.2">
      <c r="C51" s="20"/>
      <c r="D51" s="1" t="s">
        <v>20</v>
      </c>
    </row>
    <row r="52" spans="1:5" x14ac:dyDescent="0.2">
      <c r="A52" s="4" t="s">
        <v>31</v>
      </c>
      <c r="B52" s="1" t="s">
        <v>32</v>
      </c>
      <c r="C52" s="19">
        <v>1371.66</v>
      </c>
      <c r="D52" s="1">
        <f>ROUND(+C52/12,2)</f>
        <v>114.31</v>
      </c>
    </row>
    <row r="53" spans="1:5" x14ac:dyDescent="0.2">
      <c r="B53" s="1" t="s">
        <v>33</v>
      </c>
      <c r="C53" s="19">
        <v>227.54</v>
      </c>
      <c r="D53" s="1">
        <f>ROUND(+C53/12,2)</f>
        <v>18.96</v>
      </c>
    </row>
    <row r="54" spans="1:5" x14ac:dyDescent="0.2">
      <c r="B54" s="1" t="s">
        <v>34</v>
      </c>
      <c r="C54" s="19">
        <v>227.54</v>
      </c>
      <c r="D54" s="1">
        <f>ROUND(+C54/12,2)</f>
        <v>18.96</v>
      </c>
    </row>
    <row r="55" spans="1:5" x14ac:dyDescent="0.2">
      <c r="B55" s="1" t="s">
        <v>35</v>
      </c>
      <c r="C55" s="19">
        <v>0</v>
      </c>
      <c r="D55" s="1">
        <f>ROUND(+C55/12,2)</f>
        <v>0</v>
      </c>
    </row>
    <row r="57" spans="1:5" x14ac:dyDescent="0.2">
      <c r="A57" s="4" t="s">
        <v>36</v>
      </c>
      <c r="C57" s="21">
        <v>32.409999999999997</v>
      </c>
      <c r="D57" s="22"/>
    </row>
    <row r="59" spans="1:5" x14ac:dyDescent="0.2">
      <c r="A59" s="4" t="s">
        <v>37</v>
      </c>
      <c r="C59" s="15">
        <v>8.0000000000000002E-3</v>
      </c>
      <c r="D59" s="18"/>
    </row>
    <row r="61" spans="1:5" x14ac:dyDescent="0.2">
      <c r="A61" s="4" t="s">
        <v>307</v>
      </c>
      <c r="C61" s="325">
        <v>0.55000000000000004</v>
      </c>
    </row>
    <row r="64" spans="1:5" x14ac:dyDescent="0.2">
      <c r="A64" s="4" t="s">
        <v>38</v>
      </c>
      <c r="B64" s="4"/>
      <c r="D64" s="19">
        <v>140.49</v>
      </c>
      <c r="E64" s="1" t="s">
        <v>39</v>
      </c>
    </row>
    <row r="65" spans="1:7" x14ac:dyDescent="0.2">
      <c r="A65" s="4" t="s">
        <v>40</v>
      </c>
      <c r="B65" s="4"/>
      <c r="D65" s="15">
        <v>6.6000000000000003E-2</v>
      </c>
    </row>
    <row r="66" spans="1:7" x14ac:dyDescent="0.2">
      <c r="A66" s="1" t="s">
        <v>41</v>
      </c>
      <c r="B66" s="4"/>
      <c r="C66" s="1">
        <v>0</v>
      </c>
      <c r="D66" s="19">
        <v>0</v>
      </c>
    </row>
    <row r="67" spans="1:7" x14ac:dyDescent="0.2">
      <c r="B67" s="4"/>
      <c r="C67" s="1">
        <v>1</v>
      </c>
      <c r="D67" s="19">
        <v>1200</v>
      </c>
    </row>
    <row r="68" spans="1:7" x14ac:dyDescent="0.2">
      <c r="B68" s="4"/>
      <c r="C68" s="1">
        <v>9</v>
      </c>
      <c r="D68" s="19">
        <v>0</v>
      </c>
    </row>
    <row r="69" spans="1:7" x14ac:dyDescent="0.2">
      <c r="B69" s="4"/>
      <c r="D69" s="20"/>
    </row>
    <row r="70" spans="1:7" x14ac:dyDescent="0.2">
      <c r="A70" s="335" t="s">
        <v>316</v>
      </c>
    </row>
    <row r="71" spans="1:7" x14ac:dyDescent="0.2">
      <c r="A71" s="335" t="s">
        <v>317</v>
      </c>
    </row>
    <row r="72" spans="1:7" x14ac:dyDescent="0.2">
      <c r="A72" s="23" t="s">
        <v>318</v>
      </c>
    </row>
    <row r="73" spans="1:7" x14ac:dyDescent="0.2">
      <c r="A73" s="23"/>
    </row>
    <row r="74" spans="1:7" x14ac:dyDescent="0.2">
      <c r="A74" s="4" t="s">
        <v>42</v>
      </c>
      <c r="G74" s="24"/>
    </row>
    <row r="75" spans="1:7" x14ac:dyDescent="0.2">
      <c r="A75" s="4" t="s">
        <v>43</v>
      </c>
      <c r="B75" s="1" t="s">
        <v>44</v>
      </c>
      <c r="C75" s="1" t="s">
        <v>45</v>
      </c>
    </row>
    <row r="76" spans="1:7" x14ac:dyDescent="0.2">
      <c r="A76" s="1">
        <v>1</v>
      </c>
      <c r="B76" s="336">
        <v>19645</v>
      </c>
      <c r="C76" s="18">
        <v>0.36249999999999999</v>
      </c>
    </row>
    <row r="77" spans="1:7" x14ac:dyDescent="0.2">
      <c r="A77" s="1">
        <v>2</v>
      </c>
      <c r="B77" s="336">
        <v>33363</v>
      </c>
      <c r="C77" s="18">
        <v>0.42</v>
      </c>
    </row>
    <row r="78" spans="1:7" x14ac:dyDescent="0.2">
      <c r="A78" s="1">
        <v>3</v>
      </c>
      <c r="B78" s="336">
        <v>56532</v>
      </c>
      <c r="C78" s="18">
        <v>0.42</v>
      </c>
    </row>
    <row r="79" spans="1:7" x14ac:dyDescent="0.2">
      <c r="A79" s="1">
        <v>4</v>
      </c>
      <c r="B79" s="336">
        <v>999999</v>
      </c>
      <c r="C79" s="18">
        <v>0.52</v>
      </c>
    </row>
    <row r="81" spans="1:5" x14ac:dyDescent="0.2">
      <c r="A81" s="4" t="s">
        <v>319</v>
      </c>
    </row>
    <row r="82" spans="1:5" x14ac:dyDescent="0.2">
      <c r="A82" s="1" t="s">
        <v>320</v>
      </c>
      <c r="B82" s="336">
        <v>2103</v>
      </c>
    </row>
    <row r="83" spans="1:5" x14ac:dyDescent="0.2">
      <c r="A83" s="334"/>
      <c r="B83" s="334"/>
      <c r="C83" s="334"/>
      <c r="D83" s="334"/>
      <c r="E83" s="6"/>
    </row>
    <row r="84" spans="1:5" x14ac:dyDescent="0.2">
      <c r="A84"/>
      <c r="B84"/>
      <c r="C84"/>
      <c r="D84"/>
      <c r="E84" s="6"/>
    </row>
    <row r="85" spans="1:5" x14ac:dyDescent="0.2">
      <c r="A85"/>
      <c r="B85"/>
      <c r="C85"/>
      <c r="D85"/>
      <c r="E85" s="6"/>
    </row>
    <row r="86" spans="1:5" x14ac:dyDescent="0.2">
      <c r="A86"/>
      <c r="B86"/>
      <c r="C86"/>
      <c r="D86"/>
      <c r="E86" s="6"/>
    </row>
    <row r="87" spans="1:5" x14ac:dyDescent="0.2">
      <c r="A87"/>
      <c r="B87"/>
      <c r="C87"/>
      <c r="D87"/>
      <c r="E87" s="6"/>
    </row>
    <row r="88" spans="1:5" x14ac:dyDescent="0.2">
      <c r="C88" s="25"/>
    </row>
  </sheetData>
  <sheetProtection password="DE55" sheet="1" objects="1" scenarios="1"/>
  <pageMargins left="0.7" right="0.7" top="0.75" bottom="0.75" header="0.3" footer="0.3"/>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Toelichting</vt:lpstr>
      <vt:lpstr>WAO-WIA</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Keizer</cp:lastModifiedBy>
  <cp:lastPrinted>2014-01-12T14:16:28Z</cp:lastPrinted>
  <dcterms:created xsi:type="dcterms:W3CDTF">2013-01-15T12:00:14Z</dcterms:created>
  <dcterms:modified xsi:type="dcterms:W3CDTF">2014-01-12T14:19:17Z</dcterms:modified>
</cp:coreProperties>
</file>