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12.xml" ContentType="application/vnd.openxmlformats-officedocument.spreadsheetml.comments+xml"/>
  <Override PartName="/xl/drawings/drawing1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17.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aveExternalLinkValues="0" codeName="ThisWorkbook"/>
  <bookViews>
    <workbookView xWindow="-165" yWindow="810" windowWidth="8835" windowHeight="11535" tabRatio="688" activeTab="1"/>
  </bookViews>
  <sheets>
    <sheet name="toel" sheetId="1" r:id="rId1"/>
    <sheet name="geg" sheetId="2" r:id="rId2"/>
    <sheet name="rugzak" sheetId="20" r:id="rId3"/>
    <sheet name="pers" sheetId="3" r:id="rId4"/>
    <sheet name="dir" sheetId="4" r:id="rId5"/>
    <sheet name="op" sheetId="5" r:id="rId6"/>
    <sheet name="obp" sheetId="6" r:id="rId7"/>
    <sheet name="mat" sheetId="7" r:id="rId8"/>
    <sheet name="mop" sheetId="8" r:id="rId9"/>
    <sheet name="mip" sheetId="9" r:id="rId10"/>
    <sheet name="act" sheetId="10" r:id="rId11"/>
    <sheet name="beleid" sheetId="21" r:id="rId12"/>
    <sheet name="begr" sheetId="11" r:id="rId13"/>
    <sheet name="bal" sheetId="12" r:id="rId14"/>
    <sheet name="liq" sheetId="13" r:id="rId15"/>
    <sheet name="ken" sheetId="14" r:id="rId16"/>
    <sheet name="graf" sheetId="15" r:id="rId17"/>
    <sheet name="som" sheetId="16" r:id="rId18"/>
    <sheet name="tab" sheetId="19" r:id="rId19"/>
    <sheet name="Module1" sheetId="18" state="veryHidden" r:id="rId20"/>
  </sheets>
  <definedNames>
    <definedName name="_xlnm._FilterDatabase" localSheetId="9" hidden="1">mip!$I$8:$I$141</definedName>
    <definedName name="_xlnm.Print_Area" localSheetId="10">act!$B$2:$L$64</definedName>
    <definedName name="_xlnm.Print_Area" localSheetId="13">bal!$B$2:$L$59</definedName>
    <definedName name="_xlnm.Print_Area" localSheetId="12">begr!$B$2:$M$54</definedName>
    <definedName name="_xlnm.Print_Area" localSheetId="11">beleid!$B$2:$X$72</definedName>
    <definedName name="_xlnm.Print_Area" localSheetId="4">dir!$B$2:$X$50</definedName>
    <definedName name="_xlnm.Print_Area" localSheetId="1">geg!$B$2:$M$69</definedName>
    <definedName name="_xlnm.Print_Area" localSheetId="16">graf!$B$2:$R$186</definedName>
    <definedName name="_xlnm.Print_Area" localSheetId="15">ken!$B$2:$K$209</definedName>
    <definedName name="_xlnm.Print_Area" localSheetId="14">liq!$B$2:$K$56</definedName>
    <definedName name="_xlnm.Print_Area" localSheetId="7">mat!$B$2:$N$167</definedName>
    <definedName name="_xlnm.Print_Area" localSheetId="9">mip!$B$2:$AD$144</definedName>
    <definedName name="_xlnm.Print_Area" localSheetId="8">mop!$B$2:$Q$32</definedName>
    <definedName name="_xlnm.Print_Area" localSheetId="6">obp!$B$2:$X$70</definedName>
    <definedName name="_xlnm.Print_Area" localSheetId="5">op!$B$2:$X$141</definedName>
    <definedName name="_xlnm.Print_Area" localSheetId="3">pers!$B$2:$N$137</definedName>
    <definedName name="_xlnm.Print_Area" localSheetId="2">rugzak!$B$2:$V$47</definedName>
    <definedName name="_xlnm.Print_Area" localSheetId="17">som!$B$2:$K$92</definedName>
    <definedName name="_xlnm.Print_Area" localSheetId="18">tab!$A$1:$J$216</definedName>
    <definedName name="_xlnm.Print_Area" localSheetId="0">toel!$B$2:$P$216</definedName>
    <definedName name="groepenleerlingennu">tab!$A$167:$A$201</definedName>
    <definedName name="Postcode_gebieden">tab!$C$219:$C$1186</definedName>
    <definedName name="regels2011">tab!$W$68:$W$110</definedName>
    <definedName name="rugzakmat">tab!$A$138:$E$148</definedName>
    <definedName name="rugzakpers">tab!$A$125:$E$135</definedName>
    <definedName name="schaal2011">tab!$A$68:$A$110</definedName>
    <definedName name="vloeroppervlaknu">tab!$C$167:$C$201</definedName>
  </definedNames>
  <calcPr calcId="145621"/>
</workbook>
</file>

<file path=xl/calcChain.xml><?xml version="1.0" encoding="utf-8"?>
<calcChain xmlns="http://schemas.openxmlformats.org/spreadsheetml/2006/main">
  <c r="H192" i="7" l="1"/>
  <c r="H31" i="7"/>
  <c r="D95" i="19"/>
  <c r="C133" i="19"/>
  <c r="C131" i="19"/>
  <c r="I62" i="19"/>
  <c r="H62" i="19"/>
  <c r="H61" i="19"/>
  <c r="H43" i="3" l="1"/>
  <c r="H25" i="7"/>
  <c r="K170" i="19" l="1"/>
  <c r="E52" i="19" l="1"/>
  <c r="E51" i="19"/>
  <c r="H78" i="3" l="1"/>
  <c r="F99" i="14" l="1"/>
  <c r="N66" i="21" l="1"/>
  <c r="N65" i="21"/>
  <c r="N64" i="21"/>
  <c r="N63" i="21"/>
  <c r="N62" i="21"/>
  <c r="N61" i="21"/>
  <c r="N54" i="21"/>
  <c r="N53" i="21"/>
  <c r="N52" i="21"/>
  <c r="N51" i="21"/>
  <c r="N50" i="21"/>
  <c r="N49" i="21"/>
  <c r="N38" i="21"/>
  <c r="N39" i="21"/>
  <c r="N40" i="21"/>
  <c r="N41" i="21"/>
  <c r="N42" i="21"/>
  <c r="N37" i="21"/>
  <c r="N26" i="21"/>
  <c r="N27" i="21"/>
  <c r="N28" i="21"/>
  <c r="N29" i="21"/>
  <c r="N30" i="21"/>
  <c r="N25" i="21"/>
  <c r="N16" i="21"/>
  <c r="N17" i="21"/>
  <c r="N18" i="21"/>
  <c r="N15" i="21"/>
  <c r="N14" i="21"/>
  <c r="N13" i="21"/>
  <c r="O17" i="6"/>
  <c r="O18" i="6"/>
  <c r="O19" i="6"/>
  <c r="O20" i="6"/>
  <c r="O21" i="6"/>
  <c r="O22" i="6"/>
  <c r="O23" i="6"/>
  <c r="O24" i="6"/>
  <c r="O25" i="6"/>
  <c r="O26" i="6"/>
  <c r="O27" i="6"/>
  <c r="O28" i="6"/>
  <c r="O29" i="6"/>
  <c r="O30" i="6"/>
  <c r="O31" i="6"/>
  <c r="O32" i="6"/>
  <c r="O33" i="6"/>
  <c r="O34" i="6"/>
  <c r="O35" i="6"/>
  <c r="O16" i="6"/>
  <c r="W109" i="19" l="1"/>
  <c r="W110" i="19"/>
  <c r="J25" i="7" l="1"/>
  <c r="K25" i="7" s="1"/>
  <c r="L25" i="7" s="1"/>
  <c r="K157" i="3"/>
  <c r="L157" i="3"/>
  <c r="J157" i="3"/>
  <c r="F38" i="11" l="1"/>
  <c r="F27" i="11"/>
  <c r="F22" i="11"/>
  <c r="F21" i="11"/>
  <c r="F19" i="11"/>
  <c r="F8" i="11"/>
  <c r="G38" i="11"/>
  <c r="G22" i="11"/>
  <c r="G21" i="11"/>
  <c r="G19" i="11"/>
  <c r="T67" i="21"/>
  <c r="Q67" i="21"/>
  <c r="V66" i="21"/>
  <c r="V65" i="21"/>
  <c r="V64" i="21"/>
  <c r="V63" i="21"/>
  <c r="V62" i="21"/>
  <c r="N67" i="21"/>
  <c r="V67" i="21" l="1"/>
  <c r="F29" i="11"/>
  <c r="F42" i="11" s="1"/>
  <c r="V61" i="21"/>
  <c r="D4" i="19"/>
  <c r="E4" i="19" l="1"/>
  <c r="F4" i="19" s="1"/>
  <c r="G4" i="19" s="1"/>
  <c r="H4" i="19" s="1"/>
  <c r="G8" i="11"/>
  <c r="E164" i="19"/>
  <c r="E48" i="19"/>
  <c r="I164" i="19" l="1"/>
  <c r="T55" i="21"/>
  <c r="Q55" i="21"/>
  <c r="V54" i="21"/>
  <c r="V53" i="21"/>
  <c r="V52" i="21"/>
  <c r="V51" i="21"/>
  <c r="V50" i="21"/>
  <c r="N55" i="21" l="1"/>
  <c r="V55" i="21" s="1"/>
  <c r="V49" i="21"/>
  <c r="V41" i="21" l="1"/>
  <c r="V38" i="21"/>
  <c r="V29" i="21"/>
  <c r="V27" i="21"/>
  <c r="V17" i="21"/>
  <c r="V16" i="21"/>
  <c r="V42" i="21"/>
  <c r="V40" i="21"/>
  <c r="V39" i="21"/>
  <c r="V37" i="21"/>
  <c r="V30" i="21"/>
  <c r="V28" i="21"/>
  <c r="V26" i="21"/>
  <c r="V25" i="21"/>
  <c r="V18" i="21"/>
  <c r="V15" i="21"/>
  <c r="V14" i="21"/>
  <c r="R16" i="4"/>
  <c r="Q43" i="21" l="1"/>
  <c r="Q31" i="21"/>
  <c r="Q19" i="21"/>
  <c r="N31" i="21" l="1"/>
  <c r="H155" i="7"/>
  <c r="G26" i="11" s="1"/>
  <c r="T43" i="21" l="1"/>
  <c r="N43" i="21"/>
  <c r="T31" i="21"/>
  <c r="V31" i="21" s="1"/>
  <c r="T19" i="21"/>
  <c r="M16" i="5"/>
  <c r="V43" i="21" l="1"/>
  <c r="C5" i="21"/>
  <c r="H59" i="7" l="1"/>
  <c r="I199" i="14" l="1"/>
  <c r="H199" i="14"/>
  <c r="G199" i="14"/>
  <c r="F199" i="14"/>
  <c r="I89" i="3"/>
  <c r="J89" i="3" s="1"/>
  <c r="K89" i="3" s="1"/>
  <c r="L89" i="3" s="1"/>
  <c r="I25" i="2"/>
  <c r="J25" i="2" s="1"/>
  <c r="I26" i="2"/>
  <c r="J26" i="2" s="1"/>
  <c r="H27" i="2"/>
  <c r="F184" i="14" s="1"/>
  <c r="I28" i="2"/>
  <c r="J28" i="2"/>
  <c r="K28" i="2" s="1"/>
  <c r="I29" i="2"/>
  <c r="J29" i="2"/>
  <c r="K29" i="2" s="1"/>
  <c r="H84" i="5"/>
  <c r="H152" i="5" s="1"/>
  <c r="H219" i="5" s="1"/>
  <c r="H85" i="5"/>
  <c r="H153" i="5" s="1"/>
  <c r="H220" i="5" s="1"/>
  <c r="H287" i="5" s="1"/>
  <c r="H86" i="5"/>
  <c r="H154" i="5" s="1"/>
  <c r="H87" i="5"/>
  <c r="H88" i="5"/>
  <c r="H156" i="5" s="1"/>
  <c r="H223" i="5" s="1"/>
  <c r="H89" i="5"/>
  <c r="H157" i="5" s="1"/>
  <c r="H224" i="5" s="1"/>
  <c r="H291" i="5" s="1"/>
  <c r="AA291" i="5" s="1"/>
  <c r="H90" i="5"/>
  <c r="H158" i="5" s="1"/>
  <c r="H91" i="5"/>
  <c r="H92" i="5"/>
  <c r="H160" i="5" s="1"/>
  <c r="H93" i="5"/>
  <c r="H161" i="5" s="1"/>
  <c r="H228" i="5" s="1"/>
  <c r="H295" i="5" s="1"/>
  <c r="H94" i="5"/>
  <c r="H95" i="5"/>
  <c r="H163" i="5" s="1"/>
  <c r="H96" i="5"/>
  <c r="H164" i="5" s="1"/>
  <c r="H97" i="5"/>
  <c r="H165" i="5" s="1"/>
  <c r="H232" i="5" s="1"/>
  <c r="H299" i="5" s="1"/>
  <c r="AA299" i="5" s="1"/>
  <c r="H98" i="5"/>
  <c r="H166" i="5" s="1"/>
  <c r="G33" i="2"/>
  <c r="I49" i="2"/>
  <c r="J49" i="2" s="1"/>
  <c r="AA86" i="5"/>
  <c r="AA90" i="5"/>
  <c r="AA98" i="5"/>
  <c r="H30" i="2"/>
  <c r="AA16" i="5"/>
  <c r="AA17" i="5"/>
  <c r="AA18" i="5"/>
  <c r="AA19" i="5"/>
  <c r="AA20" i="5"/>
  <c r="AA21" i="5"/>
  <c r="AA22" i="5"/>
  <c r="AA23" i="5"/>
  <c r="AA24" i="5"/>
  <c r="AA25" i="5"/>
  <c r="AA26" i="5"/>
  <c r="AA27" i="5"/>
  <c r="AA28" i="5"/>
  <c r="AA29" i="5"/>
  <c r="AA30" i="5"/>
  <c r="G27" i="2"/>
  <c r="H40" i="3" s="1"/>
  <c r="G30" i="2"/>
  <c r="H50" i="2"/>
  <c r="I17" i="7" s="1"/>
  <c r="G34" i="2"/>
  <c r="L19" i="7"/>
  <c r="K19" i="7"/>
  <c r="J19" i="7"/>
  <c r="I68" i="7"/>
  <c r="Q14" i="6"/>
  <c r="Q17" i="6" s="1"/>
  <c r="Q14" i="5"/>
  <c r="Q17" i="5" s="1"/>
  <c r="O17" i="5"/>
  <c r="O16" i="4"/>
  <c r="Q14" i="4"/>
  <c r="Q16" i="4" s="1"/>
  <c r="F23" i="12"/>
  <c r="E38" i="4"/>
  <c r="E61" i="4" s="1"/>
  <c r="L38" i="4"/>
  <c r="L61" i="4" s="1"/>
  <c r="K38" i="4"/>
  <c r="K61" i="4" s="1"/>
  <c r="E56" i="19"/>
  <c r="F57" i="19" s="1"/>
  <c r="E39" i="4"/>
  <c r="E62" i="4" s="1"/>
  <c r="L39" i="4"/>
  <c r="L62" i="4" s="1"/>
  <c r="K39" i="4"/>
  <c r="K62" i="4" s="1"/>
  <c r="E40" i="4"/>
  <c r="E63" i="4" s="1"/>
  <c r="L40" i="4"/>
  <c r="L63" i="4" s="1"/>
  <c r="K40" i="4"/>
  <c r="K63" i="4" s="1"/>
  <c r="E41" i="4"/>
  <c r="E64" i="4" s="1"/>
  <c r="L41" i="4"/>
  <c r="L64" i="4" s="1"/>
  <c r="K41" i="4"/>
  <c r="K64" i="4" s="1"/>
  <c r="K86" i="4" s="1"/>
  <c r="K108" i="4" s="1"/>
  <c r="E42" i="4"/>
  <c r="E65" i="4" s="1"/>
  <c r="E87" i="4" s="1"/>
  <c r="L42" i="4"/>
  <c r="L65" i="4" s="1"/>
  <c r="K42" i="4"/>
  <c r="K65" i="4" s="1"/>
  <c r="E43" i="4"/>
  <c r="E66" i="4" s="1"/>
  <c r="L43" i="4"/>
  <c r="L66" i="4" s="1"/>
  <c r="K43" i="4"/>
  <c r="K66" i="4" s="1"/>
  <c r="K88" i="4" s="1"/>
  <c r="K110" i="4" s="1"/>
  <c r="E44" i="4"/>
  <c r="E67" i="4" s="1"/>
  <c r="L44" i="4"/>
  <c r="L67" i="4" s="1"/>
  <c r="K44" i="4"/>
  <c r="K67" i="4" s="1"/>
  <c r="K89" i="4" s="1"/>
  <c r="E45" i="4"/>
  <c r="E68" i="4" s="1"/>
  <c r="L45" i="4"/>
  <c r="K45" i="4"/>
  <c r="K68" i="4" s="1"/>
  <c r="K90" i="4" s="1"/>
  <c r="K112" i="4" s="1"/>
  <c r="E46" i="4"/>
  <c r="L46" i="4"/>
  <c r="L69" i="4" s="1"/>
  <c r="K46" i="4"/>
  <c r="K69" i="4" s="1"/>
  <c r="K91" i="4" s="1"/>
  <c r="K113" i="4" s="1"/>
  <c r="E47" i="4"/>
  <c r="E70" i="4" s="1"/>
  <c r="L47" i="4"/>
  <c r="L70" i="4" s="1"/>
  <c r="L92" i="4" s="1"/>
  <c r="L114" i="4" s="1"/>
  <c r="K47" i="4"/>
  <c r="K70" i="4" s="1"/>
  <c r="E84" i="5"/>
  <c r="E152" i="5" s="1"/>
  <c r="E219" i="5" s="1"/>
  <c r="E286" i="5" s="1"/>
  <c r="I84" i="5"/>
  <c r="I152" i="5" s="1"/>
  <c r="I219" i="5" s="1"/>
  <c r="L84" i="5"/>
  <c r="L152" i="5" s="1"/>
  <c r="K84" i="5"/>
  <c r="Q46" i="6"/>
  <c r="E85" i="5"/>
  <c r="E153" i="5" s="1"/>
  <c r="I85" i="5"/>
  <c r="I153" i="5" s="1"/>
  <c r="L85" i="5"/>
  <c r="K85" i="5"/>
  <c r="K153" i="5" s="1"/>
  <c r="K220" i="5" s="1"/>
  <c r="K287" i="5" s="1"/>
  <c r="E86" i="5"/>
  <c r="E154" i="5" s="1"/>
  <c r="E221" i="5" s="1"/>
  <c r="I86" i="5"/>
  <c r="I154" i="5" s="1"/>
  <c r="I221" i="5" s="1"/>
  <c r="I288" i="5" s="1"/>
  <c r="L86" i="5"/>
  <c r="L154" i="5" s="1"/>
  <c r="L221" i="5" s="1"/>
  <c r="K86" i="5"/>
  <c r="E87" i="5"/>
  <c r="I87" i="5"/>
  <c r="I155" i="5" s="1"/>
  <c r="I222" i="5" s="1"/>
  <c r="I289" i="5" s="1"/>
  <c r="L87" i="5"/>
  <c r="K87" i="5"/>
  <c r="K155" i="5" s="1"/>
  <c r="K222" i="5" s="1"/>
  <c r="K289" i="5" s="1"/>
  <c r="E88" i="5"/>
  <c r="E156" i="5" s="1"/>
  <c r="E223" i="5" s="1"/>
  <c r="E290" i="5" s="1"/>
  <c r="I88" i="5"/>
  <c r="I156" i="5" s="1"/>
  <c r="I223" i="5" s="1"/>
  <c r="I290" i="5" s="1"/>
  <c r="L88" i="5"/>
  <c r="L156" i="5" s="1"/>
  <c r="K88" i="5"/>
  <c r="K156" i="5" s="1"/>
  <c r="K223" i="5" s="1"/>
  <c r="K290" i="5" s="1"/>
  <c r="E89" i="5"/>
  <c r="E157" i="5" s="1"/>
  <c r="E224" i="5" s="1"/>
  <c r="E291" i="5" s="1"/>
  <c r="I89" i="5"/>
  <c r="I157" i="5" s="1"/>
  <c r="I224" i="5" s="1"/>
  <c r="I291" i="5" s="1"/>
  <c r="L89" i="5"/>
  <c r="L157" i="5" s="1"/>
  <c r="K89" i="5"/>
  <c r="K157" i="5" s="1"/>
  <c r="E90" i="5"/>
  <c r="E158" i="5" s="1"/>
  <c r="E225" i="5" s="1"/>
  <c r="E292" i="5" s="1"/>
  <c r="I90" i="5"/>
  <c r="I158" i="5" s="1"/>
  <c r="I225" i="5" s="1"/>
  <c r="I292" i="5" s="1"/>
  <c r="L90" i="5"/>
  <c r="K90" i="5"/>
  <c r="K158" i="5" s="1"/>
  <c r="E91" i="5"/>
  <c r="E159" i="5" s="1"/>
  <c r="E226" i="5" s="1"/>
  <c r="E293" i="5" s="1"/>
  <c r="I91" i="5"/>
  <c r="I159" i="5" s="1"/>
  <c r="L91" i="5"/>
  <c r="L159" i="5" s="1"/>
  <c r="K91" i="5"/>
  <c r="K159" i="5" s="1"/>
  <c r="K226" i="5" s="1"/>
  <c r="K293" i="5" s="1"/>
  <c r="E92" i="5"/>
  <c r="E160" i="5" s="1"/>
  <c r="E227" i="5" s="1"/>
  <c r="E294" i="5" s="1"/>
  <c r="I92" i="5"/>
  <c r="I160" i="5" s="1"/>
  <c r="I227" i="5" s="1"/>
  <c r="I294" i="5" s="1"/>
  <c r="L92" i="5"/>
  <c r="L160" i="5" s="1"/>
  <c r="L227" i="5" s="1"/>
  <c r="L294" i="5" s="1"/>
  <c r="K92" i="5"/>
  <c r="K160" i="5" s="1"/>
  <c r="E93" i="5"/>
  <c r="E161" i="5" s="1"/>
  <c r="I93" i="5"/>
  <c r="I161" i="5" s="1"/>
  <c r="I228" i="5" s="1"/>
  <c r="O228" i="5" s="1"/>
  <c r="L93" i="5"/>
  <c r="L161" i="5" s="1"/>
  <c r="K93" i="5"/>
  <c r="K161" i="5" s="1"/>
  <c r="K228" i="5" s="1"/>
  <c r="K295" i="5" s="1"/>
  <c r="E94" i="5"/>
  <c r="E162" i="5" s="1"/>
  <c r="E229" i="5" s="1"/>
  <c r="E296" i="5" s="1"/>
  <c r="I94" i="5"/>
  <c r="I162" i="5" s="1"/>
  <c r="I229" i="5" s="1"/>
  <c r="I296" i="5" s="1"/>
  <c r="O296" i="5" s="1"/>
  <c r="L94" i="5"/>
  <c r="L162" i="5" s="1"/>
  <c r="L229" i="5" s="1"/>
  <c r="L296" i="5" s="1"/>
  <c r="K94" i="5"/>
  <c r="K162" i="5" s="1"/>
  <c r="E95" i="5"/>
  <c r="I95" i="5"/>
  <c r="I163" i="5" s="1"/>
  <c r="I230" i="5" s="1"/>
  <c r="I297" i="5" s="1"/>
  <c r="O297" i="5" s="1"/>
  <c r="L95" i="5"/>
  <c r="L163" i="5" s="1"/>
  <c r="L230" i="5" s="1"/>
  <c r="L297" i="5" s="1"/>
  <c r="K95" i="5"/>
  <c r="E96" i="5"/>
  <c r="E164" i="5" s="1"/>
  <c r="E231" i="5" s="1"/>
  <c r="E298" i="5" s="1"/>
  <c r="I96" i="5"/>
  <c r="I164" i="5" s="1"/>
  <c r="I231" i="5" s="1"/>
  <c r="I298" i="5" s="1"/>
  <c r="L96" i="5"/>
  <c r="L164" i="5" s="1"/>
  <c r="K96" i="5"/>
  <c r="K164" i="5" s="1"/>
  <c r="K231" i="5" s="1"/>
  <c r="K298" i="5" s="1"/>
  <c r="E97" i="5"/>
  <c r="E165" i="5" s="1"/>
  <c r="J165" i="5" s="1"/>
  <c r="I97" i="5"/>
  <c r="I165" i="5" s="1"/>
  <c r="I232" i="5" s="1"/>
  <c r="I299" i="5" s="1"/>
  <c r="L97" i="5"/>
  <c r="L165" i="5" s="1"/>
  <c r="K97" i="5"/>
  <c r="K165" i="5" s="1"/>
  <c r="K232" i="5" s="1"/>
  <c r="K299" i="5" s="1"/>
  <c r="E98" i="5"/>
  <c r="E166" i="5" s="1"/>
  <c r="I98" i="5"/>
  <c r="I166" i="5" s="1"/>
  <c r="L98" i="5"/>
  <c r="L166" i="5" s="1"/>
  <c r="K98" i="5"/>
  <c r="K166" i="5" s="1"/>
  <c r="K233" i="5" s="1"/>
  <c r="K300" i="5" s="1"/>
  <c r="E99" i="5"/>
  <c r="P99" i="5" s="1"/>
  <c r="E100" i="5"/>
  <c r="E168" i="5" s="1"/>
  <c r="E101" i="5"/>
  <c r="E169" i="5" s="1"/>
  <c r="E102" i="5"/>
  <c r="T102" i="5" s="1"/>
  <c r="E103" i="5"/>
  <c r="E171" i="5" s="1"/>
  <c r="E104" i="5"/>
  <c r="E172" i="5" s="1"/>
  <c r="E105" i="5"/>
  <c r="E106" i="5"/>
  <c r="E174" i="5" s="1"/>
  <c r="E241" i="5" s="1"/>
  <c r="E107" i="5"/>
  <c r="E175" i="5" s="1"/>
  <c r="E108" i="5"/>
  <c r="E176" i="5" s="1"/>
  <c r="E109" i="5"/>
  <c r="J109" i="5" s="1"/>
  <c r="E110" i="5"/>
  <c r="E178" i="5" s="1"/>
  <c r="E111" i="5"/>
  <c r="E179" i="5" s="1"/>
  <c r="T179" i="5" s="1"/>
  <c r="E112" i="5"/>
  <c r="E180" i="5" s="1"/>
  <c r="E113" i="5"/>
  <c r="E114" i="5"/>
  <c r="E182" i="5" s="1"/>
  <c r="E115" i="5"/>
  <c r="E183" i="5" s="1"/>
  <c r="E250" i="5" s="1"/>
  <c r="R250" i="5" s="1"/>
  <c r="E116" i="5"/>
  <c r="E117" i="5"/>
  <c r="E185" i="5" s="1"/>
  <c r="E118" i="5"/>
  <c r="E186" i="5" s="1"/>
  <c r="E119" i="5"/>
  <c r="J119" i="5" s="1"/>
  <c r="E120" i="5"/>
  <c r="E188" i="5" s="1"/>
  <c r="E121" i="5"/>
  <c r="E189" i="5" s="1"/>
  <c r="E122" i="5"/>
  <c r="E190" i="5" s="1"/>
  <c r="E123" i="5"/>
  <c r="E191" i="5" s="1"/>
  <c r="E124" i="5"/>
  <c r="E192" i="5" s="1"/>
  <c r="E125" i="5"/>
  <c r="E193" i="5" s="1"/>
  <c r="E126" i="5"/>
  <c r="E194" i="5" s="1"/>
  <c r="E261" i="5" s="1"/>
  <c r="T261" i="5" s="1"/>
  <c r="E127" i="5"/>
  <c r="T127" i="5" s="1"/>
  <c r="E128" i="5"/>
  <c r="E196" i="5" s="1"/>
  <c r="E129" i="5"/>
  <c r="E197" i="5" s="1"/>
  <c r="E130" i="5"/>
  <c r="E198" i="5" s="1"/>
  <c r="E131" i="5"/>
  <c r="E199" i="5" s="1"/>
  <c r="E132" i="5"/>
  <c r="E200" i="5" s="1"/>
  <c r="E133" i="5"/>
  <c r="E201" i="5" s="1"/>
  <c r="E134" i="5"/>
  <c r="E202" i="5" s="1"/>
  <c r="E135" i="5"/>
  <c r="E203" i="5" s="1"/>
  <c r="J203" i="5" s="1"/>
  <c r="E136" i="5"/>
  <c r="E204" i="5" s="1"/>
  <c r="E137" i="5"/>
  <c r="E205" i="5" s="1"/>
  <c r="E138" i="5"/>
  <c r="E206" i="5" s="1"/>
  <c r="E48" i="6"/>
  <c r="J48" i="6" s="1"/>
  <c r="O48" i="6" s="1"/>
  <c r="I48" i="6"/>
  <c r="I81" i="6" s="1"/>
  <c r="L48" i="6"/>
  <c r="L81" i="6" s="1"/>
  <c r="K48" i="6"/>
  <c r="K81" i="6" s="1"/>
  <c r="E58" i="19"/>
  <c r="F59" i="19" s="1"/>
  <c r="E49" i="6"/>
  <c r="I49" i="6"/>
  <c r="L49" i="6"/>
  <c r="L82" i="6" s="1"/>
  <c r="K49" i="6"/>
  <c r="K82" i="6" s="1"/>
  <c r="K114" i="6" s="1"/>
  <c r="K146" i="6" s="1"/>
  <c r="E50" i="6"/>
  <c r="J50" i="6" s="1"/>
  <c r="I50" i="6"/>
  <c r="L50" i="6"/>
  <c r="K50" i="6"/>
  <c r="K83" i="6" s="1"/>
  <c r="K115" i="6" s="1"/>
  <c r="K147" i="6" s="1"/>
  <c r="E51" i="6"/>
  <c r="I51" i="6"/>
  <c r="O51" i="6" s="1"/>
  <c r="L51" i="6"/>
  <c r="L84" i="6" s="1"/>
  <c r="K51" i="6"/>
  <c r="K84" i="6" s="1"/>
  <c r="K116" i="6" s="1"/>
  <c r="E52" i="6"/>
  <c r="E85" i="6" s="1"/>
  <c r="I52" i="6"/>
  <c r="L52" i="6"/>
  <c r="L85" i="6" s="1"/>
  <c r="L117" i="6" s="1"/>
  <c r="L149" i="6" s="1"/>
  <c r="K52" i="6"/>
  <c r="K85" i="6" s="1"/>
  <c r="E53" i="6"/>
  <c r="I53" i="6"/>
  <c r="L53" i="6"/>
  <c r="L86" i="6" s="1"/>
  <c r="K53" i="6"/>
  <c r="K86" i="6" s="1"/>
  <c r="E54" i="6"/>
  <c r="I54" i="6"/>
  <c r="L54" i="6"/>
  <c r="K54" i="6"/>
  <c r="K87" i="6" s="1"/>
  <c r="E55" i="6"/>
  <c r="I55" i="6"/>
  <c r="L55" i="6"/>
  <c r="L88" i="6" s="1"/>
  <c r="K55" i="6"/>
  <c r="M55" i="6" s="1"/>
  <c r="E56" i="6"/>
  <c r="E89" i="6" s="1"/>
  <c r="I56" i="6"/>
  <c r="L56" i="6"/>
  <c r="L89" i="6" s="1"/>
  <c r="K56" i="6"/>
  <c r="K89" i="6" s="1"/>
  <c r="K121" i="6" s="1"/>
  <c r="K153" i="6" s="1"/>
  <c r="E57" i="6"/>
  <c r="I57" i="6"/>
  <c r="L57" i="6"/>
  <c r="L90" i="6" s="1"/>
  <c r="K57" i="6"/>
  <c r="K90" i="6" s="1"/>
  <c r="K122" i="6" s="1"/>
  <c r="K154" i="6" s="1"/>
  <c r="E58" i="6"/>
  <c r="E91" i="6" s="1"/>
  <c r="I58" i="6"/>
  <c r="L58" i="6"/>
  <c r="K58" i="6"/>
  <c r="K91" i="6" s="1"/>
  <c r="K123" i="6" s="1"/>
  <c r="K155" i="6" s="1"/>
  <c r="E59" i="6"/>
  <c r="I59" i="6"/>
  <c r="L59" i="6"/>
  <c r="K59" i="6"/>
  <c r="K92" i="6" s="1"/>
  <c r="E60" i="6"/>
  <c r="J60" i="6" s="1"/>
  <c r="I60" i="6"/>
  <c r="L60" i="6"/>
  <c r="K60" i="6"/>
  <c r="K93" i="6" s="1"/>
  <c r="K125" i="6" s="1"/>
  <c r="K157" i="6" s="1"/>
  <c r="E61" i="6"/>
  <c r="I61" i="6"/>
  <c r="L61" i="6"/>
  <c r="L94" i="6" s="1"/>
  <c r="K61" i="6"/>
  <c r="K94" i="6" s="1"/>
  <c r="K126" i="6" s="1"/>
  <c r="K158" i="6" s="1"/>
  <c r="E62" i="6"/>
  <c r="E95" i="6" s="1"/>
  <c r="I62" i="6"/>
  <c r="L62" i="6"/>
  <c r="K62" i="6"/>
  <c r="K95" i="6" s="1"/>
  <c r="E63" i="6"/>
  <c r="I63" i="6"/>
  <c r="L63" i="6"/>
  <c r="K63" i="6"/>
  <c r="K96" i="6" s="1"/>
  <c r="K128" i="6" s="1"/>
  <c r="E64" i="6"/>
  <c r="E97" i="6" s="1"/>
  <c r="E129" i="6" s="1"/>
  <c r="I64" i="6"/>
  <c r="L64" i="6"/>
  <c r="L97" i="6" s="1"/>
  <c r="K64" i="6"/>
  <c r="E65" i="6"/>
  <c r="I65" i="6"/>
  <c r="L65" i="6"/>
  <c r="L98" i="6" s="1"/>
  <c r="K65" i="6"/>
  <c r="K98" i="6" s="1"/>
  <c r="K130" i="6" s="1"/>
  <c r="K162" i="6" s="1"/>
  <c r="E66" i="6"/>
  <c r="E67" i="6"/>
  <c r="E100" i="6" s="1"/>
  <c r="M46" i="4"/>
  <c r="M94" i="5"/>
  <c r="T100" i="5"/>
  <c r="T104" i="5"/>
  <c r="T108" i="5"/>
  <c r="T114" i="5"/>
  <c r="T124" i="5"/>
  <c r="T129" i="5"/>
  <c r="T133" i="5"/>
  <c r="T136" i="5"/>
  <c r="T137" i="5"/>
  <c r="O17" i="4"/>
  <c r="S17" i="4" s="1"/>
  <c r="O18" i="4"/>
  <c r="O19" i="4"/>
  <c r="S19" i="4" s="1"/>
  <c r="O20" i="4"/>
  <c r="S20" i="4" s="1"/>
  <c r="O21" i="4"/>
  <c r="O22" i="4"/>
  <c r="O23" i="4"/>
  <c r="S23" i="4" s="1"/>
  <c r="O24" i="4"/>
  <c r="O25" i="4"/>
  <c r="S25" i="4" s="1"/>
  <c r="O16" i="5"/>
  <c r="P16" i="5" s="1"/>
  <c r="O18" i="5"/>
  <c r="O19" i="5"/>
  <c r="O20" i="5"/>
  <c r="S20" i="5" s="1"/>
  <c r="O21" i="5"/>
  <c r="O22" i="5"/>
  <c r="O23" i="5"/>
  <c r="S23" i="5" s="1"/>
  <c r="O24" i="5"/>
  <c r="O25" i="5"/>
  <c r="S25" i="5" s="1"/>
  <c r="O26" i="5"/>
  <c r="O27" i="5"/>
  <c r="O28" i="5"/>
  <c r="S28" i="5" s="1"/>
  <c r="O29" i="5"/>
  <c r="O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T67" i="5"/>
  <c r="T68" i="5"/>
  <c r="T69" i="5"/>
  <c r="T70" i="5"/>
  <c r="P18" i="6"/>
  <c r="S20" i="6"/>
  <c r="S21" i="6"/>
  <c r="Q21" i="6"/>
  <c r="S22" i="6"/>
  <c r="Q29" i="6"/>
  <c r="T34" i="6"/>
  <c r="T35" i="6"/>
  <c r="F19" i="8"/>
  <c r="R35" i="6"/>
  <c r="R34" i="6"/>
  <c r="R70" i="5"/>
  <c r="H61" i="3"/>
  <c r="R69" i="5"/>
  <c r="R68" i="5"/>
  <c r="R67" i="5"/>
  <c r="R66" i="5"/>
  <c r="R65" i="5"/>
  <c r="R64" i="5"/>
  <c r="R63" i="5"/>
  <c r="R62" i="5"/>
  <c r="R61" i="5"/>
  <c r="R60" i="5"/>
  <c r="R59" i="5"/>
  <c r="R58" i="5"/>
  <c r="R57" i="5"/>
  <c r="R56" i="5"/>
  <c r="R55" i="5"/>
  <c r="R54" i="5"/>
  <c r="R53" i="5"/>
  <c r="R52" i="5"/>
  <c r="R51" i="5"/>
  <c r="R50" i="5"/>
  <c r="R49" i="5"/>
  <c r="R48" i="5"/>
  <c r="R47" i="5"/>
  <c r="R46" i="5"/>
  <c r="R45" i="5"/>
  <c r="R44" i="5"/>
  <c r="R43" i="5"/>
  <c r="R42" i="5"/>
  <c r="R41" i="5"/>
  <c r="R40" i="5"/>
  <c r="R39" i="5"/>
  <c r="R38" i="5"/>
  <c r="R37" i="5"/>
  <c r="R36" i="5"/>
  <c r="R35" i="5"/>
  <c r="R34" i="5"/>
  <c r="R33" i="5"/>
  <c r="R32" i="5"/>
  <c r="R31" i="5"/>
  <c r="H42" i="7"/>
  <c r="G113" i="2"/>
  <c r="G100" i="2"/>
  <c r="G126" i="2"/>
  <c r="G174" i="19"/>
  <c r="G175" i="19" s="1"/>
  <c r="G176" i="19" s="1"/>
  <c r="G177" i="19" s="1"/>
  <c r="G178" i="19" s="1"/>
  <c r="G179" i="19" s="1"/>
  <c r="G180" i="19" s="1"/>
  <c r="G181" i="19" s="1"/>
  <c r="G182" i="19" s="1"/>
  <c r="G183" i="19" s="1"/>
  <c r="G184" i="19" s="1"/>
  <c r="G185" i="19" s="1"/>
  <c r="G186" i="19" s="1"/>
  <c r="G187" i="19" s="1"/>
  <c r="G188" i="19" s="1"/>
  <c r="G189" i="19" s="1"/>
  <c r="G190" i="19" s="1"/>
  <c r="G191" i="19" s="1"/>
  <c r="G192" i="19" s="1"/>
  <c r="G193" i="19" s="1"/>
  <c r="G194" i="19" s="1"/>
  <c r="G195" i="19" s="1"/>
  <c r="G196" i="19" s="1"/>
  <c r="G197" i="19" s="1"/>
  <c r="G198" i="19" s="1"/>
  <c r="G199" i="19" s="1"/>
  <c r="G200" i="19" s="1"/>
  <c r="G201" i="19" s="1"/>
  <c r="G202" i="19" s="1"/>
  <c r="G203" i="19" s="1"/>
  <c r="G204" i="19" s="1"/>
  <c r="G205" i="19" s="1"/>
  <c r="G206" i="19" s="1"/>
  <c r="G207" i="19" s="1"/>
  <c r="G208" i="19" s="1"/>
  <c r="G209" i="19" s="1"/>
  <c r="G210" i="19" s="1"/>
  <c r="G211" i="19" s="1"/>
  <c r="G212" i="19" s="1"/>
  <c r="G213" i="19" s="1"/>
  <c r="G214" i="19" s="1"/>
  <c r="G215" i="19" s="1"/>
  <c r="G216" i="19" s="1"/>
  <c r="E173" i="19"/>
  <c r="F172" i="19"/>
  <c r="F171" i="19"/>
  <c r="F170" i="19"/>
  <c r="F169" i="19"/>
  <c r="C201" i="19"/>
  <c r="C202" i="19" s="1"/>
  <c r="C203" i="19" s="1"/>
  <c r="C204" i="19" s="1"/>
  <c r="C205" i="19" s="1"/>
  <c r="C206" i="19" s="1"/>
  <c r="C207" i="19" s="1"/>
  <c r="C208" i="19" s="1"/>
  <c r="C209" i="19" s="1"/>
  <c r="C210" i="19" s="1"/>
  <c r="C211" i="19" s="1"/>
  <c r="C212" i="19" s="1"/>
  <c r="C213" i="19" s="1"/>
  <c r="C214" i="19" s="1"/>
  <c r="C215" i="19" s="1"/>
  <c r="C216" i="19" s="1"/>
  <c r="D48" i="19"/>
  <c r="O70" i="5"/>
  <c r="O69" i="5"/>
  <c r="O68" i="5"/>
  <c r="O67" i="5"/>
  <c r="O66" i="5"/>
  <c r="O65" i="5"/>
  <c r="O64" i="5"/>
  <c r="O63" i="5"/>
  <c r="O62" i="5"/>
  <c r="O61" i="5"/>
  <c r="O60" i="5"/>
  <c r="O59" i="5"/>
  <c r="O58" i="5"/>
  <c r="O57" i="5"/>
  <c r="O56" i="5"/>
  <c r="O55" i="5"/>
  <c r="O54" i="5"/>
  <c r="O53" i="5"/>
  <c r="O52" i="5"/>
  <c r="O51" i="5"/>
  <c r="O50" i="5"/>
  <c r="O49" i="5"/>
  <c r="O48" i="5"/>
  <c r="O47" i="5"/>
  <c r="O46" i="5"/>
  <c r="O45" i="5"/>
  <c r="O44" i="5"/>
  <c r="O43" i="5"/>
  <c r="O42" i="5"/>
  <c r="O41" i="5"/>
  <c r="O40" i="5"/>
  <c r="O39" i="5"/>
  <c r="O38" i="5"/>
  <c r="O37" i="5"/>
  <c r="O36" i="5"/>
  <c r="O35" i="5"/>
  <c r="O34" i="5"/>
  <c r="O33" i="5"/>
  <c r="O32" i="5"/>
  <c r="O31" i="5"/>
  <c r="M108" i="19"/>
  <c r="L108" i="19"/>
  <c r="S29" i="6"/>
  <c r="K108" i="19"/>
  <c r="J108" i="19"/>
  <c r="I108" i="19"/>
  <c r="H108" i="19"/>
  <c r="G108" i="19"/>
  <c r="F108" i="19"/>
  <c r="E108" i="19"/>
  <c r="D108" i="19"/>
  <c r="C108" i="19"/>
  <c r="O107" i="19"/>
  <c r="P28" i="6"/>
  <c r="N107" i="19"/>
  <c r="M107" i="19"/>
  <c r="L107" i="19"/>
  <c r="K107" i="19"/>
  <c r="J107" i="19"/>
  <c r="I107" i="19"/>
  <c r="H107" i="19"/>
  <c r="G107" i="19"/>
  <c r="F107" i="19"/>
  <c r="E107" i="19"/>
  <c r="D107" i="19"/>
  <c r="C107" i="19"/>
  <c r="R106" i="19"/>
  <c r="Q106" i="19"/>
  <c r="P106" i="19"/>
  <c r="O106" i="19"/>
  <c r="N106" i="19"/>
  <c r="S27" i="6"/>
  <c r="M106" i="19"/>
  <c r="L106" i="19"/>
  <c r="K106" i="19"/>
  <c r="J106" i="19"/>
  <c r="I106" i="19"/>
  <c r="H106" i="19"/>
  <c r="G106" i="19"/>
  <c r="F106" i="19"/>
  <c r="W106" i="19" s="1"/>
  <c r="E106" i="19"/>
  <c r="D106" i="19"/>
  <c r="C106" i="19"/>
  <c r="T105" i="19"/>
  <c r="S105" i="19"/>
  <c r="R105" i="19"/>
  <c r="Q105" i="19"/>
  <c r="P105" i="19"/>
  <c r="O105" i="19"/>
  <c r="N105" i="19"/>
  <c r="M105" i="19"/>
  <c r="L105" i="19"/>
  <c r="K105" i="19"/>
  <c r="J105" i="19"/>
  <c r="I105" i="19"/>
  <c r="H105" i="19"/>
  <c r="G105" i="19"/>
  <c r="F105" i="19"/>
  <c r="E105" i="19"/>
  <c r="D105" i="19"/>
  <c r="C105" i="19"/>
  <c r="O104" i="19"/>
  <c r="N104" i="19"/>
  <c r="M104" i="19"/>
  <c r="L104" i="19"/>
  <c r="K104" i="19"/>
  <c r="J104" i="19"/>
  <c r="I104" i="19"/>
  <c r="H104" i="19"/>
  <c r="G104" i="19"/>
  <c r="F104" i="19"/>
  <c r="E104" i="19"/>
  <c r="D104" i="19"/>
  <c r="C104" i="19"/>
  <c r="L103" i="19"/>
  <c r="K103" i="19"/>
  <c r="S24" i="6"/>
  <c r="J103" i="19"/>
  <c r="I103" i="19"/>
  <c r="H103" i="19"/>
  <c r="G103" i="19"/>
  <c r="F103" i="19"/>
  <c r="E103" i="19"/>
  <c r="D103" i="19"/>
  <c r="J56" i="6"/>
  <c r="C103" i="19"/>
  <c r="I19" i="7"/>
  <c r="H19" i="7"/>
  <c r="W69" i="19"/>
  <c r="W70" i="19"/>
  <c r="W71" i="19"/>
  <c r="W72" i="19"/>
  <c r="W73" i="19"/>
  <c r="W74" i="19"/>
  <c r="W75" i="19"/>
  <c r="W76" i="19"/>
  <c r="W77" i="19"/>
  <c r="W78" i="19"/>
  <c r="W79" i="19"/>
  <c r="W83" i="19"/>
  <c r="W84" i="19"/>
  <c r="W85" i="19"/>
  <c r="W86" i="19"/>
  <c r="W87" i="19"/>
  <c r="W90" i="19"/>
  <c r="W91" i="19"/>
  <c r="W92" i="19"/>
  <c r="W93" i="19"/>
  <c r="W94" i="19"/>
  <c r="W95" i="19"/>
  <c r="W96" i="19"/>
  <c r="W97" i="19"/>
  <c r="W98" i="19"/>
  <c r="W99" i="19"/>
  <c r="J52" i="6"/>
  <c r="W100" i="19"/>
  <c r="W101" i="19"/>
  <c r="W102" i="19"/>
  <c r="I53" i="7"/>
  <c r="I59" i="7" s="1"/>
  <c r="H176" i="7" s="1"/>
  <c r="I54" i="7"/>
  <c r="J54" i="7" s="1"/>
  <c r="K54" i="7" s="1"/>
  <c r="I55" i="7"/>
  <c r="I56" i="7"/>
  <c r="I57" i="7"/>
  <c r="I65" i="7"/>
  <c r="J65" i="7" s="1"/>
  <c r="I66" i="7"/>
  <c r="I67" i="7"/>
  <c r="I69" i="7"/>
  <c r="J69" i="7" s="1"/>
  <c r="K69" i="7" s="1"/>
  <c r="L69" i="7" s="1"/>
  <c r="I70" i="7"/>
  <c r="J70" i="7" s="1"/>
  <c r="K70" i="7" s="1"/>
  <c r="L70" i="7" s="1"/>
  <c r="I71" i="7"/>
  <c r="I72" i="7"/>
  <c r="J72" i="7" s="1"/>
  <c r="K72" i="7" s="1"/>
  <c r="L72" i="7" s="1"/>
  <c r="I103" i="7"/>
  <c r="I104" i="7"/>
  <c r="I105" i="7"/>
  <c r="I106" i="7"/>
  <c r="I107" i="7"/>
  <c r="J107" i="7" s="1"/>
  <c r="K107" i="7" s="1"/>
  <c r="L107" i="7" s="1"/>
  <c r="I108" i="7"/>
  <c r="I109" i="7"/>
  <c r="I110" i="7"/>
  <c r="I111" i="7"/>
  <c r="J111" i="7" s="1"/>
  <c r="K111" i="7" s="1"/>
  <c r="L111" i="7" s="1"/>
  <c r="I119" i="7"/>
  <c r="I120" i="7"/>
  <c r="J120" i="7" s="1"/>
  <c r="K120" i="7" s="1"/>
  <c r="L120" i="7" s="1"/>
  <c r="I121" i="7"/>
  <c r="J121" i="7" s="1"/>
  <c r="I122" i="7"/>
  <c r="J122" i="7" s="1"/>
  <c r="K122" i="7" s="1"/>
  <c r="L122" i="7" s="1"/>
  <c r="I123" i="7"/>
  <c r="I124" i="7"/>
  <c r="I125" i="7"/>
  <c r="J125" i="7" s="1"/>
  <c r="K125" i="7" s="1"/>
  <c r="L125" i="7" s="1"/>
  <c r="I126" i="7"/>
  <c r="J126" i="7" s="1"/>
  <c r="K126" i="7" s="1"/>
  <c r="L126" i="7" s="1"/>
  <c r="I127" i="7"/>
  <c r="I128" i="7"/>
  <c r="I129" i="7"/>
  <c r="J129" i="7" s="1"/>
  <c r="K129" i="7" s="1"/>
  <c r="L129" i="7" s="1"/>
  <c r="I130" i="7"/>
  <c r="I131" i="7"/>
  <c r="I132" i="7"/>
  <c r="I133" i="7"/>
  <c r="J133" i="7" s="1"/>
  <c r="K133" i="7" s="1"/>
  <c r="L133" i="7" s="1"/>
  <c r="I134" i="7"/>
  <c r="J134" i="7" s="1"/>
  <c r="K134" i="7" s="1"/>
  <c r="L134" i="7" s="1"/>
  <c r="I135" i="7"/>
  <c r="I136" i="7"/>
  <c r="I137" i="7"/>
  <c r="J137" i="7" s="1"/>
  <c r="K137" i="7" s="1"/>
  <c r="L137" i="7" s="1"/>
  <c r="I138" i="7"/>
  <c r="J138" i="7" s="1"/>
  <c r="K138" i="7" s="1"/>
  <c r="L138" i="7" s="1"/>
  <c r="I139" i="7"/>
  <c r="I140" i="7"/>
  <c r="I141" i="7"/>
  <c r="J141" i="7" s="1"/>
  <c r="K141" i="7" s="1"/>
  <c r="L141" i="7" s="1"/>
  <c r="I142" i="7"/>
  <c r="J142" i="7" s="1"/>
  <c r="K142" i="7" s="1"/>
  <c r="L142" i="7" s="1"/>
  <c r="I143" i="7"/>
  <c r="I144" i="7"/>
  <c r="I145" i="7"/>
  <c r="J145" i="7" s="1"/>
  <c r="K145" i="7" s="1"/>
  <c r="L145" i="7" s="1"/>
  <c r="I146" i="7"/>
  <c r="J146" i="7" s="1"/>
  <c r="K146" i="7" s="1"/>
  <c r="L146" i="7" s="1"/>
  <c r="I147" i="7"/>
  <c r="I148" i="7"/>
  <c r="I149" i="7"/>
  <c r="J149" i="7" s="1"/>
  <c r="K149" i="7" s="1"/>
  <c r="L149" i="7" s="1"/>
  <c r="I150" i="7"/>
  <c r="I151" i="7"/>
  <c r="I152" i="7"/>
  <c r="I153" i="7"/>
  <c r="J153" i="7" s="1"/>
  <c r="K153" i="7" s="1"/>
  <c r="L153" i="7" s="1"/>
  <c r="J173" i="19"/>
  <c r="K173" i="19" s="1"/>
  <c r="L67" i="6"/>
  <c r="L100" i="6" s="1"/>
  <c r="L66" i="6"/>
  <c r="L99" i="6" s="1"/>
  <c r="S35" i="6"/>
  <c r="S34" i="6"/>
  <c r="L138" i="5"/>
  <c r="L206" i="5" s="1"/>
  <c r="L273" i="5" s="1"/>
  <c r="L137" i="5"/>
  <c r="L205" i="5" s="1"/>
  <c r="L136" i="5"/>
  <c r="L204" i="5" s="1"/>
  <c r="L271" i="5" s="1"/>
  <c r="S271" i="5" s="1"/>
  <c r="L135" i="5"/>
  <c r="L203" i="5" s="1"/>
  <c r="S203" i="5" s="1"/>
  <c r="L134" i="5"/>
  <c r="L202" i="5" s="1"/>
  <c r="L269" i="5" s="1"/>
  <c r="L133" i="5"/>
  <c r="L201" i="5" s="1"/>
  <c r="L132" i="5"/>
  <c r="L131" i="5"/>
  <c r="L199" i="5" s="1"/>
  <c r="L130" i="5"/>
  <c r="L129" i="5"/>
  <c r="S129" i="5" s="1"/>
  <c r="L128" i="5"/>
  <c r="L127" i="5"/>
  <c r="L195" i="5" s="1"/>
  <c r="L126" i="5"/>
  <c r="L194" i="5" s="1"/>
  <c r="L125" i="5"/>
  <c r="L193" i="5" s="1"/>
  <c r="L124" i="5"/>
  <c r="L123" i="5"/>
  <c r="S123" i="5" s="1"/>
  <c r="L122" i="5"/>
  <c r="L190" i="5" s="1"/>
  <c r="L257" i="5" s="1"/>
  <c r="L324" i="5" s="1"/>
  <c r="S324" i="5" s="1"/>
  <c r="L121" i="5"/>
  <c r="S121" i="5" s="1"/>
  <c r="L120" i="5"/>
  <c r="S120" i="5" s="1"/>
  <c r="L119" i="5"/>
  <c r="M119" i="5" s="1"/>
  <c r="L118" i="5"/>
  <c r="S118" i="5" s="1"/>
  <c r="L117" i="5"/>
  <c r="L185" i="5" s="1"/>
  <c r="L116" i="5"/>
  <c r="L115" i="5"/>
  <c r="L183" i="5" s="1"/>
  <c r="S183" i="5" s="1"/>
  <c r="L114" i="5"/>
  <c r="L182" i="5" s="1"/>
  <c r="L113" i="5"/>
  <c r="L112" i="5"/>
  <c r="L180" i="5" s="1"/>
  <c r="L111" i="5"/>
  <c r="L179" i="5" s="1"/>
  <c r="L110" i="5"/>
  <c r="L178" i="5" s="1"/>
  <c r="L109" i="5"/>
  <c r="L177" i="5" s="1"/>
  <c r="L108" i="5"/>
  <c r="S108" i="5" s="1"/>
  <c r="L107" i="5"/>
  <c r="M107" i="5" s="1"/>
  <c r="L106" i="5"/>
  <c r="L174" i="5" s="1"/>
  <c r="L105" i="5"/>
  <c r="L104" i="5"/>
  <c r="L172" i="5" s="1"/>
  <c r="L103" i="5"/>
  <c r="L171" i="5" s="1"/>
  <c r="L102" i="5"/>
  <c r="L170" i="5" s="1"/>
  <c r="L101" i="5"/>
  <c r="L100" i="5"/>
  <c r="L168" i="5" s="1"/>
  <c r="L235" i="5" s="1"/>
  <c r="L99" i="5"/>
  <c r="S99" i="5" s="1"/>
  <c r="S70" i="5"/>
  <c r="S69" i="5"/>
  <c r="S68" i="5"/>
  <c r="S67" i="5"/>
  <c r="S66" i="5"/>
  <c r="S65" i="5"/>
  <c r="S64" i="5"/>
  <c r="S63" i="5"/>
  <c r="S62" i="5"/>
  <c r="S61" i="5"/>
  <c r="S60" i="5"/>
  <c r="S59" i="5"/>
  <c r="S58" i="5"/>
  <c r="S57" i="5"/>
  <c r="S56" i="5"/>
  <c r="S55" i="5"/>
  <c r="S54" i="5"/>
  <c r="S53" i="5"/>
  <c r="S52" i="5"/>
  <c r="S51" i="5"/>
  <c r="S50" i="5"/>
  <c r="S49" i="5"/>
  <c r="S48" i="5"/>
  <c r="S47" i="5"/>
  <c r="S46" i="5"/>
  <c r="S45" i="5"/>
  <c r="S44" i="5"/>
  <c r="S43" i="5"/>
  <c r="S42" i="5"/>
  <c r="S41" i="5"/>
  <c r="S40" i="5"/>
  <c r="S39" i="5"/>
  <c r="S38" i="5"/>
  <c r="S37" i="5"/>
  <c r="S36" i="5"/>
  <c r="S35" i="5"/>
  <c r="S34" i="5"/>
  <c r="S33" i="5"/>
  <c r="S32" i="5"/>
  <c r="S31" i="5"/>
  <c r="I39" i="4"/>
  <c r="I62" i="4" s="1"/>
  <c r="I84" i="4" s="1"/>
  <c r="I106" i="4" s="1"/>
  <c r="P32" i="5"/>
  <c r="AA32" i="5"/>
  <c r="U32" i="5"/>
  <c r="V32" i="5" s="1"/>
  <c r="M32" i="5"/>
  <c r="M16" i="4"/>
  <c r="F47" i="4"/>
  <c r="F46" i="4"/>
  <c r="F69" i="4" s="1"/>
  <c r="F91" i="4" s="1"/>
  <c r="F113" i="4" s="1"/>
  <c r="F45" i="4"/>
  <c r="F44" i="4"/>
  <c r="F43" i="4"/>
  <c r="F42" i="4"/>
  <c r="F65" i="4" s="1"/>
  <c r="F87" i="4" s="1"/>
  <c r="F109" i="4" s="1"/>
  <c r="F41" i="4"/>
  <c r="F40" i="4"/>
  <c r="F39" i="4"/>
  <c r="F38" i="4"/>
  <c r="F61" i="4" s="1"/>
  <c r="F83" i="4" s="1"/>
  <c r="F105" i="4" s="1"/>
  <c r="J12" i="20"/>
  <c r="G81" i="14"/>
  <c r="H81" i="14" s="1"/>
  <c r="I81" i="14" s="1"/>
  <c r="G80" i="14"/>
  <c r="H80" i="14" s="1"/>
  <c r="I80" i="14" s="1"/>
  <c r="G60" i="14"/>
  <c r="H60" i="14" s="1"/>
  <c r="I60" i="14" s="1"/>
  <c r="G54" i="14"/>
  <c r="H54" i="14" s="1"/>
  <c r="I54" i="14" s="1"/>
  <c r="H74" i="7"/>
  <c r="I67" i="6"/>
  <c r="I66" i="6"/>
  <c r="O66" i="6" s="1"/>
  <c r="I114" i="3"/>
  <c r="J114" i="3" s="1"/>
  <c r="K114" i="3" s="1"/>
  <c r="E9" i="4"/>
  <c r="E9" i="5" s="1"/>
  <c r="AC32" i="5"/>
  <c r="AD32" i="5" s="1"/>
  <c r="AE32" i="5" s="1"/>
  <c r="K99" i="5"/>
  <c r="K167" i="5" s="1"/>
  <c r="K234" i="5" s="1"/>
  <c r="K301" i="5" s="1"/>
  <c r="K100" i="5"/>
  <c r="K168" i="5" s="1"/>
  <c r="K235" i="5" s="1"/>
  <c r="K302" i="5" s="1"/>
  <c r="K101" i="5"/>
  <c r="K102" i="5"/>
  <c r="K139" i="5" s="1"/>
  <c r="K103" i="5"/>
  <c r="K171" i="5" s="1"/>
  <c r="K238" i="5" s="1"/>
  <c r="K305" i="5" s="1"/>
  <c r="K104" i="5"/>
  <c r="K105" i="5"/>
  <c r="K173" i="5" s="1"/>
  <c r="K106" i="5"/>
  <c r="K174" i="5" s="1"/>
  <c r="K107" i="5"/>
  <c r="K175" i="5" s="1"/>
  <c r="K108" i="5"/>
  <c r="K176" i="5" s="1"/>
  <c r="K109" i="5"/>
  <c r="K177" i="5" s="1"/>
  <c r="K244" i="5" s="1"/>
  <c r="K311" i="5" s="1"/>
  <c r="K110" i="5"/>
  <c r="K178" i="5" s="1"/>
  <c r="K245" i="5" s="1"/>
  <c r="K111" i="5"/>
  <c r="K179" i="5" s="1"/>
  <c r="K246" i="5" s="1"/>
  <c r="K313" i="5" s="1"/>
  <c r="K112" i="5"/>
  <c r="K113" i="5"/>
  <c r="K181" i="5" s="1"/>
  <c r="K248" i="5" s="1"/>
  <c r="K315" i="5" s="1"/>
  <c r="K114" i="5"/>
  <c r="K182" i="5" s="1"/>
  <c r="K249" i="5" s="1"/>
  <c r="K316" i="5" s="1"/>
  <c r="K115" i="5"/>
  <c r="K183" i="5" s="1"/>
  <c r="K116" i="5"/>
  <c r="K184" i="5" s="1"/>
  <c r="K251" i="5" s="1"/>
  <c r="K318" i="5" s="1"/>
  <c r="K117" i="5"/>
  <c r="K185" i="5" s="1"/>
  <c r="K252" i="5" s="1"/>
  <c r="K319" i="5" s="1"/>
  <c r="K118" i="5"/>
  <c r="K186" i="5" s="1"/>
  <c r="K253" i="5" s="1"/>
  <c r="K320" i="5" s="1"/>
  <c r="K119" i="5"/>
  <c r="K187" i="5" s="1"/>
  <c r="K120" i="5"/>
  <c r="K188" i="5" s="1"/>
  <c r="K255" i="5" s="1"/>
  <c r="K322" i="5" s="1"/>
  <c r="K121" i="5"/>
  <c r="K189" i="5" s="1"/>
  <c r="K256" i="5" s="1"/>
  <c r="K323" i="5" s="1"/>
  <c r="K122" i="5"/>
  <c r="K190" i="5" s="1"/>
  <c r="K123" i="5"/>
  <c r="K191" i="5" s="1"/>
  <c r="K124" i="5"/>
  <c r="K192" i="5" s="1"/>
  <c r="K125" i="5"/>
  <c r="K193" i="5" s="1"/>
  <c r="K260" i="5" s="1"/>
  <c r="K327" i="5" s="1"/>
  <c r="K126" i="5"/>
  <c r="K194" i="5" s="1"/>
  <c r="K127" i="5"/>
  <c r="K195" i="5" s="1"/>
  <c r="K262" i="5" s="1"/>
  <c r="K329" i="5" s="1"/>
  <c r="K128" i="5"/>
  <c r="K196" i="5" s="1"/>
  <c r="K129" i="5"/>
  <c r="K197" i="5" s="1"/>
  <c r="K130" i="5"/>
  <c r="K198" i="5" s="1"/>
  <c r="K265" i="5" s="1"/>
  <c r="K332" i="5" s="1"/>
  <c r="K131" i="5"/>
  <c r="K199" i="5" s="1"/>
  <c r="K132" i="5"/>
  <c r="K200" i="5" s="1"/>
  <c r="K133" i="5"/>
  <c r="K201" i="5" s="1"/>
  <c r="K268" i="5" s="1"/>
  <c r="K335" i="5" s="1"/>
  <c r="K134" i="5"/>
  <c r="K202" i="5" s="1"/>
  <c r="K269" i="5" s="1"/>
  <c r="K135" i="5"/>
  <c r="K203" i="5" s="1"/>
  <c r="K136" i="5"/>
  <c r="K204" i="5" s="1"/>
  <c r="K137" i="5"/>
  <c r="K205" i="5" s="1"/>
  <c r="K138" i="5"/>
  <c r="K206" i="5" s="1"/>
  <c r="E31" i="4"/>
  <c r="E77" i="5" s="1"/>
  <c r="H99" i="5"/>
  <c r="H167" i="5" s="1"/>
  <c r="H100" i="5"/>
  <c r="AA100" i="5" s="1"/>
  <c r="H101" i="5"/>
  <c r="H169" i="5" s="1"/>
  <c r="H236" i="5" s="1"/>
  <c r="AC236" i="5" s="1"/>
  <c r="AD236" i="5" s="1"/>
  <c r="H102" i="5"/>
  <c r="H170" i="5" s="1"/>
  <c r="H103" i="5"/>
  <c r="H171" i="5" s="1"/>
  <c r="H104" i="5"/>
  <c r="H172" i="5" s="1"/>
  <c r="H105" i="5"/>
  <c r="H173" i="5" s="1"/>
  <c r="H106" i="5"/>
  <c r="H174" i="5" s="1"/>
  <c r="H107" i="5"/>
  <c r="H175" i="5" s="1"/>
  <c r="H108" i="5"/>
  <c r="AA108" i="5" s="1"/>
  <c r="H109" i="5"/>
  <c r="H177" i="5" s="1"/>
  <c r="H110" i="5"/>
  <c r="H178" i="5" s="1"/>
  <c r="H111" i="5"/>
  <c r="H179" i="5" s="1"/>
  <c r="H112" i="5"/>
  <c r="H180" i="5" s="1"/>
  <c r="H247" i="5" s="1"/>
  <c r="H314" i="5" s="1"/>
  <c r="H113" i="5"/>
  <c r="AA113" i="5" s="1"/>
  <c r="H114" i="5"/>
  <c r="H182" i="5" s="1"/>
  <c r="H115" i="5"/>
  <c r="H183" i="5" s="1"/>
  <c r="H250" i="5" s="1"/>
  <c r="H116" i="5"/>
  <c r="AA116" i="5" s="1"/>
  <c r="H117" i="5"/>
  <c r="H185" i="5" s="1"/>
  <c r="H118" i="5"/>
  <c r="H186" i="5" s="1"/>
  <c r="H119" i="5"/>
  <c r="H187" i="5" s="1"/>
  <c r="H120" i="5"/>
  <c r="H188" i="5" s="1"/>
  <c r="H255" i="5" s="1"/>
  <c r="H322" i="5" s="1"/>
  <c r="AA322" i="5" s="1"/>
  <c r="H121" i="5"/>
  <c r="AC121" i="5" s="1"/>
  <c r="AD121" i="5" s="1"/>
  <c r="H122" i="5"/>
  <c r="H190" i="5" s="1"/>
  <c r="H123" i="5"/>
  <c r="H191" i="5" s="1"/>
  <c r="H124" i="5"/>
  <c r="AA124" i="5" s="1"/>
  <c r="H125" i="5"/>
  <c r="H193" i="5" s="1"/>
  <c r="AA193" i="5" s="1"/>
  <c r="H126" i="5"/>
  <c r="H194" i="5" s="1"/>
  <c r="AC194" i="5" s="1"/>
  <c r="AD194" i="5" s="1"/>
  <c r="H127" i="5"/>
  <c r="H195" i="5" s="1"/>
  <c r="H128" i="5"/>
  <c r="AC128" i="5" s="1"/>
  <c r="AD128" i="5" s="1"/>
  <c r="H129" i="5"/>
  <c r="H197" i="5" s="1"/>
  <c r="H264" i="5" s="1"/>
  <c r="AA264" i="5" s="1"/>
  <c r="H130" i="5"/>
  <c r="H198" i="5" s="1"/>
  <c r="AC198" i="5" s="1"/>
  <c r="AD198" i="5" s="1"/>
  <c r="H131" i="5"/>
  <c r="H199" i="5" s="1"/>
  <c r="H132" i="5"/>
  <c r="AA132" i="5" s="1"/>
  <c r="H133" i="5"/>
  <c r="H201" i="5" s="1"/>
  <c r="AA201" i="5" s="1"/>
  <c r="H134" i="5"/>
  <c r="H202" i="5" s="1"/>
  <c r="H135" i="5"/>
  <c r="H203" i="5" s="1"/>
  <c r="H136" i="5"/>
  <c r="H204" i="5" s="1"/>
  <c r="AC204" i="5" s="1"/>
  <c r="AD204" i="5" s="1"/>
  <c r="H137" i="5"/>
  <c r="AC137" i="5" s="1"/>
  <c r="AD137" i="5" s="1"/>
  <c r="AE137" i="5" s="1"/>
  <c r="H138" i="5"/>
  <c r="H206" i="5" s="1"/>
  <c r="E54" i="4"/>
  <c r="E145" i="5" s="1"/>
  <c r="H181" i="5"/>
  <c r="AA181" i="5" s="1"/>
  <c r="E76" i="4"/>
  <c r="E212" i="5" s="1"/>
  <c r="D31" i="19"/>
  <c r="D32" i="19"/>
  <c r="D33" i="19"/>
  <c r="D34" i="19"/>
  <c r="D35" i="19"/>
  <c r="D36" i="19"/>
  <c r="D39" i="19"/>
  <c r="D40" i="19"/>
  <c r="D41" i="19"/>
  <c r="D42" i="19"/>
  <c r="H23" i="3"/>
  <c r="Y31" i="20"/>
  <c r="Y32" i="20"/>
  <c r="Y33" i="20"/>
  <c r="Y34" i="20"/>
  <c r="Y35" i="20"/>
  <c r="Y36" i="20"/>
  <c r="Y37" i="20"/>
  <c r="Y38" i="20"/>
  <c r="Y39" i="20"/>
  <c r="Y40" i="20"/>
  <c r="Y41" i="20"/>
  <c r="L14" i="9"/>
  <c r="N14" i="9" s="1"/>
  <c r="R100" i="5"/>
  <c r="J101" i="5"/>
  <c r="J104" i="5"/>
  <c r="J108" i="5"/>
  <c r="J112" i="5"/>
  <c r="J120" i="5"/>
  <c r="J124" i="5"/>
  <c r="J128" i="5"/>
  <c r="J129" i="5"/>
  <c r="J132" i="5"/>
  <c r="J133" i="5"/>
  <c r="J137" i="5"/>
  <c r="K66" i="6"/>
  <c r="M66" i="6" s="1"/>
  <c r="K67" i="6"/>
  <c r="K100" i="6" s="1"/>
  <c r="G84" i="5"/>
  <c r="U84" i="5" s="1"/>
  <c r="V84" i="5" s="1"/>
  <c r="G85" i="5"/>
  <c r="G153" i="5" s="1"/>
  <c r="G86" i="5"/>
  <c r="U86" i="5" s="1"/>
  <c r="V86" i="5" s="1"/>
  <c r="G87" i="5"/>
  <c r="U87" i="5" s="1"/>
  <c r="V87" i="5" s="1"/>
  <c r="G88" i="5"/>
  <c r="G89" i="5"/>
  <c r="G157" i="5" s="1"/>
  <c r="G90" i="5"/>
  <c r="U90" i="5" s="1"/>
  <c r="V90" i="5" s="1"/>
  <c r="G91" i="5"/>
  <c r="G159" i="5" s="1"/>
  <c r="G226" i="5" s="1"/>
  <c r="U226" i="5" s="1"/>
  <c r="V226" i="5" s="1"/>
  <c r="G92" i="5"/>
  <c r="U92" i="5" s="1"/>
  <c r="V92" i="5" s="1"/>
  <c r="G93" i="5"/>
  <c r="U93" i="5" s="1"/>
  <c r="V93" i="5" s="1"/>
  <c r="G94" i="5"/>
  <c r="G95" i="5"/>
  <c r="G163" i="5" s="1"/>
  <c r="U163" i="5" s="1"/>
  <c r="G96" i="5"/>
  <c r="G164" i="5" s="1"/>
  <c r="G97" i="5"/>
  <c r="U97" i="5" s="1"/>
  <c r="V97" i="5" s="1"/>
  <c r="G98" i="5"/>
  <c r="U98" i="5" s="1"/>
  <c r="V98" i="5" s="1"/>
  <c r="G99" i="5"/>
  <c r="U99" i="5" s="1"/>
  <c r="V99" i="5" s="1"/>
  <c r="G100" i="5"/>
  <c r="G168" i="5" s="1"/>
  <c r="G101" i="5"/>
  <c r="U101" i="5" s="1"/>
  <c r="V101" i="5" s="1"/>
  <c r="G102" i="5"/>
  <c r="G103" i="5"/>
  <c r="U103" i="5" s="1"/>
  <c r="V103" i="5" s="1"/>
  <c r="G104" i="5"/>
  <c r="G172" i="5" s="1"/>
  <c r="G105" i="5"/>
  <c r="U105" i="5" s="1"/>
  <c r="V105" i="5" s="1"/>
  <c r="G106" i="5"/>
  <c r="G107" i="5"/>
  <c r="G175" i="5" s="1"/>
  <c r="G108" i="5"/>
  <c r="U108" i="5" s="1"/>
  <c r="V108" i="5" s="1"/>
  <c r="G109" i="5"/>
  <c r="G110" i="5"/>
  <c r="U110" i="5" s="1"/>
  <c r="V110" i="5" s="1"/>
  <c r="G111" i="5"/>
  <c r="U111" i="5" s="1"/>
  <c r="V111" i="5" s="1"/>
  <c r="G112" i="5"/>
  <c r="U112" i="5" s="1"/>
  <c r="V112" i="5" s="1"/>
  <c r="G113" i="5"/>
  <c r="U113" i="5" s="1"/>
  <c r="V113" i="5" s="1"/>
  <c r="G114" i="5"/>
  <c r="U114" i="5" s="1"/>
  <c r="V114" i="5" s="1"/>
  <c r="G115" i="5"/>
  <c r="U115" i="5" s="1"/>
  <c r="V115" i="5" s="1"/>
  <c r="G116" i="5"/>
  <c r="G184" i="5" s="1"/>
  <c r="G117" i="5"/>
  <c r="U117" i="5" s="1"/>
  <c r="V117" i="5" s="1"/>
  <c r="G118" i="5"/>
  <c r="G119" i="5"/>
  <c r="U119" i="5" s="1"/>
  <c r="V119" i="5" s="1"/>
  <c r="G120" i="5"/>
  <c r="U120" i="5" s="1"/>
  <c r="V120" i="5" s="1"/>
  <c r="G121" i="5"/>
  <c r="G189" i="5" s="1"/>
  <c r="U189" i="5" s="1"/>
  <c r="V189" i="5" s="1"/>
  <c r="G122" i="5"/>
  <c r="U122" i="5" s="1"/>
  <c r="V122" i="5" s="1"/>
  <c r="G123" i="5"/>
  <c r="G191" i="5" s="1"/>
  <c r="G124" i="5"/>
  <c r="G125" i="5"/>
  <c r="G193" i="5" s="1"/>
  <c r="U193" i="5" s="1"/>
  <c r="V193" i="5" s="1"/>
  <c r="G126" i="5"/>
  <c r="U126" i="5" s="1"/>
  <c r="V126" i="5" s="1"/>
  <c r="G127" i="5"/>
  <c r="U127" i="5" s="1"/>
  <c r="V127" i="5" s="1"/>
  <c r="G128" i="5"/>
  <c r="U128" i="5" s="1"/>
  <c r="V128" i="5" s="1"/>
  <c r="G129" i="5"/>
  <c r="U129" i="5" s="1"/>
  <c r="V129" i="5" s="1"/>
  <c r="G130" i="5"/>
  <c r="U130" i="5" s="1"/>
  <c r="V130" i="5" s="1"/>
  <c r="G131" i="5"/>
  <c r="G199" i="5" s="1"/>
  <c r="U199" i="5" s="1"/>
  <c r="V199" i="5" s="1"/>
  <c r="G132" i="5"/>
  <c r="G133" i="5"/>
  <c r="G201" i="5" s="1"/>
  <c r="G134" i="5"/>
  <c r="U134" i="5" s="1"/>
  <c r="V134" i="5" s="1"/>
  <c r="G135" i="5"/>
  <c r="U135" i="5" s="1"/>
  <c r="V135" i="5" s="1"/>
  <c r="G136" i="5"/>
  <c r="G137" i="5"/>
  <c r="U137" i="5" s="1"/>
  <c r="V137" i="5" s="1"/>
  <c r="G138" i="5"/>
  <c r="U138" i="5" s="1"/>
  <c r="V138" i="5" s="1"/>
  <c r="G48" i="6"/>
  <c r="G49" i="6"/>
  <c r="U49" i="6" s="1"/>
  <c r="G50" i="6"/>
  <c r="U50" i="6" s="1"/>
  <c r="V50" i="6" s="1"/>
  <c r="G51" i="6"/>
  <c r="U51" i="6" s="1"/>
  <c r="V51" i="6" s="1"/>
  <c r="G52" i="6"/>
  <c r="G53" i="6"/>
  <c r="G86" i="6" s="1"/>
  <c r="G118" i="6" s="1"/>
  <c r="U118" i="6" s="1"/>
  <c r="V118" i="6" s="1"/>
  <c r="G54" i="6"/>
  <c r="G55" i="6"/>
  <c r="U55" i="6" s="1"/>
  <c r="G56" i="6"/>
  <c r="G57" i="6"/>
  <c r="G58" i="6"/>
  <c r="G59" i="6"/>
  <c r="U59" i="6" s="1"/>
  <c r="G60" i="6"/>
  <c r="U60" i="6" s="1"/>
  <c r="G61" i="6"/>
  <c r="U61" i="6" s="1"/>
  <c r="G62" i="6"/>
  <c r="G63" i="6"/>
  <c r="G64" i="6"/>
  <c r="U64" i="6" s="1"/>
  <c r="G65" i="6"/>
  <c r="G98" i="6" s="1"/>
  <c r="G66" i="6"/>
  <c r="G67" i="6"/>
  <c r="U67" i="6" s="1"/>
  <c r="V67" i="6" s="1"/>
  <c r="G38" i="4"/>
  <c r="G39" i="4"/>
  <c r="U39" i="4" s="1"/>
  <c r="G40" i="4"/>
  <c r="G63" i="4" s="1"/>
  <c r="G41" i="4"/>
  <c r="G42" i="4"/>
  <c r="G65" i="4" s="1"/>
  <c r="G43" i="4"/>
  <c r="G44" i="4"/>
  <c r="G67" i="4" s="1"/>
  <c r="G45" i="4"/>
  <c r="U45" i="4" s="1"/>
  <c r="V45" i="4" s="1"/>
  <c r="G46" i="4"/>
  <c r="G69" i="4" s="1"/>
  <c r="G47" i="4"/>
  <c r="G70" i="4" s="1"/>
  <c r="I113" i="3"/>
  <c r="J113" i="3" s="1"/>
  <c r="G155" i="5"/>
  <c r="U155" i="5" s="1"/>
  <c r="G182" i="5"/>
  <c r="U182" i="5" s="1"/>
  <c r="V182" i="5" s="1"/>
  <c r="I38" i="4"/>
  <c r="M17" i="6"/>
  <c r="M18" i="6"/>
  <c r="M19" i="6"/>
  <c r="M20" i="6"/>
  <c r="P20" i="6"/>
  <c r="M16" i="6"/>
  <c r="I138" i="5"/>
  <c r="I206" i="5" s="1"/>
  <c r="O206" i="5" s="1"/>
  <c r="I137" i="5"/>
  <c r="O137" i="5" s="1"/>
  <c r="I136" i="5"/>
  <c r="I204" i="5" s="1"/>
  <c r="I135" i="5"/>
  <c r="I203" i="5" s="1"/>
  <c r="I134" i="5"/>
  <c r="I202" i="5" s="1"/>
  <c r="I269" i="5" s="1"/>
  <c r="I133" i="5"/>
  <c r="I201" i="5" s="1"/>
  <c r="I132" i="5"/>
  <c r="I200" i="5" s="1"/>
  <c r="I267" i="5" s="1"/>
  <c r="I131" i="5"/>
  <c r="I199" i="5" s="1"/>
  <c r="I130" i="5"/>
  <c r="O130" i="5" s="1"/>
  <c r="I129" i="5"/>
  <c r="I197" i="5" s="1"/>
  <c r="I128" i="5"/>
  <c r="I196" i="5" s="1"/>
  <c r="I127" i="5"/>
  <c r="O127" i="5" s="1"/>
  <c r="I126" i="5"/>
  <c r="I194" i="5" s="1"/>
  <c r="I261" i="5" s="1"/>
  <c r="I125" i="5"/>
  <c r="I193" i="5" s="1"/>
  <c r="O193" i="5" s="1"/>
  <c r="I124" i="5"/>
  <c r="I192" i="5" s="1"/>
  <c r="I123" i="5"/>
  <c r="O123" i="5" s="1"/>
  <c r="I122" i="5"/>
  <c r="I190" i="5" s="1"/>
  <c r="I121" i="5"/>
  <c r="I189" i="5" s="1"/>
  <c r="I120" i="5"/>
  <c r="I188" i="5" s="1"/>
  <c r="I119" i="5"/>
  <c r="I187" i="5" s="1"/>
  <c r="I118" i="5"/>
  <c r="I186" i="5" s="1"/>
  <c r="I117" i="5"/>
  <c r="I116" i="5"/>
  <c r="I184" i="5" s="1"/>
  <c r="I115" i="5"/>
  <c r="I183" i="5" s="1"/>
  <c r="I250" i="5" s="1"/>
  <c r="I114" i="5"/>
  <c r="I182" i="5" s="1"/>
  <c r="I113" i="5"/>
  <c r="I181" i="5" s="1"/>
  <c r="I112" i="5"/>
  <c r="I180" i="5" s="1"/>
  <c r="I111" i="5"/>
  <c r="I179" i="5" s="1"/>
  <c r="I110" i="5"/>
  <c r="I178" i="5" s="1"/>
  <c r="I109" i="5"/>
  <c r="I177" i="5" s="1"/>
  <c r="I108" i="5"/>
  <c r="I176" i="5" s="1"/>
  <c r="I107" i="5"/>
  <c r="I175" i="5" s="1"/>
  <c r="I106" i="5"/>
  <c r="I174" i="5" s="1"/>
  <c r="O174" i="5" s="1"/>
  <c r="I105" i="5"/>
  <c r="I173" i="5" s="1"/>
  <c r="O173" i="5" s="1"/>
  <c r="I104" i="5"/>
  <c r="I172" i="5" s="1"/>
  <c r="I103" i="5"/>
  <c r="I171" i="5" s="1"/>
  <c r="I102" i="5"/>
  <c r="I170" i="5" s="1"/>
  <c r="O170" i="5" s="1"/>
  <c r="I101" i="5"/>
  <c r="O101" i="5" s="1"/>
  <c r="I100" i="5"/>
  <c r="I168" i="5" s="1"/>
  <c r="O168" i="5" s="1"/>
  <c r="I99" i="5"/>
  <c r="I167" i="5" s="1"/>
  <c r="O131" i="5"/>
  <c r="M17" i="5"/>
  <c r="U17" i="5"/>
  <c r="V17" i="5" s="1"/>
  <c r="M18" i="5"/>
  <c r="U18" i="5"/>
  <c r="V18" i="5" s="1"/>
  <c r="M19" i="5"/>
  <c r="U19" i="5"/>
  <c r="M20" i="5"/>
  <c r="U20" i="5"/>
  <c r="V20" i="5" s="1"/>
  <c r="U16" i="5"/>
  <c r="V16" i="5" s="1"/>
  <c r="U16" i="4"/>
  <c r="V16" i="4" s="1"/>
  <c r="I47" i="4"/>
  <c r="I46" i="4"/>
  <c r="I45" i="4"/>
  <c r="I44" i="4"/>
  <c r="I67" i="4" s="1"/>
  <c r="I43" i="4"/>
  <c r="I66" i="4" s="1"/>
  <c r="I88" i="4" s="1"/>
  <c r="I110" i="4" s="1"/>
  <c r="I42" i="4"/>
  <c r="I65" i="4" s="1"/>
  <c r="I41" i="4"/>
  <c r="I64" i="4" s="1"/>
  <c r="I86" i="4" s="1"/>
  <c r="I108" i="4" s="1"/>
  <c r="I40" i="4"/>
  <c r="I63" i="4" s="1"/>
  <c r="C89" i="19"/>
  <c r="W89" i="19" s="1"/>
  <c r="C88" i="19"/>
  <c r="W88" i="19" s="1"/>
  <c r="P33" i="6"/>
  <c r="R33" i="6" s="1"/>
  <c r="C82" i="19"/>
  <c r="D82" i="19"/>
  <c r="E82" i="19"/>
  <c r="W82" i="19" s="1"/>
  <c r="F82" i="19"/>
  <c r="G82" i="19"/>
  <c r="H82" i="19"/>
  <c r="I82" i="19"/>
  <c r="C81" i="19"/>
  <c r="D81" i="19"/>
  <c r="E81" i="19"/>
  <c r="F81" i="19"/>
  <c r="G81" i="19"/>
  <c r="H81" i="19"/>
  <c r="I81" i="19"/>
  <c r="J81" i="19"/>
  <c r="C80" i="19"/>
  <c r="D80" i="19"/>
  <c r="E80" i="19"/>
  <c r="F80" i="19"/>
  <c r="G80" i="19"/>
  <c r="H80" i="19"/>
  <c r="I80" i="19"/>
  <c r="W68" i="19"/>
  <c r="G97" i="2"/>
  <c r="H36" i="2"/>
  <c r="I16" i="7" s="1"/>
  <c r="M14" i="9"/>
  <c r="E119" i="19"/>
  <c r="I32" i="3"/>
  <c r="J24" i="7"/>
  <c r="J22" i="20"/>
  <c r="Z22" i="20" s="1"/>
  <c r="Y22" i="20"/>
  <c r="AL22" i="20"/>
  <c r="C5" i="2"/>
  <c r="C5" i="20"/>
  <c r="I88" i="3"/>
  <c r="J88" i="3" s="1"/>
  <c r="K88" i="3" s="1"/>
  <c r="L88" i="3" s="1"/>
  <c r="D59" i="19"/>
  <c r="D57" i="19"/>
  <c r="C5" i="13"/>
  <c r="D48" i="6"/>
  <c r="D81" i="6" s="1"/>
  <c r="D113" i="6" s="1"/>
  <c r="D145" i="6" s="1"/>
  <c r="F48" i="6"/>
  <c r="F81" i="6" s="1"/>
  <c r="F113" i="6" s="1"/>
  <c r="F145" i="6" s="1"/>
  <c r="H48" i="6"/>
  <c r="D49" i="6"/>
  <c r="D82" i="6" s="1"/>
  <c r="D114" i="6" s="1"/>
  <c r="D146" i="6" s="1"/>
  <c r="F49" i="6"/>
  <c r="F82" i="6" s="1"/>
  <c r="F114" i="6" s="1"/>
  <c r="F146" i="6" s="1"/>
  <c r="H49" i="6"/>
  <c r="D50" i="6"/>
  <c r="D83" i="6" s="1"/>
  <c r="D115" i="6" s="1"/>
  <c r="D147" i="6" s="1"/>
  <c r="F50" i="6"/>
  <c r="F83" i="6" s="1"/>
  <c r="F115" i="6" s="1"/>
  <c r="F147" i="6" s="1"/>
  <c r="H50" i="6"/>
  <c r="H83" i="6" s="1"/>
  <c r="H115" i="6" s="1"/>
  <c r="H147" i="6" s="1"/>
  <c r="D51" i="6"/>
  <c r="F51" i="6"/>
  <c r="H51" i="6"/>
  <c r="H84" i="6" s="1"/>
  <c r="H116" i="6" s="1"/>
  <c r="H148" i="6" s="1"/>
  <c r="D52" i="6"/>
  <c r="D85" i="6" s="1"/>
  <c r="D117" i="6" s="1"/>
  <c r="D149" i="6" s="1"/>
  <c r="F52" i="6"/>
  <c r="H52" i="6"/>
  <c r="H85" i="6" s="1"/>
  <c r="H117" i="6" s="1"/>
  <c r="H149" i="6" s="1"/>
  <c r="D53" i="6"/>
  <c r="D86" i="6" s="1"/>
  <c r="D118" i="6" s="1"/>
  <c r="D150" i="6" s="1"/>
  <c r="F53" i="6"/>
  <c r="F86" i="6" s="1"/>
  <c r="F118" i="6" s="1"/>
  <c r="F150" i="6" s="1"/>
  <c r="H53" i="6"/>
  <c r="H86" i="6" s="1"/>
  <c r="H118" i="6" s="1"/>
  <c r="H150" i="6" s="1"/>
  <c r="D54" i="6"/>
  <c r="F54" i="6"/>
  <c r="F87" i="6" s="1"/>
  <c r="F119" i="6" s="1"/>
  <c r="F151" i="6" s="1"/>
  <c r="H54" i="6"/>
  <c r="H87" i="6" s="1"/>
  <c r="H119" i="6" s="1"/>
  <c r="H151" i="6" s="1"/>
  <c r="D55" i="6"/>
  <c r="F55" i="6"/>
  <c r="H55" i="6"/>
  <c r="H88" i="6" s="1"/>
  <c r="H120" i="6" s="1"/>
  <c r="H152" i="6" s="1"/>
  <c r="D56" i="6"/>
  <c r="D89" i="6" s="1"/>
  <c r="D121" i="6" s="1"/>
  <c r="D153" i="6" s="1"/>
  <c r="F56" i="6"/>
  <c r="F89" i="6" s="1"/>
  <c r="F121" i="6" s="1"/>
  <c r="F153" i="6" s="1"/>
  <c r="H56" i="6"/>
  <c r="H89" i="6" s="1"/>
  <c r="H121" i="6" s="1"/>
  <c r="H153" i="6" s="1"/>
  <c r="D57" i="6"/>
  <c r="D90" i="6" s="1"/>
  <c r="D122" i="6" s="1"/>
  <c r="D154" i="6" s="1"/>
  <c r="F57" i="6"/>
  <c r="F90" i="6" s="1"/>
  <c r="F122" i="6" s="1"/>
  <c r="F154" i="6" s="1"/>
  <c r="H57" i="6"/>
  <c r="H90" i="6" s="1"/>
  <c r="H122" i="6" s="1"/>
  <c r="H154" i="6" s="1"/>
  <c r="D58" i="6"/>
  <c r="D91" i="6" s="1"/>
  <c r="D123" i="6" s="1"/>
  <c r="D155" i="6" s="1"/>
  <c r="F58" i="6"/>
  <c r="F91" i="6" s="1"/>
  <c r="F123" i="6" s="1"/>
  <c r="F155" i="6" s="1"/>
  <c r="H58" i="6"/>
  <c r="H91" i="6" s="1"/>
  <c r="H123" i="6" s="1"/>
  <c r="H155" i="6" s="1"/>
  <c r="D59" i="6"/>
  <c r="F59" i="6"/>
  <c r="H59" i="6"/>
  <c r="D60" i="6"/>
  <c r="D93" i="6" s="1"/>
  <c r="D125" i="6" s="1"/>
  <c r="D157" i="6" s="1"/>
  <c r="F60" i="6"/>
  <c r="F93" i="6" s="1"/>
  <c r="F125" i="6" s="1"/>
  <c r="F157" i="6" s="1"/>
  <c r="H60" i="6"/>
  <c r="D61" i="6"/>
  <c r="D94" i="6" s="1"/>
  <c r="D126" i="6" s="1"/>
  <c r="D158" i="6" s="1"/>
  <c r="F61" i="6"/>
  <c r="F94" i="6" s="1"/>
  <c r="F126" i="6" s="1"/>
  <c r="F158" i="6" s="1"/>
  <c r="H61" i="6"/>
  <c r="D62" i="6"/>
  <c r="F62" i="6"/>
  <c r="F95" i="6" s="1"/>
  <c r="F127" i="6" s="1"/>
  <c r="F159" i="6" s="1"/>
  <c r="H62" i="6"/>
  <c r="H95" i="6" s="1"/>
  <c r="H127" i="6" s="1"/>
  <c r="H159" i="6" s="1"/>
  <c r="D63" i="6"/>
  <c r="F63" i="6"/>
  <c r="H63" i="6"/>
  <c r="H96" i="6" s="1"/>
  <c r="H128" i="6" s="1"/>
  <c r="H160" i="6" s="1"/>
  <c r="D64" i="6"/>
  <c r="D97" i="6" s="1"/>
  <c r="D129" i="6" s="1"/>
  <c r="D161" i="6" s="1"/>
  <c r="F64" i="6"/>
  <c r="H64" i="6"/>
  <c r="H97" i="6" s="1"/>
  <c r="H129" i="6" s="1"/>
  <c r="H161" i="6" s="1"/>
  <c r="D65" i="6"/>
  <c r="D98" i="6" s="1"/>
  <c r="D130" i="6" s="1"/>
  <c r="D162" i="6" s="1"/>
  <c r="F65" i="6"/>
  <c r="H65" i="6"/>
  <c r="D66" i="6"/>
  <c r="D99" i="6" s="1"/>
  <c r="D131" i="6" s="1"/>
  <c r="D163" i="6" s="1"/>
  <c r="F66" i="6"/>
  <c r="F99" i="6" s="1"/>
  <c r="F131" i="6" s="1"/>
  <c r="F163" i="6" s="1"/>
  <c r="H66" i="6"/>
  <c r="H99" i="6" s="1"/>
  <c r="H131" i="6" s="1"/>
  <c r="H163" i="6" s="1"/>
  <c r="D67" i="6"/>
  <c r="D100" i="6" s="1"/>
  <c r="D132" i="6" s="1"/>
  <c r="D164" i="6" s="1"/>
  <c r="F67" i="6"/>
  <c r="F100" i="6" s="1"/>
  <c r="F132" i="6" s="1"/>
  <c r="F164" i="6" s="1"/>
  <c r="H67" i="6"/>
  <c r="H100" i="6" s="1"/>
  <c r="H132" i="6" s="1"/>
  <c r="H164" i="6" s="1"/>
  <c r="C5" i="6"/>
  <c r="C5" i="5"/>
  <c r="C5" i="4"/>
  <c r="G14" i="12"/>
  <c r="H14" i="12" s="1"/>
  <c r="C5" i="16"/>
  <c r="C5" i="14"/>
  <c r="C5" i="15"/>
  <c r="G53" i="12"/>
  <c r="H53" i="12"/>
  <c r="I53" i="12" s="1"/>
  <c r="J53" i="12" s="1"/>
  <c r="G52" i="12"/>
  <c r="H52" i="12" s="1"/>
  <c r="I52" i="12" s="1"/>
  <c r="J52" i="12" s="1"/>
  <c r="G51" i="12"/>
  <c r="H51" i="12"/>
  <c r="I51" i="12" s="1"/>
  <c r="J51" i="12" s="1"/>
  <c r="G50" i="12"/>
  <c r="H50" i="12" s="1"/>
  <c r="I50" i="12" s="1"/>
  <c r="J50" i="12" s="1"/>
  <c r="G49" i="12"/>
  <c r="H49" i="12"/>
  <c r="I49" i="12" s="1"/>
  <c r="J49" i="12" s="1"/>
  <c r="G48" i="12"/>
  <c r="H48" i="12" s="1"/>
  <c r="G47" i="12"/>
  <c r="G54" i="12" s="1"/>
  <c r="G44" i="12"/>
  <c r="H44" i="12" s="1"/>
  <c r="I44" i="12" s="1"/>
  <c r="J44" i="12" s="1"/>
  <c r="G43" i="12"/>
  <c r="G40" i="12"/>
  <c r="H40" i="12" s="1"/>
  <c r="G35" i="12"/>
  <c r="H35" i="12" s="1"/>
  <c r="I35" i="12" s="1"/>
  <c r="J35" i="12" s="1"/>
  <c r="G34" i="12"/>
  <c r="H34" i="12" s="1"/>
  <c r="I34" i="12" s="1"/>
  <c r="J34" i="12" s="1"/>
  <c r="G33" i="12"/>
  <c r="H33" i="12" s="1"/>
  <c r="I33" i="12" s="1"/>
  <c r="J33" i="12" s="1"/>
  <c r="C5" i="12"/>
  <c r="C5" i="11"/>
  <c r="C5" i="10"/>
  <c r="C6" i="9"/>
  <c r="C5" i="8"/>
  <c r="C5" i="7"/>
  <c r="C5" i="3"/>
  <c r="K12" i="20"/>
  <c r="J13" i="20"/>
  <c r="K13" i="20" s="1"/>
  <c r="J14" i="20"/>
  <c r="K14" i="20" s="1"/>
  <c r="J15" i="20"/>
  <c r="J16" i="20"/>
  <c r="J17" i="20"/>
  <c r="J18" i="20"/>
  <c r="K18" i="20" s="1"/>
  <c r="J19" i="20"/>
  <c r="J20" i="20"/>
  <c r="AM20" i="20" s="1"/>
  <c r="J21" i="20"/>
  <c r="K21" i="20" s="1"/>
  <c r="AL31" i="20"/>
  <c r="AL32" i="20"/>
  <c r="AL33" i="20"/>
  <c r="AL34" i="20"/>
  <c r="AL35" i="20"/>
  <c r="AL36" i="20"/>
  <c r="AL37" i="20"/>
  <c r="AL38" i="20"/>
  <c r="AL39" i="20"/>
  <c r="AL40" i="20"/>
  <c r="AL41" i="20"/>
  <c r="J31" i="20"/>
  <c r="J32" i="20"/>
  <c r="Z32" i="20" s="1"/>
  <c r="J33" i="20"/>
  <c r="Z33" i="20" s="1"/>
  <c r="J34" i="20"/>
  <c r="J35" i="20"/>
  <c r="Z35" i="20" s="1"/>
  <c r="J36" i="20"/>
  <c r="Z36" i="20" s="1"/>
  <c r="J37" i="20"/>
  <c r="Z37" i="20" s="1"/>
  <c r="J38" i="20"/>
  <c r="J39" i="20"/>
  <c r="AM39" i="20" s="1"/>
  <c r="J40" i="20"/>
  <c r="J41" i="20"/>
  <c r="K41" i="20" s="1"/>
  <c r="AM12" i="20"/>
  <c r="AM21" i="20"/>
  <c r="AL13" i="20"/>
  <c r="AL14" i="20"/>
  <c r="AL15" i="20"/>
  <c r="AL16" i="20"/>
  <c r="AL17" i="20"/>
  <c r="AL18" i="20"/>
  <c r="AL19" i="20"/>
  <c r="AL20" i="20"/>
  <c r="AL21" i="20"/>
  <c r="AL12" i="20"/>
  <c r="Z12" i="20"/>
  <c r="Z15" i="20"/>
  <c r="Z20" i="20"/>
  <c r="Y13" i="20"/>
  <c r="Y14" i="20"/>
  <c r="Y15" i="20"/>
  <c r="Y16" i="20"/>
  <c r="Y17" i="20"/>
  <c r="Y18" i="20"/>
  <c r="Y19" i="20"/>
  <c r="Y20" i="20"/>
  <c r="Y21" i="20"/>
  <c r="Y12" i="20"/>
  <c r="E10" i="20"/>
  <c r="H127" i="3"/>
  <c r="D44" i="19"/>
  <c r="I102" i="7"/>
  <c r="J102" i="7"/>
  <c r="G68" i="14" s="1"/>
  <c r="K102" i="7"/>
  <c r="H68" i="14" s="1"/>
  <c r="L102" i="7"/>
  <c r="I68" i="14" s="1"/>
  <c r="H34" i="2"/>
  <c r="F12" i="13"/>
  <c r="G66" i="14"/>
  <c r="H66" i="14" s="1"/>
  <c r="I66" i="14" s="1"/>
  <c r="G67" i="14"/>
  <c r="H67" i="14" s="1"/>
  <c r="I67" i="14" s="1"/>
  <c r="G69" i="14"/>
  <c r="H69" i="14" s="1"/>
  <c r="I69" i="14" s="1"/>
  <c r="G70" i="14"/>
  <c r="I115" i="3"/>
  <c r="I116" i="3"/>
  <c r="J116" i="3" s="1"/>
  <c r="K116" i="3" s="1"/>
  <c r="L116" i="3" s="1"/>
  <c r="I117" i="3"/>
  <c r="J117" i="3" s="1"/>
  <c r="K117" i="3" s="1"/>
  <c r="L117" i="3" s="1"/>
  <c r="I118" i="3"/>
  <c r="J118" i="3" s="1"/>
  <c r="K118" i="3" s="1"/>
  <c r="L118" i="3" s="1"/>
  <c r="I119" i="3"/>
  <c r="J119" i="3" s="1"/>
  <c r="K119" i="3" s="1"/>
  <c r="L119" i="3" s="1"/>
  <c r="I120" i="3"/>
  <c r="J120" i="3" s="1"/>
  <c r="K120" i="3" s="1"/>
  <c r="L120" i="3" s="1"/>
  <c r="I121" i="3"/>
  <c r="J121" i="3" s="1"/>
  <c r="K121" i="3" s="1"/>
  <c r="L121" i="3" s="1"/>
  <c r="I122" i="3"/>
  <c r="J122" i="3" s="1"/>
  <c r="K122" i="3" s="1"/>
  <c r="L122" i="3" s="1"/>
  <c r="I123" i="3"/>
  <c r="J123" i="3" s="1"/>
  <c r="K123" i="3" s="1"/>
  <c r="L123" i="3" s="1"/>
  <c r="I124" i="3"/>
  <c r="J124" i="3" s="1"/>
  <c r="K124" i="3" s="1"/>
  <c r="L124" i="3" s="1"/>
  <c r="I125" i="3"/>
  <c r="J125" i="3" s="1"/>
  <c r="K125" i="3" s="1"/>
  <c r="L125" i="3" s="1"/>
  <c r="I126" i="3"/>
  <c r="J126" i="3" s="1"/>
  <c r="K126" i="3" s="1"/>
  <c r="L126" i="3" s="1"/>
  <c r="L15" i="9"/>
  <c r="N15" i="9" s="1"/>
  <c r="H48" i="10"/>
  <c r="J103" i="7"/>
  <c r="K103" i="7" s="1"/>
  <c r="L103" i="7" s="1"/>
  <c r="J104" i="7"/>
  <c r="K104" i="7" s="1"/>
  <c r="J105" i="7"/>
  <c r="K105" i="7" s="1"/>
  <c r="L105" i="7" s="1"/>
  <c r="J106" i="7"/>
  <c r="K106" i="7"/>
  <c r="L106" i="7" s="1"/>
  <c r="J108" i="7"/>
  <c r="K108" i="7" s="1"/>
  <c r="L108" i="7" s="1"/>
  <c r="J109" i="7"/>
  <c r="K109" i="7" s="1"/>
  <c r="L109" i="7" s="1"/>
  <c r="J110" i="7"/>
  <c r="K110" i="7" s="1"/>
  <c r="L110" i="7" s="1"/>
  <c r="J119" i="7"/>
  <c r="K119" i="7" s="1"/>
  <c r="J123" i="7"/>
  <c r="K123" i="7" s="1"/>
  <c r="L123" i="7" s="1"/>
  <c r="J124" i="7"/>
  <c r="K124" i="7" s="1"/>
  <c r="L124" i="7" s="1"/>
  <c r="J127" i="7"/>
  <c r="K127" i="7" s="1"/>
  <c r="L127" i="7" s="1"/>
  <c r="J128" i="7"/>
  <c r="K128" i="7" s="1"/>
  <c r="L128" i="7" s="1"/>
  <c r="J130" i="7"/>
  <c r="K130" i="7" s="1"/>
  <c r="L130" i="7" s="1"/>
  <c r="J131" i="7"/>
  <c r="K131" i="7" s="1"/>
  <c r="L131" i="7" s="1"/>
  <c r="J132" i="7"/>
  <c r="K132" i="7" s="1"/>
  <c r="J135" i="7"/>
  <c r="K135" i="7" s="1"/>
  <c r="L135" i="7" s="1"/>
  <c r="J136" i="7"/>
  <c r="K136" i="7" s="1"/>
  <c r="L136" i="7" s="1"/>
  <c r="J139" i="7"/>
  <c r="K139" i="7" s="1"/>
  <c r="L139" i="7" s="1"/>
  <c r="J140" i="7"/>
  <c r="K140" i="7" s="1"/>
  <c r="L140" i="7" s="1"/>
  <c r="J143" i="7"/>
  <c r="K143" i="7" s="1"/>
  <c r="L143" i="7" s="1"/>
  <c r="J144" i="7"/>
  <c r="K144" i="7" s="1"/>
  <c r="L144" i="7" s="1"/>
  <c r="J147" i="7"/>
  <c r="K147" i="7" s="1"/>
  <c r="L147" i="7" s="1"/>
  <c r="J148" i="7"/>
  <c r="K148" i="7" s="1"/>
  <c r="L148" i="7" s="1"/>
  <c r="J150" i="7"/>
  <c r="K150" i="7" s="1"/>
  <c r="L150" i="7" s="1"/>
  <c r="J151" i="7"/>
  <c r="K151" i="7" s="1"/>
  <c r="L151" i="7" s="1"/>
  <c r="J152" i="7"/>
  <c r="K152" i="7" s="1"/>
  <c r="L152" i="7" s="1"/>
  <c r="I36" i="11"/>
  <c r="G27" i="14" s="1"/>
  <c r="I48" i="10"/>
  <c r="J48" i="10"/>
  <c r="G48" i="10"/>
  <c r="F27" i="14"/>
  <c r="I95" i="2"/>
  <c r="J95" i="2" s="1"/>
  <c r="K95" i="2" s="1"/>
  <c r="I96" i="2"/>
  <c r="I98" i="2"/>
  <c r="I99" i="2"/>
  <c r="I111" i="2"/>
  <c r="I113" i="2" s="1"/>
  <c r="I112" i="2"/>
  <c r="J112" i="2" s="1"/>
  <c r="K112" i="2" s="1"/>
  <c r="I108" i="2"/>
  <c r="J108" i="2" s="1"/>
  <c r="K108" i="2" s="1"/>
  <c r="I109" i="2"/>
  <c r="J109" i="2"/>
  <c r="K109" i="2" s="1"/>
  <c r="I124" i="2"/>
  <c r="I125" i="2"/>
  <c r="I121" i="2"/>
  <c r="J121" i="2" s="1"/>
  <c r="K121" i="2" s="1"/>
  <c r="I122" i="2"/>
  <c r="L174" i="19"/>
  <c r="L175" i="19" s="1"/>
  <c r="L176" i="19" s="1"/>
  <c r="J23" i="7"/>
  <c r="J26" i="7"/>
  <c r="K26" i="7" s="1"/>
  <c r="L26" i="7" s="1"/>
  <c r="J42" i="7"/>
  <c r="J55" i="7"/>
  <c r="J56" i="7"/>
  <c r="K56" i="7" s="1"/>
  <c r="L56" i="7" s="1"/>
  <c r="J57" i="7"/>
  <c r="K57" i="7" s="1"/>
  <c r="L57" i="7" s="1"/>
  <c r="J66" i="7"/>
  <c r="J67" i="7"/>
  <c r="K67" i="7" s="1"/>
  <c r="L67" i="7" s="1"/>
  <c r="J68" i="7"/>
  <c r="J71" i="7"/>
  <c r="K71" i="7" s="1"/>
  <c r="L71" i="7" s="1"/>
  <c r="H97" i="2"/>
  <c r="H100" i="2"/>
  <c r="H113" i="2"/>
  <c r="H110" i="2"/>
  <c r="H58" i="2" s="1"/>
  <c r="H126" i="2"/>
  <c r="H123" i="2"/>
  <c r="H59" i="2" s="1"/>
  <c r="H66" i="2" s="1"/>
  <c r="I61" i="3"/>
  <c r="I34" i="2"/>
  <c r="J61" i="3"/>
  <c r="I72" i="3"/>
  <c r="I73" i="3"/>
  <c r="J73" i="3" s="1"/>
  <c r="I74" i="3"/>
  <c r="J74" i="3" s="1"/>
  <c r="K74" i="3" s="1"/>
  <c r="L74" i="3" s="1"/>
  <c r="I75" i="3"/>
  <c r="J75" i="3" s="1"/>
  <c r="K75" i="3" s="1"/>
  <c r="L75" i="3" s="1"/>
  <c r="I76" i="3"/>
  <c r="J76" i="3" s="1"/>
  <c r="K76" i="3" s="1"/>
  <c r="L76" i="3" s="1"/>
  <c r="I84" i="3"/>
  <c r="J84" i="3" s="1"/>
  <c r="I85" i="3"/>
  <c r="I148" i="3" s="1"/>
  <c r="F19" i="14" s="1"/>
  <c r="I86" i="3"/>
  <c r="I149" i="3" s="1"/>
  <c r="F22" i="14" s="1"/>
  <c r="I87" i="3"/>
  <c r="I90" i="3"/>
  <c r="J90" i="3" s="1"/>
  <c r="K90" i="3" s="1"/>
  <c r="L90" i="3" s="1"/>
  <c r="I35" i="11"/>
  <c r="G15" i="14" s="1"/>
  <c r="K42" i="7"/>
  <c r="K61" i="3"/>
  <c r="L42" i="7"/>
  <c r="L61" i="3"/>
  <c r="I42" i="7"/>
  <c r="G110" i="2"/>
  <c r="G58" i="2" s="1"/>
  <c r="G65" i="2" s="1"/>
  <c r="G123" i="2"/>
  <c r="D46" i="19"/>
  <c r="D43" i="19"/>
  <c r="H92" i="3"/>
  <c r="F15" i="14"/>
  <c r="H38" i="2"/>
  <c r="I23" i="3" s="1"/>
  <c r="H102" i="7"/>
  <c r="H113" i="7" s="1"/>
  <c r="G25" i="11" s="1"/>
  <c r="G16" i="8"/>
  <c r="G19" i="8" s="1"/>
  <c r="U17" i="4"/>
  <c r="V17" i="4" s="1"/>
  <c r="U18" i="4"/>
  <c r="V18" i="4" s="1"/>
  <c r="U19" i="4"/>
  <c r="V19" i="4" s="1"/>
  <c r="U20" i="4"/>
  <c r="V20" i="4" s="1"/>
  <c r="U21" i="4"/>
  <c r="V21" i="4" s="1"/>
  <c r="U22" i="4"/>
  <c r="V22" i="4" s="1"/>
  <c r="U23" i="4"/>
  <c r="V23" i="4" s="1"/>
  <c r="U24" i="4"/>
  <c r="V24" i="4" s="1"/>
  <c r="U25" i="4"/>
  <c r="V25" i="4" s="1"/>
  <c r="U21" i="5"/>
  <c r="V21" i="5" s="1"/>
  <c r="U22" i="5"/>
  <c r="V22" i="5" s="1"/>
  <c r="U23" i="5"/>
  <c r="V23" i="5" s="1"/>
  <c r="U24" i="5"/>
  <c r="V24" i="5" s="1"/>
  <c r="U25" i="5"/>
  <c r="V25" i="5" s="1"/>
  <c r="U26" i="5"/>
  <c r="V26" i="5" s="1"/>
  <c r="U27" i="5"/>
  <c r="V27" i="5" s="1"/>
  <c r="U28" i="5"/>
  <c r="V28" i="5" s="1"/>
  <c r="U29" i="5"/>
  <c r="V29" i="5" s="1"/>
  <c r="U30" i="5"/>
  <c r="V30" i="5" s="1"/>
  <c r="U31" i="5"/>
  <c r="V31" i="5" s="1"/>
  <c r="U33" i="5"/>
  <c r="V33" i="5" s="1"/>
  <c r="U34" i="5"/>
  <c r="V34" i="5" s="1"/>
  <c r="U35" i="5"/>
  <c r="V35" i="5" s="1"/>
  <c r="U36" i="5"/>
  <c r="V36" i="5" s="1"/>
  <c r="U37" i="5"/>
  <c r="V37" i="5" s="1"/>
  <c r="U38" i="5"/>
  <c r="V38" i="5" s="1"/>
  <c r="U39" i="5"/>
  <c r="V39" i="5" s="1"/>
  <c r="U40" i="5"/>
  <c r="V40" i="5" s="1"/>
  <c r="U41" i="5"/>
  <c r="V41" i="5" s="1"/>
  <c r="U42" i="5"/>
  <c r="V42" i="5" s="1"/>
  <c r="U43" i="5"/>
  <c r="V43" i="5" s="1"/>
  <c r="U44" i="5"/>
  <c r="V44" i="5" s="1"/>
  <c r="U45" i="5"/>
  <c r="V45" i="5" s="1"/>
  <c r="U46" i="5"/>
  <c r="V46" i="5" s="1"/>
  <c r="U47" i="5"/>
  <c r="V47" i="5" s="1"/>
  <c r="U48" i="5"/>
  <c r="V48" i="5" s="1"/>
  <c r="U49" i="5"/>
  <c r="U50" i="5"/>
  <c r="V50" i="5" s="1"/>
  <c r="U51" i="5"/>
  <c r="V51" i="5" s="1"/>
  <c r="U52" i="5"/>
  <c r="V52" i="5" s="1"/>
  <c r="U53" i="5"/>
  <c r="V53" i="5" s="1"/>
  <c r="U54" i="5"/>
  <c r="V54" i="5" s="1"/>
  <c r="U55" i="5"/>
  <c r="V55" i="5" s="1"/>
  <c r="U56" i="5"/>
  <c r="V56" i="5" s="1"/>
  <c r="U57" i="5"/>
  <c r="V57" i="5" s="1"/>
  <c r="U58" i="5"/>
  <c r="V58" i="5" s="1"/>
  <c r="U59" i="5"/>
  <c r="V59" i="5" s="1"/>
  <c r="U60" i="5"/>
  <c r="V60" i="5" s="1"/>
  <c r="U61" i="5"/>
  <c r="V61" i="5" s="1"/>
  <c r="U62" i="5"/>
  <c r="V62" i="5" s="1"/>
  <c r="U63" i="5"/>
  <c r="V63" i="5" s="1"/>
  <c r="U64" i="5"/>
  <c r="V64" i="5" s="1"/>
  <c r="U65" i="5"/>
  <c r="V65" i="5" s="1"/>
  <c r="U66" i="5"/>
  <c r="V66" i="5" s="1"/>
  <c r="U67" i="5"/>
  <c r="V67" i="5" s="1"/>
  <c r="U68" i="5"/>
  <c r="V68" i="5" s="1"/>
  <c r="U69" i="5"/>
  <c r="V69" i="5" s="1"/>
  <c r="U70" i="5"/>
  <c r="V70" i="5" s="1"/>
  <c r="U16" i="6"/>
  <c r="U17" i="6"/>
  <c r="V17" i="6" s="1"/>
  <c r="U18" i="6"/>
  <c r="V18" i="6" s="1"/>
  <c r="U19" i="6"/>
  <c r="V19" i="6" s="1"/>
  <c r="U20" i="6"/>
  <c r="V20" i="6" s="1"/>
  <c r="U21" i="6"/>
  <c r="V21" i="6" s="1"/>
  <c r="U22" i="6"/>
  <c r="V22" i="6" s="1"/>
  <c r="U23" i="6"/>
  <c r="V23" i="6" s="1"/>
  <c r="U24" i="6"/>
  <c r="V24" i="6" s="1"/>
  <c r="U25" i="6"/>
  <c r="V25" i="6" s="1"/>
  <c r="U26" i="6"/>
  <c r="V26" i="6" s="1"/>
  <c r="U27" i="6"/>
  <c r="V27" i="6" s="1"/>
  <c r="U28" i="6"/>
  <c r="V28" i="6" s="1"/>
  <c r="U29" i="6"/>
  <c r="V29" i="6" s="1"/>
  <c r="U30" i="6"/>
  <c r="V30" i="6" s="1"/>
  <c r="U31" i="6"/>
  <c r="V31" i="6" s="1"/>
  <c r="U32" i="6"/>
  <c r="V32" i="6" s="1"/>
  <c r="U33" i="6"/>
  <c r="V33" i="6" s="1"/>
  <c r="U34" i="6"/>
  <c r="V34" i="6" s="1"/>
  <c r="U35" i="6"/>
  <c r="V35" i="6" s="1"/>
  <c r="G89" i="2"/>
  <c r="H89" i="2" s="1"/>
  <c r="I89" i="2" s="1"/>
  <c r="J89" i="2" s="1"/>
  <c r="K89" i="2" s="1"/>
  <c r="G102" i="2"/>
  <c r="H102" i="2" s="1"/>
  <c r="I102" i="2" s="1"/>
  <c r="J102" i="2" s="1"/>
  <c r="K102" i="2" s="1"/>
  <c r="G115" i="2"/>
  <c r="H115" i="2" s="1"/>
  <c r="I115" i="2" s="1"/>
  <c r="J115" i="2" s="1"/>
  <c r="K115" i="2" s="1"/>
  <c r="G128" i="2"/>
  <c r="H128" i="2" s="1"/>
  <c r="I128" i="2" s="1"/>
  <c r="J128" i="2" s="1"/>
  <c r="K128" i="2" s="1"/>
  <c r="G50" i="2"/>
  <c r="H17" i="7" s="1"/>
  <c r="H38" i="11"/>
  <c r="G19" i="12"/>
  <c r="G20" i="12"/>
  <c r="F24" i="13" s="1"/>
  <c r="G21" i="12"/>
  <c r="F25" i="13" s="1"/>
  <c r="F54" i="12"/>
  <c r="G16" i="12"/>
  <c r="H16" i="12" s="1"/>
  <c r="I16" i="12" s="1"/>
  <c r="J16" i="12" s="1"/>
  <c r="I39" i="13" s="1"/>
  <c r="F45" i="12"/>
  <c r="I173" i="7"/>
  <c r="J173" i="7"/>
  <c r="K173" i="7"/>
  <c r="L173" i="7"/>
  <c r="H173" i="7"/>
  <c r="F48" i="10"/>
  <c r="K172" i="19"/>
  <c r="K171" i="19"/>
  <c r="K169" i="19"/>
  <c r="G129" i="2"/>
  <c r="G116" i="2"/>
  <c r="G103" i="2"/>
  <c r="K19" i="2"/>
  <c r="K76" i="2" s="1"/>
  <c r="J19" i="2"/>
  <c r="I19" i="2"/>
  <c r="I76" i="2" s="1"/>
  <c r="H19" i="2"/>
  <c r="H76" i="2" s="1"/>
  <c r="G20" i="2"/>
  <c r="G77" i="2" s="1"/>
  <c r="G19" i="2"/>
  <c r="H129" i="2"/>
  <c r="H116" i="2"/>
  <c r="H103" i="2"/>
  <c r="G74" i="14"/>
  <c r="H74" i="14" s="1"/>
  <c r="H70" i="14"/>
  <c r="I70" i="14" s="1"/>
  <c r="G48" i="14"/>
  <c r="H48" i="14" s="1"/>
  <c r="I48" i="14" s="1"/>
  <c r="G41" i="14"/>
  <c r="H41" i="14" s="1"/>
  <c r="I41" i="14" s="1"/>
  <c r="F18" i="10"/>
  <c r="I28" i="3"/>
  <c r="E98" i="4"/>
  <c r="H47" i="4"/>
  <c r="H70" i="4" s="1"/>
  <c r="H92" i="4" s="1"/>
  <c r="H114" i="4" s="1"/>
  <c r="D47" i="4"/>
  <c r="D70" i="4" s="1"/>
  <c r="D92" i="4" s="1"/>
  <c r="D114" i="4" s="1"/>
  <c r="H46" i="4"/>
  <c r="H69" i="4" s="1"/>
  <c r="H91" i="4" s="1"/>
  <c r="H113" i="4" s="1"/>
  <c r="D46" i="4"/>
  <c r="D69" i="4" s="1"/>
  <c r="D91" i="4" s="1"/>
  <c r="D113" i="4" s="1"/>
  <c r="H45" i="4"/>
  <c r="H68" i="4" s="1"/>
  <c r="H90" i="4" s="1"/>
  <c r="H112" i="4" s="1"/>
  <c r="D45" i="4"/>
  <c r="D68" i="4" s="1"/>
  <c r="D90" i="4" s="1"/>
  <c r="D112" i="4" s="1"/>
  <c r="H44" i="4"/>
  <c r="H67" i="4" s="1"/>
  <c r="H89" i="4" s="1"/>
  <c r="H111" i="4" s="1"/>
  <c r="D44" i="4"/>
  <c r="D67" i="4" s="1"/>
  <c r="D89" i="4" s="1"/>
  <c r="D111" i="4" s="1"/>
  <c r="H43" i="4"/>
  <c r="H66" i="4" s="1"/>
  <c r="H88" i="4" s="1"/>
  <c r="H110" i="4" s="1"/>
  <c r="D43" i="4"/>
  <c r="D66" i="4" s="1"/>
  <c r="D88" i="4" s="1"/>
  <c r="D110" i="4" s="1"/>
  <c r="H42" i="4"/>
  <c r="H65" i="4" s="1"/>
  <c r="H87" i="4" s="1"/>
  <c r="H109" i="4" s="1"/>
  <c r="D42" i="4"/>
  <c r="D65" i="4" s="1"/>
  <c r="D87" i="4" s="1"/>
  <c r="D109" i="4" s="1"/>
  <c r="H41" i="4"/>
  <c r="H64" i="4" s="1"/>
  <c r="H86" i="4" s="1"/>
  <c r="H108" i="4" s="1"/>
  <c r="D41" i="4"/>
  <c r="D64" i="4" s="1"/>
  <c r="D86" i="4" s="1"/>
  <c r="D108" i="4" s="1"/>
  <c r="H40" i="4"/>
  <c r="H63" i="4" s="1"/>
  <c r="H85" i="4" s="1"/>
  <c r="H107" i="4" s="1"/>
  <c r="D40" i="4"/>
  <c r="D63" i="4" s="1"/>
  <c r="D85" i="4" s="1"/>
  <c r="D107" i="4" s="1"/>
  <c r="H39" i="4"/>
  <c r="H62" i="4" s="1"/>
  <c r="H84" i="4" s="1"/>
  <c r="H106" i="4" s="1"/>
  <c r="D39" i="4"/>
  <c r="D62" i="4" s="1"/>
  <c r="D84" i="4" s="1"/>
  <c r="D106" i="4" s="1"/>
  <c r="H38" i="4"/>
  <c r="H61" i="4" s="1"/>
  <c r="H83" i="4" s="1"/>
  <c r="H105" i="4" s="1"/>
  <c r="D38" i="4"/>
  <c r="D61" i="4" s="1"/>
  <c r="D83" i="4" s="1"/>
  <c r="D105" i="4" s="1"/>
  <c r="F67" i="4"/>
  <c r="F89" i="4" s="1"/>
  <c r="F111" i="4" s="1"/>
  <c r="M25" i="4"/>
  <c r="M24" i="4"/>
  <c r="M23" i="4"/>
  <c r="M22" i="4"/>
  <c r="P22" i="4"/>
  <c r="M21" i="4"/>
  <c r="M20" i="4"/>
  <c r="M19" i="4"/>
  <c r="M18" i="4"/>
  <c r="M17" i="4"/>
  <c r="K26" i="4"/>
  <c r="E97" i="4"/>
  <c r="E137" i="6" s="1"/>
  <c r="E75" i="4"/>
  <c r="E53" i="4"/>
  <c r="E73" i="6" s="1"/>
  <c r="E30" i="4"/>
  <c r="E40" i="6" s="1"/>
  <c r="E8" i="4"/>
  <c r="E8" i="5" s="1"/>
  <c r="E8" i="6" s="1"/>
  <c r="F62" i="4"/>
  <c r="F84" i="4" s="1"/>
  <c r="F106" i="4" s="1"/>
  <c r="F63" i="4"/>
  <c r="F85" i="4" s="1"/>
  <c r="F107" i="4" s="1"/>
  <c r="F64" i="4"/>
  <c r="F86" i="4" s="1"/>
  <c r="F108" i="4" s="1"/>
  <c r="F66" i="4"/>
  <c r="F88" i="4" s="1"/>
  <c r="F110" i="4" s="1"/>
  <c r="F68" i="4"/>
  <c r="F90" i="4" s="1"/>
  <c r="F112" i="4" s="1"/>
  <c r="F70" i="4"/>
  <c r="F92" i="4" s="1"/>
  <c r="F114" i="4" s="1"/>
  <c r="L26" i="4"/>
  <c r="D56" i="2"/>
  <c r="D63" i="2" s="1"/>
  <c r="D62" i="2"/>
  <c r="D59" i="2"/>
  <c r="D66" i="2"/>
  <c r="D58" i="2"/>
  <c r="D65" i="2" s="1"/>
  <c r="D57" i="2"/>
  <c r="D64" i="2"/>
  <c r="M21" i="6"/>
  <c r="M22" i="6"/>
  <c r="P22" i="6"/>
  <c r="M23" i="6"/>
  <c r="M24" i="6"/>
  <c r="M25" i="6"/>
  <c r="M26" i="6"/>
  <c r="M27" i="6"/>
  <c r="M28" i="6"/>
  <c r="M29" i="6"/>
  <c r="P29" i="6"/>
  <c r="M30" i="6"/>
  <c r="M31" i="6"/>
  <c r="M32" i="6"/>
  <c r="M33" i="6"/>
  <c r="M34" i="6"/>
  <c r="M35" i="6"/>
  <c r="M21" i="5"/>
  <c r="M22" i="5"/>
  <c r="M23" i="5"/>
  <c r="M24" i="5"/>
  <c r="M25" i="5"/>
  <c r="M26" i="5"/>
  <c r="M27" i="5"/>
  <c r="M28" i="5"/>
  <c r="M29" i="5"/>
  <c r="M30" i="5"/>
  <c r="M31"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E37" i="19"/>
  <c r="E38" i="19"/>
  <c r="D37" i="19"/>
  <c r="D38" i="19"/>
  <c r="G47" i="14"/>
  <c r="H47" i="14" s="1"/>
  <c r="G40" i="14"/>
  <c r="H40" i="14" s="1"/>
  <c r="G78" i="14"/>
  <c r="H78" i="14" s="1"/>
  <c r="I78" i="14" s="1"/>
  <c r="G46" i="14"/>
  <c r="H46" i="14" s="1"/>
  <c r="I46" i="14" s="1"/>
  <c r="G39" i="14"/>
  <c r="F49" i="14"/>
  <c r="F82" i="16" s="1"/>
  <c r="F42" i="14"/>
  <c r="F43" i="14" s="1"/>
  <c r="L87" i="9"/>
  <c r="O87" i="9" s="1"/>
  <c r="N87" i="9"/>
  <c r="M87" i="9"/>
  <c r="L16" i="9"/>
  <c r="O16" i="9" s="1"/>
  <c r="L17" i="9"/>
  <c r="O17" i="9" s="1"/>
  <c r="L18" i="9"/>
  <c r="O18" i="9" s="1"/>
  <c r="L19" i="9"/>
  <c r="O19" i="9" s="1"/>
  <c r="L20" i="9"/>
  <c r="O20" i="9" s="1"/>
  <c r="L21" i="9"/>
  <c r="O21" i="9" s="1"/>
  <c r="N21" i="9"/>
  <c r="L22" i="9"/>
  <c r="O22" i="9" s="1"/>
  <c r="N22" i="9"/>
  <c r="L23" i="9"/>
  <c r="O23" i="9" s="1"/>
  <c r="N23" i="9"/>
  <c r="L24" i="9"/>
  <c r="O24" i="9" s="1"/>
  <c r="N24" i="9"/>
  <c r="L25" i="9"/>
  <c r="O25" i="9" s="1"/>
  <c r="N25" i="9"/>
  <c r="L26" i="9"/>
  <c r="O26" i="9" s="1"/>
  <c r="N26" i="9"/>
  <c r="L27" i="9"/>
  <c r="O27" i="9" s="1"/>
  <c r="N27" i="9"/>
  <c r="L28" i="9"/>
  <c r="O28" i="9"/>
  <c r="N28" i="9"/>
  <c r="L29" i="9"/>
  <c r="O29" i="9" s="1"/>
  <c r="N29" i="9"/>
  <c r="L30" i="9"/>
  <c r="O30" i="9" s="1"/>
  <c r="N30" i="9"/>
  <c r="L31" i="9"/>
  <c r="O31" i="9" s="1"/>
  <c r="N31" i="9"/>
  <c r="L32" i="9"/>
  <c r="O32" i="9" s="1"/>
  <c r="N32" i="9"/>
  <c r="L33" i="9"/>
  <c r="O33" i="9" s="1"/>
  <c r="N33" i="9"/>
  <c r="L34" i="9"/>
  <c r="O34" i="9" s="1"/>
  <c r="N34" i="9"/>
  <c r="L35" i="9"/>
  <c r="O35" i="9" s="1"/>
  <c r="N35" i="9"/>
  <c r="L36" i="9"/>
  <c r="O36" i="9" s="1"/>
  <c r="N36" i="9"/>
  <c r="L37" i="9"/>
  <c r="O37" i="9" s="1"/>
  <c r="N37" i="9"/>
  <c r="L38" i="9"/>
  <c r="O38" i="9" s="1"/>
  <c r="N38" i="9"/>
  <c r="L39" i="9"/>
  <c r="O39" i="9" s="1"/>
  <c r="N39" i="9"/>
  <c r="L40" i="9"/>
  <c r="O40" i="9" s="1"/>
  <c r="N40" i="9"/>
  <c r="L41" i="9"/>
  <c r="O41" i="9" s="1"/>
  <c r="N41" i="9"/>
  <c r="L42" i="9"/>
  <c r="O42" i="9" s="1"/>
  <c r="N42" i="9"/>
  <c r="L43" i="9"/>
  <c r="O43" i="9" s="1"/>
  <c r="N43" i="9"/>
  <c r="L44" i="9"/>
  <c r="O44" i="9" s="1"/>
  <c r="N44" i="9"/>
  <c r="L45" i="9"/>
  <c r="O45" i="9" s="1"/>
  <c r="N45" i="9"/>
  <c r="L46" i="9"/>
  <c r="O46" i="9" s="1"/>
  <c r="N46" i="9"/>
  <c r="L47" i="9"/>
  <c r="O47" i="9" s="1"/>
  <c r="N47" i="9"/>
  <c r="L48" i="9"/>
  <c r="O48" i="9" s="1"/>
  <c r="N48" i="9"/>
  <c r="L49" i="9"/>
  <c r="O49" i="9" s="1"/>
  <c r="N49" i="9"/>
  <c r="L50" i="9"/>
  <c r="O50" i="9" s="1"/>
  <c r="N50" i="9"/>
  <c r="L51" i="9"/>
  <c r="O51" i="9" s="1"/>
  <c r="N51" i="9"/>
  <c r="L52" i="9"/>
  <c r="O52" i="9"/>
  <c r="N52" i="9"/>
  <c r="L53" i="9"/>
  <c r="O53" i="9" s="1"/>
  <c r="N53" i="9"/>
  <c r="L54" i="9"/>
  <c r="O54" i="9" s="1"/>
  <c r="N54" i="9"/>
  <c r="L55" i="9"/>
  <c r="O55" i="9" s="1"/>
  <c r="N55" i="9"/>
  <c r="L56" i="9"/>
  <c r="O56" i="9" s="1"/>
  <c r="N56" i="9"/>
  <c r="L57" i="9"/>
  <c r="O57" i="9" s="1"/>
  <c r="N57" i="9"/>
  <c r="L58" i="9"/>
  <c r="O58" i="9" s="1"/>
  <c r="N58" i="9"/>
  <c r="L59" i="9"/>
  <c r="O59" i="9" s="1"/>
  <c r="N59" i="9"/>
  <c r="L60" i="9"/>
  <c r="O60" i="9"/>
  <c r="N60" i="9"/>
  <c r="L61" i="9"/>
  <c r="O61" i="9" s="1"/>
  <c r="N61" i="9"/>
  <c r="L62" i="9"/>
  <c r="O62" i="9" s="1"/>
  <c r="N62" i="9"/>
  <c r="L63" i="9"/>
  <c r="O63" i="9" s="1"/>
  <c r="N63" i="9"/>
  <c r="L64" i="9"/>
  <c r="O64" i="9" s="1"/>
  <c r="N64" i="9"/>
  <c r="L65" i="9"/>
  <c r="O65" i="9" s="1"/>
  <c r="N65" i="9"/>
  <c r="L66" i="9"/>
  <c r="O66" i="9" s="1"/>
  <c r="N66" i="9"/>
  <c r="L67" i="9"/>
  <c r="O67" i="9" s="1"/>
  <c r="N67" i="9"/>
  <c r="L68" i="9"/>
  <c r="O68" i="9" s="1"/>
  <c r="N68" i="9"/>
  <c r="L69" i="9"/>
  <c r="O69" i="9" s="1"/>
  <c r="N69" i="9"/>
  <c r="L70" i="9"/>
  <c r="O70" i="9" s="1"/>
  <c r="N70" i="9"/>
  <c r="L71" i="9"/>
  <c r="O71" i="9" s="1"/>
  <c r="N71" i="9"/>
  <c r="L72" i="9"/>
  <c r="O72" i="9" s="1"/>
  <c r="N72" i="9"/>
  <c r="L73" i="9"/>
  <c r="O73" i="9" s="1"/>
  <c r="N73" i="9"/>
  <c r="L74" i="9"/>
  <c r="O74" i="9" s="1"/>
  <c r="N74" i="9"/>
  <c r="L75" i="9"/>
  <c r="O75" i="9" s="1"/>
  <c r="N75" i="9"/>
  <c r="L76" i="9"/>
  <c r="O76" i="9" s="1"/>
  <c r="N76" i="9"/>
  <c r="L77" i="9"/>
  <c r="O77" i="9" s="1"/>
  <c r="N77" i="9"/>
  <c r="L78" i="9"/>
  <c r="O78" i="9" s="1"/>
  <c r="N78" i="9"/>
  <c r="L79" i="9"/>
  <c r="O79" i="9" s="1"/>
  <c r="N79" i="9"/>
  <c r="L80" i="9"/>
  <c r="O80" i="9" s="1"/>
  <c r="N80" i="9"/>
  <c r="L81" i="9"/>
  <c r="O81" i="9" s="1"/>
  <c r="N81" i="9"/>
  <c r="L82" i="9"/>
  <c r="O82" i="9" s="1"/>
  <c r="N82" i="9"/>
  <c r="L83" i="9"/>
  <c r="O83" i="9" s="1"/>
  <c r="N83" i="9"/>
  <c r="L84" i="9"/>
  <c r="O84" i="9"/>
  <c r="N84" i="9"/>
  <c r="L85" i="9"/>
  <c r="O85" i="9" s="1"/>
  <c r="N85" i="9"/>
  <c r="L86" i="9"/>
  <c r="O86" i="9" s="1"/>
  <c r="N86" i="9"/>
  <c r="L88" i="9"/>
  <c r="O88" i="9" s="1"/>
  <c r="N88" i="9"/>
  <c r="L89" i="9"/>
  <c r="O89" i="9" s="1"/>
  <c r="N89" i="9"/>
  <c r="L90" i="9"/>
  <c r="O90" i="9" s="1"/>
  <c r="N90" i="9"/>
  <c r="L91" i="9"/>
  <c r="O91" i="9" s="1"/>
  <c r="N91" i="9"/>
  <c r="L92" i="9"/>
  <c r="O92" i="9" s="1"/>
  <c r="N92" i="9"/>
  <c r="L93" i="9"/>
  <c r="O93" i="9"/>
  <c r="N93" i="9"/>
  <c r="L94" i="9"/>
  <c r="O94" i="9" s="1"/>
  <c r="N94" i="9"/>
  <c r="L95" i="9"/>
  <c r="O95" i="9" s="1"/>
  <c r="N95" i="9"/>
  <c r="L96" i="9"/>
  <c r="O96" i="9" s="1"/>
  <c r="N96" i="9"/>
  <c r="L97" i="9"/>
  <c r="O97" i="9" s="1"/>
  <c r="N97" i="9"/>
  <c r="L98" i="9"/>
  <c r="O98" i="9" s="1"/>
  <c r="N98" i="9"/>
  <c r="L99" i="9"/>
  <c r="O99" i="9" s="1"/>
  <c r="N99" i="9"/>
  <c r="L100" i="9"/>
  <c r="O100" i="9" s="1"/>
  <c r="N100" i="9"/>
  <c r="L101" i="9"/>
  <c r="O101" i="9" s="1"/>
  <c r="N101" i="9"/>
  <c r="L102" i="9"/>
  <c r="O102" i="9" s="1"/>
  <c r="N102" i="9"/>
  <c r="L103" i="9"/>
  <c r="O103" i="9" s="1"/>
  <c r="N103" i="9"/>
  <c r="L104" i="9"/>
  <c r="O104" i="9" s="1"/>
  <c r="N104" i="9"/>
  <c r="L105" i="9"/>
  <c r="O105" i="9" s="1"/>
  <c r="N105" i="9"/>
  <c r="L106" i="9"/>
  <c r="O106" i="9" s="1"/>
  <c r="N106" i="9"/>
  <c r="L107" i="9"/>
  <c r="O107" i="9" s="1"/>
  <c r="N107" i="9"/>
  <c r="L108" i="9"/>
  <c r="O108" i="9" s="1"/>
  <c r="N108" i="9"/>
  <c r="L109" i="9"/>
  <c r="O109" i="9" s="1"/>
  <c r="N109" i="9"/>
  <c r="L110" i="9"/>
  <c r="O110" i="9" s="1"/>
  <c r="N110" i="9"/>
  <c r="L111" i="9"/>
  <c r="O111" i="9" s="1"/>
  <c r="N111" i="9"/>
  <c r="L112" i="9"/>
  <c r="O112" i="9" s="1"/>
  <c r="N112" i="9"/>
  <c r="L113" i="9"/>
  <c r="O113" i="9" s="1"/>
  <c r="N113" i="9"/>
  <c r="L114" i="9"/>
  <c r="O114" i="9" s="1"/>
  <c r="N114" i="9"/>
  <c r="L115" i="9"/>
  <c r="O115" i="9" s="1"/>
  <c r="N115" i="9"/>
  <c r="L116" i="9"/>
  <c r="O116" i="9" s="1"/>
  <c r="N116" i="9"/>
  <c r="L117" i="9"/>
  <c r="O117" i="9"/>
  <c r="N117" i="9"/>
  <c r="L118" i="9"/>
  <c r="O118" i="9" s="1"/>
  <c r="N118" i="9"/>
  <c r="L119" i="9"/>
  <c r="O119" i="9" s="1"/>
  <c r="N119" i="9"/>
  <c r="L120" i="9"/>
  <c r="O120" i="9" s="1"/>
  <c r="N120" i="9"/>
  <c r="L121" i="9"/>
  <c r="O121" i="9" s="1"/>
  <c r="N121" i="9"/>
  <c r="L122" i="9"/>
  <c r="O122" i="9" s="1"/>
  <c r="N122" i="9"/>
  <c r="L123" i="9"/>
  <c r="O123" i="9" s="1"/>
  <c r="N123" i="9"/>
  <c r="L124" i="9"/>
  <c r="O124" i="9" s="1"/>
  <c r="N124" i="9"/>
  <c r="L125" i="9"/>
  <c r="O125" i="9"/>
  <c r="N125" i="9"/>
  <c r="L126" i="9"/>
  <c r="O126" i="9" s="1"/>
  <c r="N126" i="9"/>
  <c r="L127" i="9"/>
  <c r="O127" i="9" s="1"/>
  <c r="N127" i="9"/>
  <c r="L128" i="9"/>
  <c r="O128" i="9" s="1"/>
  <c r="N128" i="9"/>
  <c r="L129" i="9"/>
  <c r="O129" i="9" s="1"/>
  <c r="N129" i="9"/>
  <c r="L130" i="9"/>
  <c r="O130" i="9" s="1"/>
  <c r="N130" i="9"/>
  <c r="L131" i="9"/>
  <c r="O131" i="9" s="1"/>
  <c r="N131" i="9"/>
  <c r="L132" i="9"/>
  <c r="O132" i="9" s="1"/>
  <c r="N132" i="9"/>
  <c r="L133" i="9"/>
  <c r="O133" i="9" s="1"/>
  <c r="N133" i="9"/>
  <c r="L134" i="9"/>
  <c r="O134" i="9" s="1"/>
  <c r="N134" i="9"/>
  <c r="L135" i="9"/>
  <c r="O135" i="9" s="1"/>
  <c r="N135" i="9"/>
  <c r="L136" i="9"/>
  <c r="O136" i="9" s="1"/>
  <c r="N136" i="9"/>
  <c r="L137" i="9"/>
  <c r="O137" i="9" s="1"/>
  <c r="N137" i="9"/>
  <c r="L138" i="9"/>
  <c r="O138" i="9" s="1"/>
  <c r="N138" i="9"/>
  <c r="L139" i="9"/>
  <c r="O139" i="9" s="1"/>
  <c r="N139" i="9"/>
  <c r="L140" i="9"/>
  <c r="O140" i="9" s="1"/>
  <c r="N140" i="9"/>
  <c r="L141" i="9"/>
  <c r="O141" i="9" s="1"/>
  <c r="N141" i="9"/>
  <c r="M86" i="9"/>
  <c r="M92" i="9"/>
  <c r="M85" i="9"/>
  <c r="M84" i="9"/>
  <c r="M83" i="9"/>
  <c r="M82" i="9"/>
  <c r="M81" i="9"/>
  <c r="M141" i="9"/>
  <c r="M140" i="9"/>
  <c r="M139" i="9"/>
  <c r="M138" i="9"/>
  <c r="M137" i="9"/>
  <c r="M136" i="9"/>
  <c r="M135" i="9"/>
  <c r="M134" i="9"/>
  <c r="M133" i="9"/>
  <c r="M132" i="9"/>
  <c r="M131" i="9"/>
  <c r="M130" i="9"/>
  <c r="M129" i="9"/>
  <c r="M128" i="9"/>
  <c r="M127" i="9"/>
  <c r="M126" i="9"/>
  <c r="M125" i="9"/>
  <c r="M124" i="9"/>
  <c r="M123" i="9"/>
  <c r="M122" i="9"/>
  <c r="M121" i="9"/>
  <c r="M120" i="9"/>
  <c r="M119" i="9"/>
  <c r="M118" i="9"/>
  <c r="M117" i="9"/>
  <c r="M116" i="9"/>
  <c r="M115" i="9"/>
  <c r="M114" i="9"/>
  <c r="M113" i="9"/>
  <c r="M112" i="9"/>
  <c r="M111" i="9"/>
  <c r="M110" i="9"/>
  <c r="M109" i="9"/>
  <c r="M108" i="9"/>
  <c r="M107" i="9"/>
  <c r="M106" i="9"/>
  <c r="M105" i="9"/>
  <c r="M104" i="9"/>
  <c r="M103" i="9"/>
  <c r="M102" i="9"/>
  <c r="M101" i="9"/>
  <c r="M100" i="9"/>
  <c r="M99" i="9"/>
  <c r="M98" i="9"/>
  <c r="M97" i="9"/>
  <c r="M96" i="9"/>
  <c r="M95" i="9"/>
  <c r="M66" i="9"/>
  <c r="M94" i="9"/>
  <c r="M93" i="9"/>
  <c r="M91" i="9"/>
  <c r="M90" i="9"/>
  <c r="M89" i="9"/>
  <c r="M88" i="9"/>
  <c r="M80" i="9"/>
  <c r="M79" i="9"/>
  <c r="M78" i="9"/>
  <c r="M77" i="9"/>
  <c r="M76" i="9"/>
  <c r="M75" i="9"/>
  <c r="M74" i="9"/>
  <c r="M73" i="9"/>
  <c r="M72" i="9"/>
  <c r="M71" i="9"/>
  <c r="M70" i="9"/>
  <c r="M69" i="9"/>
  <c r="M68" i="9"/>
  <c r="M67" i="9"/>
  <c r="M65" i="9"/>
  <c r="M64" i="9"/>
  <c r="M63" i="9"/>
  <c r="M62" i="9"/>
  <c r="M61" i="9"/>
  <c r="M60" i="9"/>
  <c r="M59" i="9"/>
  <c r="M58" i="9"/>
  <c r="M57" i="9"/>
  <c r="M56" i="9"/>
  <c r="M55" i="9"/>
  <c r="M54" i="9"/>
  <c r="M53" i="9"/>
  <c r="M52" i="9"/>
  <c r="M51" i="9"/>
  <c r="M50" i="9"/>
  <c r="M49" i="9"/>
  <c r="M48" i="9"/>
  <c r="M47" i="9"/>
  <c r="M46" i="9"/>
  <c r="M45" i="9"/>
  <c r="M44" i="9"/>
  <c r="M43" i="9"/>
  <c r="M42" i="9"/>
  <c r="M41" i="9"/>
  <c r="M40" i="9"/>
  <c r="M39" i="9"/>
  <c r="M38" i="9"/>
  <c r="M37" i="9"/>
  <c r="M36" i="9"/>
  <c r="M35" i="9"/>
  <c r="M34" i="9"/>
  <c r="M33" i="9"/>
  <c r="M32" i="9"/>
  <c r="M31" i="9"/>
  <c r="M30" i="9"/>
  <c r="M29" i="9"/>
  <c r="M28" i="9"/>
  <c r="M27" i="9"/>
  <c r="M26" i="9"/>
  <c r="M25" i="9"/>
  <c r="M24" i="9"/>
  <c r="M23" i="9"/>
  <c r="M22" i="9"/>
  <c r="M21" i="9"/>
  <c r="M20" i="9"/>
  <c r="M19" i="9"/>
  <c r="M18" i="9"/>
  <c r="M17" i="9"/>
  <c r="M16" i="9"/>
  <c r="M15" i="9"/>
  <c r="H94" i="6"/>
  <c r="H126" i="6" s="1"/>
  <c r="H158" i="6" s="1"/>
  <c r="H92" i="6"/>
  <c r="H124" i="6" s="1"/>
  <c r="H156" i="6" s="1"/>
  <c r="E41" i="6"/>
  <c r="P35" i="6"/>
  <c r="P34" i="6"/>
  <c r="H98" i="6"/>
  <c r="H130" i="6" s="1"/>
  <c r="H162" i="6" s="1"/>
  <c r="H93" i="6"/>
  <c r="H125" i="6" s="1"/>
  <c r="H157" i="6" s="1"/>
  <c r="H82" i="6"/>
  <c r="H114" i="6" s="1"/>
  <c r="H146" i="6" s="1"/>
  <c r="H81" i="6"/>
  <c r="H113" i="6" s="1"/>
  <c r="H145" i="6" s="1"/>
  <c r="K36" i="6"/>
  <c r="D84" i="6"/>
  <c r="D116" i="6" s="1"/>
  <c r="D148" i="6" s="1"/>
  <c r="F84" i="6"/>
  <c r="F116" i="6" s="1"/>
  <c r="F148" i="6" s="1"/>
  <c r="F85" i="6"/>
  <c r="F117" i="6" s="1"/>
  <c r="F149" i="6" s="1"/>
  <c r="D87" i="6"/>
  <c r="D119" i="6" s="1"/>
  <c r="D151" i="6" s="1"/>
  <c r="D88" i="6"/>
  <c r="D120" i="6" s="1"/>
  <c r="D152" i="6" s="1"/>
  <c r="F88" i="6"/>
  <c r="F120" i="6" s="1"/>
  <c r="F152" i="6" s="1"/>
  <c r="D92" i="6"/>
  <c r="D124" i="6" s="1"/>
  <c r="D156" i="6" s="1"/>
  <c r="F92" i="6"/>
  <c r="F124" i="6" s="1"/>
  <c r="F156" i="6" s="1"/>
  <c r="D95" i="6"/>
  <c r="D127" i="6" s="1"/>
  <c r="D159" i="6" s="1"/>
  <c r="D96" i="6"/>
  <c r="D128" i="6" s="1"/>
  <c r="D160" i="6" s="1"/>
  <c r="F96" i="6"/>
  <c r="F128" i="6" s="1"/>
  <c r="F160" i="6" s="1"/>
  <c r="F97" i="6"/>
  <c r="F129" i="6" s="1"/>
  <c r="F161" i="6" s="1"/>
  <c r="F98" i="6"/>
  <c r="F130" i="6" s="1"/>
  <c r="F162" i="6" s="1"/>
  <c r="L36" i="6"/>
  <c r="AA138" i="5"/>
  <c r="AA134" i="5"/>
  <c r="AA133" i="5"/>
  <c r="AA131" i="5"/>
  <c r="AA130" i="5"/>
  <c r="AA125" i="5"/>
  <c r="AA122" i="5"/>
  <c r="AA119" i="5"/>
  <c r="AA118" i="5"/>
  <c r="AA115" i="5"/>
  <c r="AA114" i="5"/>
  <c r="AA111" i="5"/>
  <c r="AA109" i="5"/>
  <c r="AA106" i="5"/>
  <c r="AA102" i="5"/>
  <c r="AA101" i="5"/>
  <c r="P137" i="5"/>
  <c r="P133" i="5"/>
  <c r="P129" i="5"/>
  <c r="P117" i="5"/>
  <c r="P110" i="5"/>
  <c r="F138" i="5"/>
  <c r="D138" i="5"/>
  <c r="D206" i="5" s="1"/>
  <c r="D273" i="5" s="1"/>
  <c r="D340" i="5" s="1"/>
  <c r="F137" i="5"/>
  <c r="F205" i="5" s="1"/>
  <c r="F272" i="5" s="1"/>
  <c r="F339" i="5" s="1"/>
  <c r="D137" i="5"/>
  <c r="D205" i="5" s="1"/>
  <c r="D272" i="5" s="1"/>
  <c r="D339" i="5" s="1"/>
  <c r="F136" i="5"/>
  <c r="F204" i="5" s="1"/>
  <c r="F271" i="5" s="1"/>
  <c r="F338" i="5" s="1"/>
  <c r="D136" i="5"/>
  <c r="D204" i="5" s="1"/>
  <c r="D271" i="5" s="1"/>
  <c r="D338" i="5" s="1"/>
  <c r="F135" i="5"/>
  <c r="F203" i="5" s="1"/>
  <c r="F270" i="5" s="1"/>
  <c r="F337" i="5" s="1"/>
  <c r="D135" i="5"/>
  <c r="D203" i="5" s="1"/>
  <c r="D270" i="5" s="1"/>
  <c r="D337" i="5" s="1"/>
  <c r="F134" i="5"/>
  <c r="F202" i="5" s="1"/>
  <c r="F269" i="5" s="1"/>
  <c r="F336" i="5" s="1"/>
  <c r="D134" i="5"/>
  <c r="D202" i="5" s="1"/>
  <c r="D269" i="5" s="1"/>
  <c r="D336" i="5" s="1"/>
  <c r="F133" i="5"/>
  <c r="F201" i="5" s="1"/>
  <c r="F268" i="5" s="1"/>
  <c r="F335" i="5" s="1"/>
  <c r="D133" i="5"/>
  <c r="D201" i="5" s="1"/>
  <c r="D268" i="5" s="1"/>
  <c r="D335" i="5" s="1"/>
  <c r="F132" i="5"/>
  <c r="F200" i="5" s="1"/>
  <c r="F267" i="5" s="1"/>
  <c r="F334" i="5" s="1"/>
  <c r="D132" i="5"/>
  <c r="D200" i="5" s="1"/>
  <c r="D267" i="5" s="1"/>
  <c r="D334" i="5" s="1"/>
  <c r="F131" i="5"/>
  <c r="F199" i="5" s="1"/>
  <c r="F266" i="5" s="1"/>
  <c r="F333" i="5" s="1"/>
  <c r="D131" i="5"/>
  <c r="D199" i="5" s="1"/>
  <c r="D266" i="5" s="1"/>
  <c r="D333" i="5" s="1"/>
  <c r="F130" i="5"/>
  <c r="F198" i="5" s="1"/>
  <c r="F265" i="5" s="1"/>
  <c r="F332" i="5" s="1"/>
  <c r="D130" i="5"/>
  <c r="D198" i="5" s="1"/>
  <c r="D265" i="5" s="1"/>
  <c r="D332" i="5" s="1"/>
  <c r="F129" i="5"/>
  <c r="F197" i="5" s="1"/>
  <c r="F264" i="5" s="1"/>
  <c r="F331" i="5" s="1"/>
  <c r="D129" i="5"/>
  <c r="D197" i="5" s="1"/>
  <c r="D264" i="5" s="1"/>
  <c r="D331" i="5" s="1"/>
  <c r="F128" i="5"/>
  <c r="D128" i="5"/>
  <c r="D196" i="5" s="1"/>
  <c r="D263" i="5" s="1"/>
  <c r="D330" i="5" s="1"/>
  <c r="F127" i="5"/>
  <c r="F195" i="5" s="1"/>
  <c r="F262" i="5" s="1"/>
  <c r="F329" i="5" s="1"/>
  <c r="D127" i="5"/>
  <c r="D195" i="5" s="1"/>
  <c r="D262" i="5" s="1"/>
  <c r="D329" i="5" s="1"/>
  <c r="F126" i="5"/>
  <c r="F194" i="5" s="1"/>
  <c r="F261" i="5" s="1"/>
  <c r="F328" i="5" s="1"/>
  <c r="D126" i="5"/>
  <c r="D194" i="5" s="1"/>
  <c r="D261" i="5" s="1"/>
  <c r="D328" i="5" s="1"/>
  <c r="F125" i="5"/>
  <c r="F193" i="5" s="1"/>
  <c r="F260" i="5" s="1"/>
  <c r="F327" i="5" s="1"/>
  <c r="D125" i="5"/>
  <c r="D193" i="5" s="1"/>
  <c r="D260" i="5" s="1"/>
  <c r="D327" i="5" s="1"/>
  <c r="F124" i="5"/>
  <c r="F192" i="5" s="1"/>
  <c r="F259" i="5" s="1"/>
  <c r="F326" i="5" s="1"/>
  <c r="D124" i="5"/>
  <c r="D192" i="5" s="1"/>
  <c r="D259" i="5" s="1"/>
  <c r="D326" i="5" s="1"/>
  <c r="F123" i="5"/>
  <c r="F191" i="5" s="1"/>
  <c r="F258" i="5" s="1"/>
  <c r="F325" i="5" s="1"/>
  <c r="D123" i="5"/>
  <c r="D191" i="5" s="1"/>
  <c r="D258" i="5" s="1"/>
  <c r="D325" i="5" s="1"/>
  <c r="F122" i="5"/>
  <c r="D122" i="5"/>
  <c r="D190" i="5" s="1"/>
  <c r="D257" i="5" s="1"/>
  <c r="D324" i="5" s="1"/>
  <c r="F121" i="5"/>
  <c r="F189" i="5" s="1"/>
  <c r="F256" i="5" s="1"/>
  <c r="F323" i="5" s="1"/>
  <c r="D121" i="5"/>
  <c r="D189" i="5" s="1"/>
  <c r="D256" i="5" s="1"/>
  <c r="D323" i="5" s="1"/>
  <c r="F120" i="5"/>
  <c r="F188" i="5" s="1"/>
  <c r="F255" i="5" s="1"/>
  <c r="F322" i="5" s="1"/>
  <c r="D120" i="5"/>
  <c r="D188" i="5" s="1"/>
  <c r="D255" i="5" s="1"/>
  <c r="D322" i="5" s="1"/>
  <c r="F119" i="5"/>
  <c r="F187" i="5" s="1"/>
  <c r="F254" i="5" s="1"/>
  <c r="F321" i="5" s="1"/>
  <c r="D119" i="5"/>
  <c r="D187" i="5" s="1"/>
  <c r="D254" i="5" s="1"/>
  <c r="D321" i="5" s="1"/>
  <c r="F118" i="5"/>
  <c r="F186" i="5" s="1"/>
  <c r="F253" i="5" s="1"/>
  <c r="F320" i="5" s="1"/>
  <c r="D118" i="5"/>
  <c r="D186" i="5" s="1"/>
  <c r="D253" i="5" s="1"/>
  <c r="D320" i="5" s="1"/>
  <c r="F117" i="5"/>
  <c r="F185" i="5" s="1"/>
  <c r="F252" i="5" s="1"/>
  <c r="F319" i="5" s="1"/>
  <c r="D117" i="5"/>
  <c r="D185" i="5" s="1"/>
  <c r="D252" i="5" s="1"/>
  <c r="D319" i="5" s="1"/>
  <c r="F116" i="5"/>
  <c r="F184" i="5" s="1"/>
  <c r="F251" i="5" s="1"/>
  <c r="F318" i="5" s="1"/>
  <c r="D116" i="5"/>
  <c r="D184" i="5" s="1"/>
  <c r="D251" i="5" s="1"/>
  <c r="D318" i="5" s="1"/>
  <c r="F115" i="5"/>
  <c r="F183" i="5" s="1"/>
  <c r="F250" i="5" s="1"/>
  <c r="F317" i="5" s="1"/>
  <c r="D115" i="5"/>
  <c r="D183" i="5" s="1"/>
  <c r="D250" i="5" s="1"/>
  <c r="D317" i="5" s="1"/>
  <c r="F114" i="5"/>
  <c r="D114" i="5"/>
  <c r="D182" i="5" s="1"/>
  <c r="D249" i="5" s="1"/>
  <c r="D316" i="5" s="1"/>
  <c r="F113" i="5"/>
  <c r="F181" i="5" s="1"/>
  <c r="F248" i="5" s="1"/>
  <c r="F315" i="5" s="1"/>
  <c r="D113" i="5"/>
  <c r="D181" i="5" s="1"/>
  <c r="D248" i="5" s="1"/>
  <c r="D315" i="5" s="1"/>
  <c r="F112" i="5"/>
  <c r="F180" i="5" s="1"/>
  <c r="F247" i="5" s="1"/>
  <c r="F314" i="5" s="1"/>
  <c r="D112" i="5"/>
  <c r="D180" i="5" s="1"/>
  <c r="D247" i="5" s="1"/>
  <c r="D314" i="5" s="1"/>
  <c r="F111" i="5"/>
  <c r="F179" i="5" s="1"/>
  <c r="F246" i="5" s="1"/>
  <c r="F313" i="5" s="1"/>
  <c r="D111" i="5"/>
  <c r="D179" i="5" s="1"/>
  <c r="D246" i="5" s="1"/>
  <c r="D313" i="5" s="1"/>
  <c r="F110" i="5"/>
  <c r="F178" i="5" s="1"/>
  <c r="F245" i="5" s="1"/>
  <c r="F312" i="5" s="1"/>
  <c r="D110" i="5"/>
  <c r="D178" i="5" s="1"/>
  <c r="D245" i="5" s="1"/>
  <c r="D312" i="5" s="1"/>
  <c r="F109" i="5"/>
  <c r="F177" i="5" s="1"/>
  <c r="F244" i="5" s="1"/>
  <c r="F311" i="5" s="1"/>
  <c r="D109" i="5"/>
  <c r="D177" i="5" s="1"/>
  <c r="D244" i="5" s="1"/>
  <c r="D311" i="5" s="1"/>
  <c r="F108" i="5"/>
  <c r="F176" i="5" s="1"/>
  <c r="F243" i="5" s="1"/>
  <c r="F310" i="5" s="1"/>
  <c r="D108" i="5"/>
  <c r="D176" i="5" s="1"/>
  <c r="D243" i="5" s="1"/>
  <c r="D310" i="5" s="1"/>
  <c r="F107" i="5"/>
  <c r="F175" i="5" s="1"/>
  <c r="F242" i="5" s="1"/>
  <c r="F309" i="5" s="1"/>
  <c r="D107" i="5"/>
  <c r="D175" i="5" s="1"/>
  <c r="D242" i="5" s="1"/>
  <c r="D309" i="5" s="1"/>
  <c r="F106" i="5"/>
  <c r="F174" i="5" s="1"/>
  <c r="F241" i="5" s="1"/>
  <c r="F308" i="5" s="1"/>
  <c r="D106" i="5"/>
  <c r="D174" i="5" s="1"/>
  <c r="D241" i="5" s="1"/>
  <c r="D308" i="5" s="1"/>
  <c r="F105" i="5"/>
  <c r="F173" i="5" s="1"/>
  <c r="F240" i="5" s="1"/>
  <c r="F307" i="5" s="1"/>
  <c r="D105" i="5"/>
  <c r="D173" i="5" s="1"/>
  <c r="D240" i="5" s="1"/>
  <c r="D307" i="5" s="1"/>
  <c r="F104" i="5"/>
  <c r="F172" i="5" s="1"/>
  <c r="F239" i="5" s="1"/>
  <c r="F306" i="5" s="1"/>
  <c r="D104" i="5"/>
  <c r="D172" i="5" s="1"/>
  <c r="D239" i="5" s="1"/>
  <c r="D306" i="5" s="1"/>
  <c r="F103" i="5"/>
  <c r="F171" i="5" s="1"/>
  <c r="F238" i="5" s="1"/>
  <c r="F305" i="5" s="1"/>
  <c r="D103" i="5"/>
  <c r="D171" i="5" s="1"/>
  <c r="D238" i="5" s="1"/>
  <c r="D305" i="5" s="1"/>
  <c r="F102" i="5"/>
  <c r="F170" i="5" s="1"/>
  <c r="F237" i="5" s="1"/>
  <c r="F304" i="5" s="1"/>
  <c r="D102" i="5"/>
  <c r="D170" i="5" s="1"/>
  <c r="D237" i="5" s="1"/>
  <c r="D304" i="5" s="1"/>
  <c r="F101" i="5"/>
  <c r="F169" i="5" s="1"/>
  <c r="F236" i="5" s="1"/>
  <c r="F303" i="5" s="1"/>
  <c r="D101" i="5"/>
  <c r="D169" i="5" s="1"/>
  <c r="D236" i="5" s="1"/>
  <c r="D303" i="5" s="1"/>
  <c r="F100" i="5"/>
  <c r="F168" i="5" s="1"/>
  <c r="F235" i="5" s="1"/>
  <c r="F302" i="5" s="1"/>
  <c r="D100" i="5"/>
  <c r="D168" i="5" s="1"/>
  <c r="D235" i="5" s="1"/>
  <c r="D302" i="5" s="1"/>
  <c r="F99" i="5"/>
  <c r="F167" i="5" s="1"/>
  <c r="F234" i="5" s="1"/>
  <c r="F301" i="5" s="1"/>
  <c r="D99" i="5"/>
  <c r="D167" i="5" s="1"/>
  <c r="D234" i="5" s="1"/>
  <c r="D301" i="5" s="1"/>
  <c r="F98" i="5"/>
  <c r="F166" i="5" s="1"/>
  <c r="F233" i="5" s="1"/>
  <c r="F300" i="5" s="1"/>
  <c r="D98" i="5"/>
  <c r="D166" i="5" s="1"/>
  <c r="D233" i="5" s="1"/>
  <c r="D300" i="5" s="1"/>
  <c r="F97" i="5"/>
  <c r="F165" i="5" s="1"/>
  <c r="F232" i="5" s="1"/>
  <c r="F299" i="5" s="1"/>
  <c r="D97" i="5"/>
  <c r="D165" i="5" s="1"/>
  <c r="D232" i="5" s="1"/>
  <c r="D299" i="5" s="1"/>
  <c r="F96" i="5"/>
  <c r="F164" i="5" s="1"/>
  <c r="F231" i="5" s="1"/>
  <c r="F298" i="5" s="1"/>
  <c r="D96" i="5"/>
  <c r="D164" i="5" s="1"/>
  <c r="D231" i="5" s="1"/>
  <c r="D298" i="5" s="1"/>
  <c r="F95" i="5"/>
  <c r="D95" i="5"/>
  <c r="D163" i="5" s="1"/>
  <c r="D230" i="5" s="1"/>
  <c r="D297" i="5" s="1"/>
  <c r="F94" i="5"/>
  <c r="F162" i="5" s="1"/>
  <c r="F229" i="5" s="1"/>
  <c r="F296" i="5" s="1"/>
  <c r="D94" i="5"/>
  <c r="D162" i="5" s="1"/>
  <c r="D229" i="5" s="1"/>
  <c r="D296" i="5" s="1"/>
  <c r="F93" i="5"/>
  <c r="F161" i="5" s="1"/>
  <c r="F228" i="5" s="1"/>
  <c r="F295" i="5" s="1"/>
  <c r="D93" i="5"/>
  <c r="D161" i="5" s="1"/>
  <c r="D228" i="5" s="1"/>
  <c r="D295" i="5" s="1"/>
  <c r="F92" i="5"/>
  <c r="F160" i="5" s="1"/>
  <c r="F227" i="5" s="1"/>
  <c r="F294" i="5" s="1"/>
  <c r="D92" i="5"/>
  <c r="D160" i="5" s="1"/>
  <c r="D227" i="5" s="1"/>
  <c r="D294" i="5" s="1"/>
  <c r="F91" i="5"/>
  <c r="F159" i="5" s="1"/>
  <c r="F226" i="5" s="1"/>
  <c r="F293" i="5" s="1"/>
  <c r="D91" i="5"/>
  <c r="D159" i="5" s="1"/>
  <c r="D226" i="5" s="1"/>
  <c r="D293" i="5" s="1"/>
  <c r="F90" i="5"/>
  <c r="F158" i="5" s="1"/>
  <c r="F225" i="5" s="1"/>
  <c r="F292" i="5" s="1"/>
  <c r="D90" i="5"/>
  <c r="D158" i="5" s="1"/>
  <c r="D225" i="5" s="1"/>
  <c r="D292" i="5" s="1"/>
  <c r="F89" i="5"/>
  <c r="F157" i="5" s="1"/>
  <c r="F224" i="5" s="1"/>
  <c r="F291" i="5" s="1"/>
  <c r="D89" i="5"/>
  <c r="D157" i="5" s="1"/>
  <c r="D224" i="5" s="1"/>
  <c r="D291" i="5" s="1"/>
  <c r="F88" i="5"/>
  <c r="F156" i="5" s="1"/>
  <c r="F223" i="5" s="1"/>
  <c r="F290" i="5" s="1"/>
  <c r="D88" i="5"/>
  <c r="D156" i="5" s="1"/>
  <c r="D223" i="5" s="1"/>
  <c r="D290" i="5" s="1"/>
  <c r="F87" i="5"/>
  <c r="F155" i="5" s="1"/>
  <c r="F222" i="5" s="1"/>
  <c r="F289" i="5" s="1"/>
  <c r="D87" i="5"/>
  <c r="D155" i="5" s="1"/>
  <c r="D222" i="5" s="1"/>
  <c r="D289" i="5" s="1"/>
  <c r="F86" i="5"/>
  <c r="F154" i="5" s="1"/>
  <c r="F221" i="5" s="1"/>
  <c r="F288" i="5" s="1"/>
  <c r="D86" i="5"/>
  <c r="D154" i="5" s="1"/>
  <c r="D221" i="5" s="1"/>
  <c r="D288" i="5" s="1"/>
  <c r="F85" i="5"/>
  <c r="F153" i="5" s="1"/>
  <c r="F220" i="5" s="1"/>
  <c r="F287" i="5" s="1"/>
  <c r="D85" i="5"/>
  <c r="D153" i="5" s="1"/>
  <c r="D220" i="5" s="1"/>
  <c r="D287" i="5" s="1"/>
  <c r="D84" i="5"/>
  <c r="D152" i="5" s="1"/>
  <c r="D219" i="5" s="1"/>
  <c r="D286" i="5" s="1"/>
  <c r="F84" i="5"/>
  <c r="F152" i="5" s="1"/>
  <c r="F219" i="5" s="1"/>
  <c r="F286" i="5" s="1"/>
  <c r="AA70" i="5"/>
  <c r="AA69" i="5"/>
  <c r="AA68" i="5"/>
  <c r="AC68" i="5"/>
  <c r="AD68" i="5" s="1"/>
  <c r="AE68" i="5" s="1"/>
  <c r="AA67" i="5"/>
  <c r="AA66" i="5"/>
  <c r="AA65" i="5"/>
  <c r="AA64" i="5"/>
  <c r="AC64" i="5"/>
  <c r="AD64" i="5" s="1"/>
  <c r="AE64" i="5" s="1"/>
  <c r="AA63" i="5"/>
  <c r="AA62" i="5"/>
  <c r="AA61" i="5"/>
  <c r="AA60" i="5"/>
  <c r="AC60" i="5"/>
  <c r="AD60" i="5" s="1"/>
  <c r="AE60" i="5" s="1"/>
  <c r="AA59" i="5"/>
  <c r="AA58" i="5"/>
  <c r="AA57" i="5"/>
  <c r="AA56" i="5"/>
  <c r="AC56" i="5"/>
  <c r="AD56" i="5" s="1"/>
  <c r="AE56" i="5" s="1"/>
  <c r="AA55" i="5"/>
  <c r="AA54" i="5"/>
  <c r="AA53" i="5"/>
  <c r="AA52" i="5"/>
  <c r="AC52" i="5"/>
  <c r="AD52" i="5" s="1"/>
  <c r="AE52" i="5" s="1"/>
  <c r="AA51" i="5"/>
  <c r="AA50" i="5"/>
  <c r="AA49" i="5"/>
  <c r="AA48" i="5"/>
  <c r="AC48" i="5"/>
  <c r="AD48" i="5" s="1"/>
  <c r="AE48" i="5" s="1"/>
  <c r="AA47" i="5"/>
  <c r="AA46" i="5"/>
  <c r="AA45" i="5"/>
  <c r="AA44" i="5"/>
  <c r="AC44" i="5"/>
  <c r="AD44" i="5" s="1"/>
  <c r="AE44" i="5" s="1"/>
  <c r="AA43" i="5"/>
  <c r="AA42" i="5"/>
  <c r="AA41" i="5"/>
  <c r="AA40" i="5"/>
  <c r="AA39" i="5"/>
  <c r="AA38" i="5"/>
  <c r="AA37" i="5"/>
  <c r="AA36" i="5"/>
  <c r="AC36" i="5"/>
  <c r="AD36" i="5" s="1"/>
  <c r="AE36" i="5" s="1"/>
  <c r="AA35" i="5"/>
  <c r="AA34" i="5"/>
  <c r="AA33" i="5"/>
  <c r="AA31" i="5"/>
  <c r="P70" i="5"/>
  <c r="P69" i="5"/>
  <c r="P68" i="5"/>
  <c r="P67" i="5"/>
  <c r="P66" i="5"/>
  <c r="P65" i="5"/>
  <c r="P64" i="5"/>
  <c r="P63" i="5"/>
  <c r="P62" i="5"/>
  <c r="P61" i="5"/>
  <c r="P60" i="5"/>
  <c r="P59" i="5"/>
  <c r="P58" i="5"/>
  <c r="P57" i="5"/>
  <c r="P56" i="5"/>
  <c r="P55" i="5"/>
  <c r="P54" i="5"/>
  <c r="P53" i="5"/>
  <c r="P52" i="5"/>
  <c r="P51" i="5"/>
  <c r="P50" i="5"/>
  <c r="P49" i="5"/>
  <c r="P48" i="5"/>
  <c r="P47" i="5"/>
  <c r="P46" i="5"/>
  <c r="P45" i="5"/>
  <c r="P44" i="5"/>
  <c r="P43" i="5"/>
  <c r="P42" i="5"/>
  <c r="P41" i="5"/>
  <c r="P40" i="5"/>
  <c r="P39" i="5"/>
  <c r="P38" i="5"/>
  <c r="P37" i="5"/>
  <c r="P36" i="5"/>
  <c r="P35" i="5"/>
  <c r="P34" i="5"/>
  <c r="F163" i="5"/>
  <c r="F230" i="5" s="1"/>
  <c r="F297" i="5" s="1"/>
  <c r="F182" i="5"/>
  <c r="F249" i="5" s="1"/>
  <c r="F316" i="5" s="1"/>
  <c r="F190" i="5"/>
  <c r="F257" i="5" s="1"/>
  <c r="F324" i="5" s="1"/>
  <c r="F196" i="5"/>
  <c r="F263" i="5" s="1"/>
  <c r="F330" i="5" s="1"/>
  <c r="F206" i="5"/>
  <c r="F273" i="5" s="1"/>
  <c r="F340" i="5" s="1"/>
  <c r="L71" i="5"/>
  <c r="K71" i="5"/>
  <c r="P33" i="5"/>
  <c r="P31" i="5"/>
  <c r="L8" i="3"/>
  <c r="L102" i="3" s="1"/>
  <c r="K8" i="3"/>
  <c r="K102" i="3" s="1"/>
  <c r="J8" i="3"/>
  <c r="J102" i="3" s="1"/>
  <c r="I8" i="3"/>
  <c r="I102" i="3" s="1"/>
  <c r="H8" i="3"/>
  <c r="H102" i="3" s="1"/>
  <c r="H9" i="3"/>
  <c r="E29" i="20"/>
  <c r="I74" i="16"/>
  <c r="H74" i="16"/>
  <c r="G74" i="16"/>
  <c r="F74" i="16"/>
  <c r="F33" i="16"/>
  <c r="I25" i="16"/>
  <c r="H25" i="16"/>
  <c r="G25" i="16"/>
  <c r="F25" i="16"/>
  <c r="F45" i="16"/>
  <c r="F44" i="16"/>
  <c r="F21" i="16"/>
  <c r="F19" i="16"/>
  <c r="F20" i="16"/>
  <c r="F34" i="16"/>
  <c r="G34" i="16"/>
  <c r="G44" i="16"/>
  <c r="G45" i="16"/>
  <c r="F86" i="16"/>
  <c r="E57" i="19"/>
  <c r="J99" i="2"/>
  <c r="K99" i="2" s="1"/>
  <c r="I38" i="2"/>
  <c r="J23" i="3" s="1"/>
  <c r="J124" i="2"/>
  <c r="AA169" i="5"/>
  <c r="AA183" i="5"/>
  <c r="F38" i="12"/>
  <c r="F41" i="12" s="1"/>
  <c r="I74" i="7"/>
  <c r="H179" i="7" s="1"/>
  <c r="E43" i="19"/>
  <c r="I26" i="3"/>
  <c r="AC55" i="5"/>
  <c r="AD55" i="5" s="1"/>
  <c r="AE55" i="5" s="1"/>
  <c r="AC50" i="5"/>
  <c r="AD50" i="5" s="1"/>
  <c r="AE50" i="5" s="1"/>
  <c r="AC41" i="5"/>
  <c r="AD41" i="5" s="1"/>
  <c r="AE41" i="5" s="1"/>
  <c r="AC59" i="5"/>
  <c r="AD59" i="5" s="1"/>
  <c r="AE59" i="5" s="1"/>
  <c r="AC54" i="5"/>
  <c r="AD54" i="5" s="1"/>
  <c r="AE54" i="5" s="1"/>
  <c r="AC45" i="5"/>
  <c r="AD45" i="5" s="1"/>
  <c r="AE45" i="5" s="1"/>
  <c r="AC40" i="5"/>
  <c r="AD40" i="5" s="1"/>
  <c r="AE40" i="5" s="1"/>
  <c r="AC63" i="5"/>
  <c r="AD63" i="5" s="1"/>
  <c r="AE63" i="5" s="1"/>
  <c r="AC31" i="5"/>
  <c r="AD31" i="5" s="1"/>
  <c r="AE31" i="5" s="1"/>
  <c r="AC58" i="5"/>
  <c r="AD58" i="5" s="1"/>
  <c r="AE58" i="5" s="1"/>
  <c r="AC49" i="5"/>
  <c r="AD49" i="5" s="1"/>
  <c r="AE49" i="5" s="1"/>
  <c r="AC67" i="5"/>
  <c r="AD67" i="5" s="1"/>
  <c r="AE67" i="5" s="1"/>
  <c r="AC35" i="5"/>
  <c r="AD35" i="5" s="1"/>
  <c r="AE35" i="5" s="1"/>
  <c r="AC62" i="5"/>
  <c r="AD62" i="5" s="1"/>
  <c r="AE62" i="5" s="1"/>
  <c r="AC53" i="5"/>
  <c r="AD53" i="5" s="1"/>
  <c r="AE53" i="5" s="1"/>
  <c r="AC39" i="5"/>
  <c r="AD39" i="5" s="1"/>
  <c r="AE39" i="5" s="1"/>
  <c r="AC66" i="5"/>
  <c r="AD66" i="5" s="1"/>
  <c r="AE66" i="5" s="1"/>
  <c r="AC34" i="5"/>
  <c r="AD34" i="5" s="1"/>
  <c r="AE34" i="5" s="1"/>
  <c r="AC57" i="5"/>
  <c r="AD57" i="5" s="1"/>
  <c r="AE57" i="5" s="1"/>
  <c r="AC43" i="5"/>
  <c r="AD43" i="5" s="1"/>
  <c r="AE43" i="5" s="1"/>
  <c r="AC70" i="5"/>
  <c r="AD70" i="5" s="1"/>
  <c r="AE70" i="5" s="1"/>
  <c r="AC38" i="5"/>
  <c r="AD38" i="5" s="1"/>
  <c r="AE38" i="5" s="1"/>
  <c r="AC61" i="5"/>
  <c r="AD61" i="5" s="1"/>
  <c r="AE61" i="5" s="1"/>
  <c r="AC47" i="5"/>
  <c r="AD47" i="5" s="1"/>
  <c r="AE47" i="5" s="1"/>
  <c r="AC42" i="5"/>
  <c r="AD42" i="5" s="1"/>
  <c r="AE42" i="5" s="1"/>
  <c r="AC65" i="5"/>
  <c r="AD65" i="5" s="1"/>
  <c r="AE65" i="5" s="1"/>
  <c r="AC33" i="5"/>
  <c r="AD33" i="5" s="1"/>
  <c r="AE33" i="5" s="1"/>
  <c r="AC51" i="5"/>
  <c r="AD51" i="5" s="1"/>
  <c r="AE51" i="5" s="1"/>
  <c r="AC46" i="5"/>
  <c r="AD46" i="5" s="1"/>
  <c r="AE46" i="5" s="1"/>
  <c r="AC69" i="5"/>
  <c r="AD69" i="5" s="1"/>
  <c r="AE69" i="5" s="1"/>
  <c r="AC37" i="5"/>
  <c r="AD37" i="5" s="1"/>
  <c r="AE37" i="5" s="1"/>
  <c r="J86" i="3"/>
  <c r="K37" i="20"/>
  <c r="AN37" i="20" s="1"/>
  <c r="AM37" i="20"/>
  <c r="AM22" i="20"/>
  <c r="K22" i="20"/>
  <c r="F38" i="13"/>
  <c r="K66" i="7"/>
  <c r="K68" i="7"/>
  <c r="H265" i="5"/>
  <c r="AC265" i="5" s="1"/>
  <c r="AD265" i="5" s="1"/>
  <c r="M67" i="6"/>
  <c r="U48" i="6"/>
  <c r="G81" i="6"/>
  <c r="K99" i="6"/>
  <c r="K131" i="6" s="1"/>
  <c r="K163" i="6" s="1"/>
  <c r="G84" i="6"/>
  <c r="G116" i="6" s="1"/>
  <c r="U52" i="6"/>
  <c r="V52" i="6" s="1"/>
  <c r="G85" i="6"/>
  <c r="U85" i="6" s="1"/>
  <c r="V85" i="6" s="1"/>
  <c r="G82" i="6"/>
  <c r="G114" i="6" s="1"/>
  <c r="O106" i="5"/>
  <c r="AM40" i="20"/>
  <c r="AM35" i="20"/>
  <c r="K33" i="20"/>
  <c r="AA33" i="20" s="1"/>
  <c r="K55" i="7"/>
  <c r="L55" i="7" s="1"/>
  <c r="P121" i="5"/>
  <c r="P113" i="5"/>
  <c r="O136" i="5"/>
  <c r="P136" i="5"/>
  <c r="P132" i="5"/>
  <c r="O128" i="5"/>
  <c r="P128" i="5"/>
  <c r="O120" i="5"/>
  <c r="P120" i="5"/>
  <c r="O116" i="5"/>
  <c r="P116" i="5"/>
  <c r="O112" i="5"/>
  <c r="P112" i="5"/>
  <c r="O108" i="5"/>
  <c r="P104" i="5"/>
  <c r="P100" i="5"/>
  <c r="G180" i="5"/>
  <c r="U180" i="5" s="1"/>
  <c r="V180" i="5" s="1"/>
  <c r="G160" i="5"/>
  <c r="G227" i="5" s="1"/>
  <c r="G294" i="5" s="1"/>
  <c r="U294" i="5" s="1"/>
  <c r="V294" i="5" s="1"/>
  <c r="M131" i="5"/>
  <c r="P123" i="5"/>
  <c r="M103" i="5"/>
  <c r="H200" i="5"/>
  <c r="H267" i="5" s="1"/>
  <c r="H168" i="5"/>
  <c r="AA168" i="5" s="1"/>
  <c r="O124" i="5"/>
  <c r="P124" i="5"/>
  <c r="G176" i="5"/>
  <c r="M138" i="5"/>
  <c r="P138" i="5"/>
  <c r="P130" i="5"/>
  <c r="P122" i="5"/>
  <c r="H260" i="5"/>
  <c r="AA260" i="5" s="1"/>
  <c r="G62" i="4"/>
  <c r="G84" i="4" s="1"/>
  <c r="G68" i="4"/>
  <c r="G90" i="4" s="1"/>
  <c r="J76" i="2"/>
  <c r="AC100" i="5"/>
  <c r="AD100" i="5" s="1"/>
  <c r="AE100" i="5" s="1"/>
  <c r="AC102" i="5"/>
  <c r="AD102" i="5" s="1"/>
  <c r="AE102" i="5" s="1"/>
  <c r="AC122" i="5"/>
  <c r="AD122" i="5" s="1"/>
  <c r="AC135" i="5"/>
  <c r="AD135" i="5" s="1"/>
  <c r="AE135" i="5" s="1"/>
  <c r="AC104" i="5"/>
  <c r="AD104" i="5" s="1"/>
  <c r="AE104" i="5" s="1"/>
  <c r="AC113" i="5"/>
  <c r="AD113" i="5" s="1"/>
  <c r="AC106" i="5"/>
  <c r="AD106" i="5" s="1"/>
  <c r="AC131" i="5"/>
  <c r="AD131" i="5" s="1"/>
  <c r="AE131" i="5" s="1"/>
  <c r="AC111" i="5"/>
  <c r="AD111" i="5" s="1"/>
  <c r="AE111" i="5" s="1"/>
  <c r="AC108" i="5"/>
  <c r="AD108" i="5" s="1"/>
  <c r="AE108" i="5" s="1"/>
  <c r="AC119" i="5"/>
  <c r="AD119" i="5" s="1"/>
  <c r="AE119" i="5" s="1"/>
  <c r="AC133" i="5"/>
  <c r="AD133" i="5" s="1"/>
  <c r="AC132" i="5"/>
  <c r="AD132" i="5" s="1"/>
  <c r="AE132" i="5" s="1"/>
  <c r="AC123" i="5"/>
  <c r="AD123" i="5" s="1"/>
  <c r="AE123" i="5" s="1"/>
  <c r="AC115" i="5"/>
  <c r="AD115" i="5" s="1"/>
  <c r="AE115" i="5" s="1"/>
  <c r="AC130" i="5"/>
  <c r="AD130" i="5" s="1"/>
  <c r="AE130" i="5" s="1"/>
  <c r="AC112" i="5"/>
  <c r="AD112" i="5" s="1"/>
  <c r="AE112" i="5" s="1"/>
  <c r="AC107" i="5"/>
  <c r="AD107" i="5" s="1"/>
  <c r="AE107" i="5" s="1"/>
  <c r="AC105" i="5"/>
  <c r="AD105" i="5" s="1"/>
  <c r="AE105" i="5" s="1"/>
  <c r="AC118" i="5"/>
  <c r="AD118" i="5" s="1"/>
  <c r="I235" i="5"/>
  <c r="I302" i="5" s="1"/>
  <c r="O302" i="5" s="1"/>
  <c r="AC169" i="5"/>
  <c r="AD169" i="5" s="1"/>
  <c r="AC183" i="5"/>
  <c r="AD183" i="5" s="1"/>
  <c r="AC180" i="5"/>
  <c r="AD180" i="5" s="1"/>
  <c r="O103" i="5"/>
  <c r="AN12" i="20"/>
  <c r="O183" i="5"/>
  <c r="E33" i="19"/>
  <c r="E35" i="19"/>
  <c r="E39" i="19"/>
  <c r="E31" i="19"/>
  <c r="E41" i="19"/>
  <c r="V19" i="5"/>
  <c r="AM33" i="20"/>
  <c r="E36" i="19"/>
  <c r="E40" i="19"/>
  <c r="E32" i="19"/>
  <c r="E42" i="19"/>
  <c r="E34" i="19"/>
  <c r="E44" i="19"/>
  <c r="G206" i="5"/>
  <c r="G273" i="5" s="1"/>
  <c r="G198" i="5"/>
  <c r="U198" i="5" s="1"/>
  <c r="V198" i="5" s="1"/>
  <c r="U81" i="6"/>
  <c r="V81" i="6" s="1"/>
  <c r="G113" i="6"/>
  <c r="G117" i="6"/>
  <c r="P108" i="5"/>
  <c r="AN33" i="20"/>
  <c r="U62" i="4"/>
  <c r="O99" i="5"/>
  <c r="O114" i="5"/>
  <c r="S204" i="5"/>
  <c r="J64" i="6"/>
  <c r="O105" i="5"/>
  <c r="O135" i="5"/>
  <c r="G185" i="5"/>
  <c r="S202" i="5"/>
  <c r="R100" i="6"/>
  <c r="R67" i="6"/>
  <c r="R138" i="5"/>
  <c r="R134" i="5"/>
  <c r="R130" i="5"/>
  <c r="R194" i="5"/>
  <c r="R126" i="5"/>
  <c r="R122" i="5"/>
  <c r="R118" i="5"/>
  <c r="R114" i="5"/>
  <c r="R110" i="5"/>
  <c r="R174" i="5"/>
  <c r="R106" i="5"/>
  <c r="R102" i="5"/>
  <c r="Q70" i="5"/>
  <c r="J138" i="5"/>
  <c r="J134" i="5"/>
  <c r="J100" i="5"/>
  <c r="R204" i="5"/>
  <c r="R136" i="5"/>
  <c r="R132" i="5"/>
  <c r="R128" i="5"/>
  <c r="R124" i="5"/>
  <c r="R188" i="5"/>
  <c r="R120" i="5"/>
  <c r="R116" i="5"/>
  <c r="R112" i="5"/>
  <c r="R108" i="5"/>
  <c r="R104" i="5"/>
  <c r="R137" i="5"/>
  <c r="R133" i="5"/>
  <c r="R129" i="5"/>
  <c r="R193" i="5"/>
  <c r="R125" i="5"/>
  <c r="R121" i="5"/>
  <c r="R117" i="5"/>
  <c r="R113" i="5"/>
  <c r="R109" i="5"/>
  <c r="R105" i="5"/>
  <c r="R101" i="5"/>
  <c r="J136" i="5"/>
  <c r="J102" i="5"/>
  <c r="J106" i="5"/>
  <c r="J110" i="5"/>
  <c r="J114" i="5"/>
  <c r="J118" i="5"/>
  <c r="J122" i="5"/>
  <c r="J126" i="5"/>
  <c r="J130" i="5"/>
  <c r="N19" i="9"/>
  <c r="N17" i="9"/>
  <c r="N20" i="9"/>
  <c r="N18" i="9"/>
  <c r="N16" i="9"/>
  <c r="AM18" i="20"/>
  <c r="L41" i="20"/>
  <c r="L14" i="20"/>
  <c r="AO14" i="20" s="1"/>
  <c r="K35" i="20"/>
  <c r="J67" i="6"/>
  <c r="P67" i="6"/>
  <c r="J66" i="6"/>
  <c r="L68" i="7"/>
  <c r="L270" i="5"/>
  <c r="L337" i="5" s="1"/>
  <c r="S337" i="5" s="1"/>
  <c r="Q33" i="5"/>
  <c r="Q41" i="5"/>
  <c r="Q49" i="5"/>
  <c r="Q57" i="5"/>
  <c r="Q65" i="5"/>
  <c r="Q32" i="5"/>
  <c r="Q40" i="5"/>
  <c r="Q48" i="5"/>
  <c r="Q56" i="5"/>
  <c r="Q64" i="5"/>
  <c r="Q31" i="5"/>
  <c r="Q39" i="5"/>
  <c r="Q47" i="5"/>
  <c r="Q55" i="5"/>
  <c r="Q63" i="5"/>
  <c r="Q34" i="5"/>
  <c r="Q42" i="5"/>
  <c r="Q50" i="5"/>
  <c r="Q58" i="5"/>
  <c r="Q66" i="5"/>
  <c r="J36" i="11"/>
  <c r="K36" i="11" s="1"/>
  <c r="I263" i="5"/>
  <c r="O263" i="5" s="1"/>
  <c r="O196" i="5"/>
  <c r="O204" i="5"/>
  <c r="I271" i="5"/>
  <c r="O271" i="5" s="1"/>
  <c r="G256" i="5"/>
  <c r="G323" i="5" s="1"/>
  <c r="U323" i="5" s="1"/>
  <c r="V323" i="5" s="1"/>
  <c r="I317" i="5"/>
  <c r="O317" i="5" s="1"/>
  <c r="O250" i="5"/>
  <c r="AA182" i="5"/>
  <c r="H249" i="5"/>
  <c r="AC249" i="5" s="1"/>
  <c r="AD249" i="5" s="1"/>
  <c r="AC182" i="5"/>
  <c r="AD182" i="5" s="1"/>
  <c r="O267" i="5"/>
  <c r="I334" i="5"/>
  <c r="O334" i="5" s="1"/>
  <c r="H242" i="5"/>
  <c r="H309" i="5" s="1"/>
  <c r="AA175" i="5"/>
  <c r="AC175" i="5"/>
  <c r="AD175" i="5" s="1"/>
  <c r="AC322" i="5"/>
  <c r="AD322" i="5" s="1"/>
  <c r="L338" i="5"/>
  <c r="S338" i="5" s="1"/>
  <c r="S110" i="5"/>
  <c r="AC168" i="5"/>
  <c r="AD168" i="5" s="1"/>
  <c r="AE168" i="5" s="1"/>
  <c r="AA265" i="5"/>
  <c r="AB265" i="5" s="1"/>
  <c r="AC99" i="5"/>
  <c r="AD99" i="5" s="1"/>
  <c r="AE99" i="5" s="1"/>
  <c r="P126" i="5"/>
  <c r="P134" i="5"/>
  <c r="O200" i="5"/>
  <c r="O119" i="5"/>
  <c r="O132" i="5"/>
  <c r="M71" i="5"/>
  <c r="AA188" i="5"/>
  <c r="P114" i="5"/>
  <c r="O115" i="5"/>
  <c r="G165" i="5"/>
  <c r="U165" i="5" s="1"/>
  <c r="M117" i="5"/>
  <c r="S136" i="5"/>
  <c r="P186" i="5"/>
  <c r="I330" i="5"/>
  <c r="O330" i="5" s="1"/>
  <c r="H332" i="5"/>
  <c r="G202" i="5"/>
  <c r="U202" i="5" s="1"/>
  <c r="V202" i="5" s="1"/>
  <c r="AC134" i="5"/>
  <c r="AD134" i="5" s="1"/>
  <c r="AC103" i="5"/>
  <c r="AD103" i="5" s="1"/>
  <c r="AE103" i="5" s="1"/>
  <c r="AC127" i="5"/>
  <c r="AD127" i="5" s="1"/>
  <c r="AE127" i="5" s="1"/>
  <c r="P106" i="5"/>
  <c r="AA198" i="5"/>
  <c r="P118" i="5"/>
  <c r="AA99" i="5"/>
  <c r="AA103" i="5"/>
  <c r="AA107" i="5"/>
  <c r="AA123" i="5"/>
  <c r="AA127" i="5"/>
  <c r="O134" i="5"/>
  <c r="G196" i="5"/>
  <c r="G263" i="5" s="1"/>
  <c r="G158" i="5"/>
  <c r="U158" i="5" s="1"/>
  <c r="G154" i="5"/>
  <c r="U154" i="5" s="1"/>
  <c r="M136" i="5"/>
  <c r="S122" i="5"/>
  <c r="S102" i="5"/>
  <c r="P206" i="5"/>
  <c r="AC114" i="5"/>
  <c r="AD114" i="5" s="1"/>
  <c r="AC110" i="5"/>
  <c r="AD110" i="5" s="1"/>
  <c r="AE110" i="5" s="1"/>
  <c r="AC138" i="5"/>
  <c r="AD138" i="5" s="1"/>
  <c r="G188" i="5"/>
  <c r="G255" i="5" s="1"/>
  <c r="O100" i="5"/>
  <c r="O104" i="5"/>
  <c r="J206" i="5"/>
  <c r="J186" i="5"/>
  <c r="G178" i="5"/>
  <c r="G245" i="5" s="1"/>
  <c r="U245" i="5" s="1"/>
  <c r="V245" i="5" s="1"/>
  <c r="S114" i="5"/>
  <c r="S133" i="5"/>
  <c r="P188" i="5"/>
  <c r="J188" i="5"/>
  <c r="I251" i="5"/>
  <c r="O184" i="5"/>
  <c r="AA250" i="5"/>
  <c r="H317" i="5"/>
  <c r="AC317" i="5" s="1"/>
  <c r="AD317" i="5" s="1"/>
  <c r="AC250" i="5"/>
  <c r="AD250" i="5" s="1"/>
  <c r="P174" i="5"/>
  <c r="J174" i="5"/>
  <c r="R241" i="5"/>
  <c r="AA247" i="5"/>
  <c r="I169" i="5"/>
  <c r="O169" i="5" s="1"/>
  <c r="S201" i="5"/>
  <c r="J193" i="5"/>
  <c r="P193" i="5"/>
  <c r="H271" i="5"/>
  <c r="AC271" i="5" s="1"/>
  <c r="AD271" i="5" s="1"/>
  <c r="K254" i="5"/>
  <c r="K321" i="5" s="1"/>
  <c r="O171" i="5"/>
  <c r="I238" i="5"/>
  <c r="I305" i="5" s="1"/>
  <c r="O305" i="5" s="1"/>
  <c r="P204" i="5"/>
  <c r="J204" i="5"/>
  <c r="R261" i="5"/>
  <c r="J194" i="5"/>
  <c r="P194" i="5"/>
  <c r="H246" i="5"/>
  <c r="H313" i="5" s="1"/>
  <c r="AC313" i="5" s="1"/>
  <c r="AD313" i="5" s="1"/>
  <c r="AA179" i="5"/>
  <c r="AC179" i="5"/>
  <c r="AD179" i="5" s="1"/>
  <c r="AE179" i="5" s="1"/>
  <c r="S185" i="5"/>
  <c r="G97" i="6"/>
  <c r="U97" i="6" s="1"/>
  <c r="V97" i="6" s="1"/>
  <c r="S117" i="5"/>
  <c r="H8" i="7"/>
  <c r="F8" i="10"/>
  <c r="G8" i="10" s="1"/>
  <c r="H8" i="10" s="1"/>
  <c r="I8" i="10" s="1"/>
  <c r="J8" i="10" s="1"/>
  <c r="P9" i="9"/>
  <c r="R8" i="9" s="1"/>
  <c r="R62" i="9" s="1"/>
  <c r="I53" i="20"/>
  <c r="F13" i="8"/>
  <c r="G13" i="8" s="1"/>
  <c r="H13" i="8" s="1"/>
  <c r="I13" i="8" s="1"/>
  <c r="J13" i="8" s="1"/>
  <c r="K13" i="8" s="1"/>
  <c r="L13" i="8" s="1"/>
  <c r="M13" i="8" s="1"/>
  <c r="N13" i="8" s="1"/>
  <c r="O13" i="8" s="1"/>
  <c r="F23" i="8" s="1"/>
  <c r="G23" i="8" s="1"/>
  <c r="H23" i="8" s="1"/>
  <c r="I23" i="8" s="1"/>
  <c r="J23" i="8" s="1"/>
  <c r="K23" i="8" s="1"/>
  <c r="L23" i="8" s="1"/>
  <c r="M23" i="8" s="1"/>
  <c r="N23" i="8" s="1"/>
  <c r="O23" i="8" s="1"/>
  <c r="H20" i="2"/>
  <c r="H77" i="2" s="1"/>
  <c r="I9" i="3"/>
  <c r="C152" i="19"/>
  <c r="F152" i="19" s="1"/>
  <c r="G76" i="2"/>
  <c r="G104" i="2"/>
  <c r="G101" i="2" s="1"/>
  <c r="U168" i="5"/>
  <c r="V168" i="5" s="1"/>
  <c r="G235" i="5"/>
  <c r="G302" i="5" s="1"/>
  <c r="U302" i="5" s="1"/>
  <c r="V302" i="5" s="1"/>
  <c r="K261" i="5"/>
  <c r="K328" i="5" s="1"/>
  <c r="G249" i="5"/>
  <c r="U249" i="5" s="1"/>
  <c r="V249" i="5" s="1"/>
  <c r="L272" i="5"/>
  <c r="S205" i="5"/>
  <c r="S106" i="5"/>
  <c r="L181" i="5"/>
  <c r="M181" i="5" s="1"/>
  <c r="L252" i="5"/>
  <c r="S252" i="5" s="1"/>
  <c r="L197" i="5"/>
  <c r="L264" i="5" s="1"/>
  <c r="S264" i="5" s="1"/>
  <c r="L268" i="5"/>
  <c r="S268" i="5" s="1"/>
  <c r="G92" i="6"/>
  <c r="G124" i="6" s="1"/>
  <c r="G194" i="5"/>
  <c r="U194" i="5" s="1"/>
  <c r="V194" i="5" s="1"/>
  <c r="U116" i="5"/>
  <c r="V116" i="5" s="1"/>
  <c r="U104" i="5"/>
  <c r="V104" i="5" s="1"/>
  <c r="U100" i="5"/>
  <c r="V100" i="5" s="1"/>
  <c r="U96" i="5"/>
  <c r="V96" i="5" s="1"/>
  <c r="R182" i="5"/>
  <c r="P182" i="5"/>
  <c r="J182" i="5"/>
  <c r="R206" i="5"/>
  <c r="R205" i="5"/>
  <c r="P205" i="5"/>
  <c r="J205" i="5"/>
  <c r="R180" i="5"/>
  <c r="P180" i="5"/>
  <c r="J180" i="5"/>
  <c r="R179" i="5"/>
  <c r="R186" i="5"/>
  <c r="R185" i="5"/>
  <c r="J185" i="5"/>
  <c r="P185" i="5"/>
  <c r="R176" i="5"/>
  <c r="J176" i="5"/>
  <c r="P176" i="5"/>
  <c r="M14" i="20"/>
  <c r="AP14" i="20" s="1"/>
  <c r="S66" i="6"/>
  <c r="S67" i="6"/>
  <c r="J100" i="6"/>
  <c r="S270" i="5"/>
  <c r="H34" i="16"/>
  <c r="H27" i="14"/>
  <c r="U188" i="5"/>
  <c r="V188" i="5" s="1"/>
  <c r="G225" i="5"/>
  <c r="G269" i="5"/>
  <c r="U269" i="5" s="1"/>
  <c r="V269" i="5" s="1"/>
  <c r="J241" i="5"/>
  <c r="P241" i="5"/>
  <c r="J261" i="5"/>
  <c r="P261" i="5"/>
  <c r="F36" i="10"/>
  <c r="H91" i="7" s="1"/>
  <c r="F34" i="10"/>
  <c r="H89" i="7" s="1"/>
  <c r="F39" i="10"/>
  <c r="H94" i="7" s="1"/>
  <c r="F35" i="10"/>
  <c r="H90" i="7" s="1"/>
  <c r="G261" i="5"/>
  <c r="G328" i="5" s="1"/>
  <c r="U328" i="5" s="1"/>
  <c r="V328" i="5" s="1"/>
  <c r="L339" i="5"/>
  <c r="U92" i="6"/>
  <c r="V92" i="6" s="1"/>
  <c r="AC14" i="20"/>
  <c r="P100" i="6"/>
  <c r="F25" i="10"/>
  <c r="F28" i="10"/>
  <c r="F23" i="10"/>
  <c r="F24" i="10"/>
  <c r="I36" i="10"/>
  <c r="K91" i="7" s="1"/>
  <c r="I34" i="10"/>
  <c r="K89" i="7" s="1"/>
  <c r="H65" i="14" s="1"/>
  <c r="I39" i="10"/>
  <c r="K94" i="7" s="1"/>
  <c r="I35" i="10"/>
  <c r="K90" i="7" s="1"/>
  <c r="G35" i="10"/>
  <c r="I90" i="7" s="1"/>
  <c r="G34" i="10"/>
  <c r="I89" i="7" s="1"/>
  <c r="F65" i="14" s="1"/>
  <c r="G39" i="10"/>
  <c r="I94" i="7" s="1"/>
  <c r="G36" i="10"/>
  <c r="I91" i="7" s="1"/>
  <c r="H36" i="10"/>
  <c r="J91" i="7" s="1"/>
  <c r="H34" i="10"/>
  <c r="J89" i="7" s="1"/>
  <c r="G65" i="14" s="1"/>
  <c r="H39" i="10"/>
  <c r="J94" i="7" s="1"/>
  <c r="H35" i="10"/>
  <c r="J90" i="7" s="1"/>
  <c r="J35" i="10"/>
  <c r="L90" i="7" s="1"/>
  <c r="J36" i="10"/>
  <c r="L91" i="7" s="1"/>
  <c r="J39" i="10"/>
  <c r="L94" i="7" s="1"/>
  <c r="J34" i="10"/>
  <c r="L89" i="7" s="1"/>
  <c r="I65" i="14" s="1"/>
  <c r="G28" i="10"/>
  <c r="G23" i="10"/>
  <c r="G24" i="10"/>
  <c r="G25" i="10"/>
  <c r="H25" i="10"/>
  <c r="H28" i="10"/>
  <c r="H23" i="10"/>
  <c r="H24" i="10"/>
  <c r="I25" i="10"/>
  <c r="I24" i="10"/>
  <c r="I28" i="10"/>
  <c r="I23" i="10"/>
  <c r="J28" i="10"/>
  <c r="J24" i="10"/>
  <c r="J25" i="10"/>
  <c r="J23" i="10"/>
  <c r="I239" i="5"/>
  <c r="O239" i="5" s="1"/>
  <c r="O172" i="5"/>
  <c r="G251" i="5"/>
  <c r="U251" i="5" s="1"/>
  <c r="V251" i="5" s="1"/>
  <c r="U184" i="5"/>
  <c r="V184" i="5" s="1"/>
  <c r="I268" i="5"/>
  <c r="O268" i="5" s="1"/>
  <c r="O201" i="5"/>
  <c r="G293" i="5"/>
  <c r="U293" i="5" s="1"/>
  <c r="V293" i="5" s="1"/>
  <c r="L224" i="5"/>
  <c r="L291" i="5" s="1"/>
  <c r="H233" i="5"/>
  <c r="H300" i="5" s="1"/>
  <c r="AA300" i="5" s="1"/>
  <c r="AA166" i="5"/>
  <c r="O197" i="5"/>
  <c r="I264" i="5"/>
  <c r="O264" i="5" s="1"/>
  <c r="P203" i="5"/>
  <c r="L228" i="5"/>
  <c r="L295" i="5" s="1"/>
  <c r="M295" i="5" s="1"/>
  <c r="M161" i="5"/>
  <c r="I270" i="5"/>
  <c r="O270" i="5" s="1"/>
  <c r="O203" i="5"/>
  <c r="K336" i="5"/>
  <c r="L226" i="5"/>
  <c r="L293" i="5" s="1"/>
  <c r="M293" i="5" s="1"/>
  <c r="M159" i="5"/>
  <c r="O109" i="5"/>
  <c r="S18" i="6"/>
  <c r="I191" i="5"/>
  <c r="U42" i="4"/>
  <c r="V42" i="4" s="1"/>
  <c r="U133" i="5"/>
  <c r="V133" i="5" s="1"/>
  <c r="S17" i="6"/>
  <c r="O107" i="5"/>
  <c r="I195" i="5"/>
  <c r="O195" i="5" s="1"/>
  <c r="U89" i="5"/>
  <c r="V89" i="5" s="1"/>
  <c r="S103" i="5"/>
  <c r="S132" i="5"/>
  <c r="L191" i="5"/>
  <c r="L258" i="5" s="1"/>
  <c r="S22" i="4"/>
  <c r="P31" i="9"/>
  <c r="P109" i="9"/>
  <c r="R131" i="9"/>
  <c r="P102" i="9"/>
  <c r="P85" i="9"/>
  <c r="P62" i="9"/>
  <c r="P69" i="9"/>
  <c r="R54" i="9"/>
  <c r="P133" i="9"/>
  <c r="P75" i="9"/>
  <c r="P73" i="9"/>
  <c r="R103" i="9"/>
  <c r="P98" i="9"/>
  <c r="P53" i="9"/>
  <c r="P47" i="9"/>
  <c r="P61" i="9"/>
  <c r="P28" i="9"/>
  <c r="P37" i="9"/>
  <c r="P63" i="9"/>
  <c r="G247" i="5"/>
  <c r="U247" i="5" s="1"/>
  <c r="V247" i="5" s="1"/>
  <c r="E46" i="19"/>
  <c r="K124" i="2"/>
  <c r="J38" i="2"/>
  <c r="K23" i="3" s="1"/>
  <c r="AA295" i="5"/>
  <c r="G243" i="5"/>
  <c r="U176" i="5"/>
  <c r="V176" i="5" s="1"/>
  <c r="K86" i="3"/>
  <c r="L86" i="3" s="1"/>
  <c r="L149" i="3" s="1"/>
  <c r="H82" i="2"/>
  <c r="H85" i="2"/>
  <c r="K15" i="20"/>
  <c r="AA15" i="20" s="1"/>
  <c r="AM15" i="20"/>
  <c r="P32" i="6"/>
  <c r="U62" i="6"/>
  <c r="G95" i="6"/>
  <c r="G127" i="6" s="1"/>
  <c r="G87" i="6"/>
  <c r="U87" i="6" s="1"/>
  <c r="V87" i="6" s="1"/>
  <c r="U54" i="6"/>
  <c r="V54" i="6" s="1"/>
  <c r="G177" i="5"/>
  <c r="U109" i="5"/>
  <c r="V109" i="5" s="1"/>
  <c r="G156" i="5"/>
  <c r="U156" i="5" s="1"/>
  <c r="U88" i="5"/>
  <c r="V88" i="5" s="1"/>
  <c r="P18" i="5"/>
  <c r="R18" i="5" s="1"/>
  <c r="T18" i="5" s="1"/>
  <c r="S18" i="5"/>
  <c r="AA126" i="5"/>
  <c r="AA135" i="5"/>
  <c r="G181" i="5"/>
  <c r="K169" i="5"/>
  <c r="W104" i="19"/>
  <c r="P27" i="6"/>
  <c r="G61" i="4"/>
  <c r="U38" i="4"/>
  <c r="V38" i="4" s="1"/>
  <c r="G93" i="6"/>
  <c r="U93" i="6" s="1"/>
  <c r="V93" i="6" s="1"/>
  <c r="L187" i="5"/>
  <c r="S119" i="5"/>
  <c r="P26" i="6"/>
  <c r="S26" i="6"/>
  <c r="S28" i="6"/>
  <c r="P26" i="5"/>
  <c r="S26" i="5"/>
  <c r="AC203" i="5"/>
  <c r="AD203" i="5" s="1"/>
  <c r="AA110" i="5"/>
  <c r="O117" i="5"/>
  <c r="I185" i="5"/>
  <c r="I252" i="5" s="1"/>
  <c r="I61" i="4"/>
  <c r="I83" i="4" s="1"/>
  <c r="J38" i="4"/>
  <c r="O38" i="4" s="1"/>
  <c r="G64" i="4"/>
  <c r="U64" i="4" s="1"/>
  <c r="U41" i="4"/>
  <c r="V41" i="4" s="1"/>
  <c r="G99" i="6"/>
  <c r="U66" i="6"/>
  <c r="V66" i="6" s="1"/>
  <c r="G91" i="6"/>
  <c r="U91" i="6" s="1"/>
  <c r="V91" i="6" s="1"/>
  <c r="U58" i="6"/>
  <c r="G200" i="5"/>
  <c r="U200" i="5" s="1"/>
  <c r="V200" i="5" s="1"/>
  <c r="U132" i="5"/>
  <c r="V132" i="5" s="1"/>
  <c r="M105" i="5"/>
  <c r="S105" i="5"/>
  <c r="L173" i="5"/>
  <c r="S113" i="5"/>
  <c r="P24" i="6"/>
  <c r="G45" i="12"/>
  <c r="F41" i="16" s="1"/>
  <c r="H43" i="12"/>
  <c r="I68" i="4"/>
  <c r="O68" i="4" s="1"/>
  <c r="J45" i="4"/>
  <c r="O45" i="4" s="1"/>
  <c r="G204" i="5"/>
  <c r="U204" i="5" s="1"/>
  <c r="V204" i="5" s="1"/>
  <c r="U136" i="5"/>
  <c r="V136" i="5" s="1"/>
  <c r="K180" i="5"/>
  <c r="K247" i="5" s="1"/>
  <c r="K314" i="5" s="1"/>
  <c r="M112" i="5"/>
  <c r="L175" i="5"/>
  <c r="L242" i="5" s="1"/>
  <c r="S107" i="5"/>
  <c r="P30" i="5"/>
  <c r="R30" i="5" s="1"/>
  <c r="T30" i="5" s="1"/>
  <c r="S30" i="5"/>
  <c r="P22" i="5"/>
  <c r="S22" i="5"/>
  <c r="AC126" i="5"/>
  <c r="AD126" i="5" s="1"/>
  <c r="AE126" i="5" s="1"/>
  <c r="M111" i="5"/>
  <c r="F81" i="16"/>
  <c r="P18" i="4"/>
  <c r="T100" i="6"/>
  <c r="E132" i="6"/>
  <c r="P132" i="6" s="1"/>
  <c r="E123" i="6"/>
  <c r="E155" i="6" s="1"/>
  <c r="J55" i="6"/>
  <c r="E88" i="6"/>
  <c r="E120" i="6" s="1"/>
  <c r="E152" i="6" s="1"/>
  <c r="L87" i="6"/>
  <c r="L119" i="6" s="1"/>
  <c r="I226" i="5"/>
  <c r="I293" i="5" s="1"/>
  <c r="J44" i="4"/>
  <c r="P29" i="5"/>
  <c r="P25" i="5"/>
  <c r="R25" i="5" s="1"/>
  <c r="T25" i="5" s="1"/>
  <c r="P21" i="5"/>
  <c r="R21" i="5" s="1"/>
  <c r="P25" i="4"/>
  <c r="P21" i="4"/>
  <c r="P17" i="4"/>
  <c r="R17" i="4" s="1"/>
  <c r="T17" i="4" s="1"/>
  <c r="J40" i="4"/>
  <c r="O40" i="4" s="1"/>
  <c r="J47" i="4"/>
  <c r="O47" i="4" s="1"/>
  <c r="I70" i="4"/>
  <c r="I92" i="4" s="1"/>
  <c r="I114" i="4" s="1"/>
  <c r="J39" i="4"/>
  <c r="O39" i="4" s="1"/>
  <c r="J59" i="6"/>
  <c r="E92" i="6"/>
  <c r="J92" i="6" s="1"/>
  <c r="L91" i="6"/>
  <c r="P28" i="5"/>
  <c r="P24" i="5"/>
  <c r="P20" i="5"/>
  <c r="P24" i="4"/>
  <c r="P20" i="4"/>
  <c r="R20" i="4" s="1"/>
  <c r="T20" i="4" s="1"/>
  <c r="T194" i="5"/>
  <c r="G85" i="2"/>
  <c r="G86" i="2"/>
  <c r="J43" i="4"/>
  <c r="O43" i="4" s="1"/>
  <c r="I69" i="4"/>
  <c r="I91" i="4" s="1"/>
  <c r="I113" i="4" s="1"/>
  <c r="J86" i="5"/>
  <c r="J154" i="5" s="1"/>
  <c r="J94" i="5"/>
  <c r="J84" i="5"/>
  <c r="O84" i="5" s="1"/>
  <c r="J88" i="5"/>
  <c r="J96" i="5"/>
  <c r="E96" i="6"/>
  <c r="L95" i="6"/>
  <c r="L127" i="6" s="1"/>
  <c r="L159" i="6" s="1"/>
  <c r="L120" i="6"/>
  <c r="L152" i="6" s="1"/>
  <c r="P27" i="5"/>
  <c r="R27" i="5" s="1"/>
  <c r="P23" i="5"/>
  <c r="P19" i="5"/>
  <c r="P23" i="4"/>
  <c r="P19" i="4"/>
  <c r="R19" i="4" s="1"/>
  <c r="P52" i="6"/>
  <c r="E328" i="5"/>
  <c r="L288" i="5"/>
  <c r="J41" i="4"/>
  <c r="O41" i="4" s="1"/>
  <c r="J61" i="6"/>
  <c r="E94" i="6"/>
  <c r="E126" i="6" s="1"/>
  <c r="J57" i="6"/>
  <c r="E90" i="6"/>
  <c r="M226" i="5"/>
  <c r="E288" i="5"/>
  <c r="J65" i="6"/>
  <c r="E98" i="6"/>
  <c r="E228" i="5"/>
  <c r="J228" i="5" s="1"/>
  <c r="E220" i="5"/>
  <c r="E287" i="5" s="1"/>
  <c r="I286" i="5"/>
  <c r="J51" i="6"/>
  <c r="J49" i="6"/>
  <c r="AA224" i="5"/>
  <c r="J98" i="5"/>
  <c r="O98" i="5" s="1"/>
  <c r="J91" i="5"/>
  <c r="J90" i="5"/>
  <c r="J42" i="4"/>
  <c r="E69" i="4"/>
  <c r="J69" i="4" s="1"/>
  <c r="J46" i="4"/>
  <c r="J97" i="5"/>
  <c r="O97" i="5" s="1"/>
  <c r="J89" i="5"/>
  <c r="P16" i="4"/>
  <c r="AA232" i="5"/>
  <c r="E84" i="6"/>
  <c r="E116" i="6" s="1"/>
  <c r="E82" i="6"/>
  <c r="E114" i="6" s="1"/>
  <c r="E146" i="6" s="1"/>
  <c r="J164" i="5"/>
  <c r="J95" i="5"/>
  <c r="J87" i="5"/>
  <c r="P17" i="5"/>
  <c r="H230" i="5"/>
  <c r="H297" i="5" s="1"/>
  <c r="AA297" i="5" s="1"/>
  <c r="AA163" i="5"/>
  <c r="AA228" i="5"/>
  <c r="AA220" i="5"/>
  <c r="AC220" i="5"/>
  <c r="AD220" i="5" s="1"/>
  <c r="AE220" i="5" s="1"/>
  <c r="E163" i="5"/>
  <c r="E230" i="5" s="1"/>
  <c r="J162" i="5"/>
  <c r="J93" i="5"/>
  <c r="J92" i="5"/>
  <c r="E155" i="5"/>
  <c r="E222" i="5" s="1"/>
  <c r="E289" i="5" s="1"/>
  <c r="J85" i="5"/>
  <c r="AA165" i="5"/>
  <c r="AA161" i="5"/>
  <c r="AA157" i="5"/>
  <c r="AA153" i="5"/>
  <c r="O191" i="5"/>
  <c r="I258" i="5"/>
  <c r="O258" i="5" s="1"/>
  <c r="G318" i="5"/>
  <c r="U318" i="5" s="1"/>
  <c r="V318" i="5" s="1"/>
  <c r="J157" i="5"/>
  <c r="E91" i="4"/>
  <c r="E113" i="4" s="1"/>
  <c r="R20" i="5"/>
  <c r="T20" i="5" s="1"/>
  <c r="R18" i="4"/>
  <c r="O42" i="4"/>
  <c r="O90" i="5"/>
  <c r="R23" i="5"/>
  <c r="T23" i="5" s="1"/>
  <c r="R24" i="4"/>
  <c r="R25" i="4"/>
  <c r="F45" i="13"/>
  <c r="J161" i="5"/>
  <c r="O44" i="4"/>
  <c r="S44" i="4" s="1"/>
  <c r="R19" i="5"/>
  <c r="R28" i="5"/>
  <c r="T28" i="5" s="1"/>
  <c r="E124" i="6"/>
  <c r="E156" i="6" s="1"/>
  <c r="R21" i="4"/>
  <c r="R29" i="5"/>
  <c r="J88" i="6"/>
  <c r="R22" i="5"/>
  <c r="T22" i="5" s="1"/>
  <c r="S175" i="5"/>
  <c r="G271" i="5"/>
  <c r="G338" i="5" s="1"/>
  <c r="U338" i="5" s="1"/>
  <c r="V338" i="5" s="1"/>
  <c r="H45" i="12"/>
  <c r="I43" i="12"/>
  <c r="J43" i="12"/>
  <c r="J45" i="12" s="1"/>
  <c r="I41" i="16" s="1"/>
  <c r="G267" i="5"/>
  <c r="G334" i="5" s="1"/>
  <c r="U334" i="5" s="1"/>
  <c r="V334" i="5" s="1"/>
  <c r="G223" i="5"/>
  <c r="U223" i="5" s="1"/>
  <c r="V223" i="5" s="1"/>
  <c r="AN15" i="20"/>
  <c r="L15" i="20"/>
  <c r="M15" i="20" s="1"/>
  <c r="AC15" i="20" s="1"/>
  <c r="K38" i="2"/>
  <c r="L23" i="3" s="1"/>
  <c r="J156" i="5"/>
  <c r="J223" i="5" s="1"/>
  <c r="R24" i="5"/>
  <c r="R26" i="5"/>
  <c r="T26" i="5" s="1"/>
  <c r="P88" i="5"/>
  <c r="R88" i="5" s="1"/>
  <c r="T88" i="5" s="1"/>
  <c r="S88" i="5"/>
  <c r="P44" i="4"/>
  <c r="R44" i="4" s="1"/>
  <c r="T44" i="4" s="1"/>
  <c r="AB15" i="20"/>
  <c r="P42" i="4"/>
  <c r="T42" i="4" s="1"/>
  <c r="S42" i="4"/>
  <c r="J224" i="5"/>
  <c r="O156" i="5"/>
  <c r="S89" i="5"/>
  <c r="O224" i="5"/>
  <c r="P224" i="5" s="1"/>
  <c r="J291" i="5"/>
  <c r="R42" i="4"/>
  <c r="P157" i="5"/>
  <c r="S157" i="5"/>
  <c r="U84" i="4"/>
  <c r="V84" i="4" s="1"/>
  <c r="G106" i="4"/>
  <c r="U106" i="4" s="1"/>
  <c r="V106" i="4" s="1"/>
  <c r="O46" i="4"/>
  <c r="U227" i="5"/>
  <c r="V227" i="5" s="1"/>
  <c r="T241" i="5"/>
  <c r="E308" i="5"/>
  <c r="R308" i="5" s="1"/>
  <c r="G220" i="5"/>
  <c r="G287" i="5" s="1"/>
  <c r="U287" i="5" s="1"/>
  <c r="V287" i="5" s="1"/>
  <c r="U153" i="5"/>
  <c r="V153" i="5" s="1"/>
  <c r="M162" i="5"/>
  <c r="K229" i="5"/>
  <c r="K296" i="5" s="1"/>
  <c r="M296" i="5" s="1"/>
  <c r="M160" i="5"/>
  <c r="K227" i="5"/>
  <c r="M227" i="5" s="1"/>
  <c r="AA287" i="5"/>
  <c r="I205" i="5"/>
  <c r="O205" i="5" s="1"/>
  <c r="G190" i="5"/>
  <c r="S112" i="5"/>
  <c r="U40" i="4"/>
  <c r="V40" i="4" s="1"/>
  <c r="S101" i="5"/>
  <c r="L169" i="5"/>
  <c r="S169" i="5" s="1"/>
  <c r="S86" i="5"/>
  <c r="P46" i="4"/>
  <c r="S46" i="4"/>
  <c r="G86" i="16"/>
  <c r="G42" i="14"/>
  <c r="G81" i="16" s="1"/>
  <c r="H86" i="16"/>
  <c r="I74" i="14"/>
  <c r="I86" i="16" s="1"/>
  <c r="H39" i="14"/>
  <c r="I39" i="14" s="1"/>
  <c r="I45" i="12"/>
  <c r="H45" i="13" s="1"/>
  <c r="I40" i="12"/>
  <c r="J40" i="12" s="1"/>
  <c r="I48" i="12"/>
  <c r="J48" i="12" s="1"/>
  <c r="F26" i="13"/>
  <c r="R85" i="9"/>
  <c r="R128" i="9"/>
  <c r="R88" i="9"/>
  <c r="R63" i="9"/>
  <c r="R106" i="9"/>
  <c r="R65" i="9"/>
  <c r="R49" i="9"/>
  <c r="R33" i="9"/>
  <c r="R25" i="9"/>
  <c r="R92" i="9"/>
  <c r="R27" i="9"/>
  <c r="L119" i="7"/>
  <c r="I178" i="7"/>
  <c r="K65" i="7"/>
  <c r="J178" i="7" s="1"/>
  <c r="L54" i="7"/>
  <c r="L104" i="7"/>
  <c r="K121" i="7"/>
  <c r="L121" i="7" s="1"/>
  <c r="H178" i="7"/>
  <c r="K132" i="6"/>
  <c r="K164" i="6" s="1"/>
  <c r="M100" i="6"/>
  <c r="J97" i="6"/>
  <c r="K160" i="6"/>
  <c r="E127" i="6"/>
  <c r="E159" i="6" s="1"/>
  <c r="L113" i="6"/>
  <c r="M81" i="6"/>
  <c r="P56" i="6"/>
  <c r="L129" i="6"/>
  <c r="L161" i="6" s="1"/>
  <c r="J85" i="6"/>
  <c r="E117" i="6"/>
  <c r="J117" i="6" s="1"/>
  <c r="K113" i="6"/>
  <c r="K145" i="6" s="1"/>
  <c r="L130" i="6"/>
  <c r="J129" i="6"/>
  <c r="E161" i="6"/>
  <c r="K119" i="6"/>
  <c r="K151" i="6" s="1"/>
  <c r="L114" i="6"/>
  <c r="I113" i="6"/>
  <c r="I145" i="6" s="1"/>
  <c r="G312" i="5"/>
  <c r="U312" i="5" s="1"/>
  <c r="V312" i="5" s="1"/>
  <c r="G170" i="5"/>
  <c r="U170" i="5" s="1"/>
  <c r="V170" i="5" s="1"/>
  <c r="U102" i="5"/>
  <c r="V102" i="5" s="1"/>
  <c r="L198" i="5"/>
  <c r="M198" i="5" s="1"/>
  <c r="T204" i="5"/>
  <c r="E271" i="5"/>
  <c r="R271" i="5" s="1"/>
  <c r="T113" i="5"/>
  <c r="J113" i="5"/>
  <c r="E181" i="5"/>
  <c r="T181" i="5" s="1"/>
  <c r="T105" i="5"/>
  <c r="J105" i="5"/>
  <c r="P105" i="5"/>
  <c r="E173" i="5"/>
  <c r="P173" i="5" s="1"/>
  <c r="P102" i="5"/>
  <c r="E170" i="5"/>
  <c r="J170" i="5" s="1"/>
  <c r="E167" i="5"/>
  <c r="E234" i="5" s="1"/>
  <c r="S272" i="5"/>
  <c r="S257" i="5"/>
  <c r="AC299" i="5"/>
  <c r="AD299" i="5" s="1"/>
  <c r="G186" i="5"/>
  <c r="G253" i="5" s="1"/>
  <c r="U118" i="5"/>
  <c r="V118" i="5" s="1"/>
  <c r="AA137" i="5"/>
  <c r="AB137" i="5" s="1"/>
  <c r="H205" i="5"/>
  <c r="AA205" i="5" s="1"/>
  <c r="AA128" i="5"/>
  <c r="AB128" i="5" s="1"/>
  <c r="AA121" i="5"/>
  <c r="H189" i="5"/>
  <c r="AA189" i="5" s="1"/>
  <c r="S124" i="5"/>
  <c r="L192" i="5"/>
  <c r="L259" i="5" s="1"/>
  <c r="M132" i="5"/>
  <c r="L200" i="5"/>
  <c r="L267" i="5" s="1"/>
  <c r="E257" i="5"/>
  <c r="J257" i="5" s="1"/>
  <c r="T190" i="5"/>
  <c r="L153" i="5"/>
  <c r="L220" i="5" s="1"/>
  <c r="M85" i="5"/>
  <c r="H162" i="5"/>
  <c r="AA162" i="5" s="1"/>
  <c r="AA94" i="5"/>
  <c r="AB94" i="5" s="1"/>
  <c r="AC94" i="5"/>
  <c r="AD94" i="5" s="1"/>
  <c r="AE94" i="5" s="1"/>
  <c r="AA91" i="5"/>
  <c r="AB91" i="5" s="1"/>
  <c r="AC91" i="5" s="1"/>
  <c r="AD91" i="5" s="1"/>
  <c r="AE91" i="5" s="1"/>
  <c r="H159" i="5"/>
  <c r="AA159" i="5" s="1"/>
  <c r="AA203" i="5"/>
  <c r="H270" i="5"/>
  <c r="AA270" i="5" s="1"/>
  <c r="L184" i="5"/>
  <c r="S116" i="5"/>
  <c r="M116" i="5"/>
  <c r="E187" i="5"/>
  <c r="P187" i="5" s="1"/>
  <c r="E243" i="5"/>
  <c r="R243" i="5" s="1"/>
  <c r="T176" i="5"/>
  <c r="AA154" i="5"/>
  <c r="H221" i="5"/>
  <c r="AA221" i="5" s="1"/>
  <c r="O133" i="5"/>
  <c r="U131" i="5"/>
  <c r="V131" i="5" s="1"/>
  <c r="K170" i="5"/>
  <c r="K237" i="5" s="1"/>
  <c r="M102" i="5"/>
  <c r="S128" i="5"/>
  <c r="L196" i="5"/>
  <c r="L263" i="5" s="1"/>
  <c r="M128" i="5"/>
  <c r="J116" i="5"/>
  <c r="T116" i="5"/>
  <c r="E184" i="5"/>
  <c r="E251" i="5" s="1"/>
  <c r="T109" i="5"/>
  <c r="E177" i="5"/>
  <c r="T177" i="5" s="1"/>
  <c r="P109" i="5"/>
  <c r="K163" i="5"/>
  <c r="M163" i="5" s="1"/>
  <c r="M95" i="5"/>
  <c r="M90" i="5"/>
  <c r="L158" i="5"/>
  <c r="L155" i="5"/>
  <c r="L222" i="5" s="1"/>
  <c r="L289" i="5" s="1"/>
  <c r="M289" i="5" s="1"/>
  <c r="M87" i="5"/>
  <c r="M86" i="5"/>
  <c r="P86" i="5" s="1"/>
  <c r="K154" i="5"/>
  <c r="M154" i="5" s="1"/>
  <c r="K152" i="5"/>
  <c r="K219" i="5" s="1"/>
  <c r="K286" i="5" s="1"/>
  <c r="AA87" i="5"/>
  <c r="AB87" i="5" s="1"/>
  <c r="AC87" i="5" s="1"/>
  <c r="AD87" i="5" s="1"/>
  <c r="AE87" i="5" s="1"/>
  <c r="H155" i="5"/>
  <c r="AA155" i="5" s="1"/>
  <c r="T126" i="5"/>
  <c r="T174" i="5"/>
  <c r="S135" i="5"/>
  <c r="I85" i="4"/>
  <c r="G87" i="4"/>
  <c r="G109" i="4" s="1"/>
  <c r="U109" i="4" s="1"/>
  <c r="V109" i="4" s="1"/>
  <c r="U65" i="4"/>
  <c r="R22" i="4"/>
  <c r="J65" i="4"/>
  <c r="O65" i="4" s="1"/>
  <c r="I87" i="4"/>
  <c r="E89" i="4"/>
  <c r="J89" i="4" s="1"/>
  <c r="J67" i="4"/>
  <c r="M70" i="4"/>
  <c r="K92" i="4"/>
  <c r="K114" i="4" s="1"/>
  <c r="M114" i="4" s="1"/>
  <c r="U46" i="4"/>
  <c r="J149" i="3"/>
  <c r="I92" i="3"/>
  <c r="J72" i="3"/>
  <c r="K72" i="3" s="1"/>
  <c r="L72" i="3" s="1"/>
  <c r="I159" i="3"/>
  <c r="F65" i="16" s="1"/>
  <c r="L37" i="20"/>
  <c r="Z40" i="20"/>
  <c r="K40" i="20"/>
  <c r="AN40" i="20" s="1"/>
  <c r="K32" i="20"/>
  <c r="AM32" i="20"/>
  <c r="Z17" i="20"/>
  <c r="AM17" i="20"/>
  <c r="K17" i="20"/>
  <c r="AA13" i="20"/>
  <c r="AN13" i="20"/>
  <c r="Z38" i="20"/>
  <c r="K38" i="20"/>
  <c r="AA38" i="20" s="1"/>
  <c r="AM38" i="20"/>
  <c r="L13" i="20"/>
  <c r="AM36" i="20"/>
  <c r="K36" i="20"/>
  <c r="L36" i="20" s="1"/>
  <c r="AM19" i="20"/>
  <c r="Z19" i="20"/>
  <c r="K19" i="20"/>
  <c r="AA19" i="20" s="1"/>
  <c r="Z34" i="20"/>
  <c r="AA12" i="20"/>
  <c r="L12" i="20"/>
  <c r="Z13" i="20"/>
  <c r="G87" i="2"/>
  <c r="J111" i="2"/>
  <c r="J113" i="2" s="1"/>
  <c r="J117" i="2" s="1"/>
  <c r="J114" i="2" s="1"/>
  <c r="I116" i="2"/>
  <c r="G57" i="2"/>
  <c r="G64" i="2" s="1"/>
  <c r="G82" i="2"/>
  <c r="H26" i="3"/>
  <c r="G83" i="2"/>
  <c r="J110" i="2"/>
  <c r="J58" i="2" s="1"/>
  <c r="J65" i="2" s="1"/>
  <c r="I18" i="7"/>
  <c r="J122" i="2"/>
  <c r="K122" i="2" s="1"/>
  <c r="K123" i="2" s="1"/>
  <c r="I123" i="2"/>
  <c r="J98" i="2"/>
  <c r="J100" i="2" s="1"/>
  <c r="I103" i="2"/>
  <c r="J34" i="2"/>
  <c r="J30" i="2"/>
  <c r="H27" i="3"/>
  <c r="G117" i="2"/>
  <c r="G114" i="2" s="1"/>
  <c r="H83" i="2"/>
  <c r="H57" i="2"/>
  <c r="H64" i="2" s="1"/>
  <c r="H86" i="2"/>
  <c r="I100" i="2"/>
  <c r="I30" i="2"/>
  <c r="I27" i="2"/>
  <c r="G75" i="14" s="1"/>
  <c r="H39" i="13"/>
  <c r="H37" i="10"/>
  <c r="J92" i="7" s="1"/>
  <c r="L65" i="7"/>
  <c r="K178" i="7" s="1"/>
  <c r="E149" i="6"/>
  <c r="R56" i="6"/>
  <c r="T56" i="6" s="1"/>
  <c r="L145" i="6"/>
  <c r="K230" i="5"/>
  <c r="K297" i="5" s="1"/>
  <c r="M297" i="5" s="1"/>
  <c r="P243" i="5"/>
  <c r="J243" i="5"/>
  <c r="E310" i="5"/>
  <c r="R310" i="5" s="1"/>
  <c r="L265" i="5"/>
  <c r="L332" i="5" s="1"/>
  <c r="J184" i="5"/>
  <c r="H256" i="5"/>
  <c r="H323" i="5" s="1"/>
  <c r="R173" i="5"/>
  <c r="R181" i="5"/>
  <c r="V46" i="4"/>
  <c r="P67" i="4"/>
  <c r="R67" i="4" s="1"/>
  <c r="T67" i="4" s="1"/>
  <c r="E111" i="4"/>
  <c r="J111" i="4" s="1"/>
  <c r="I109" i="4"/>
  <c r="I107" i="4"/>
  <c r="T22" i="4"/>
  <c r="M92" i="4"/>
  <c r="U87" i="4"/>
  <c r="V87" i="4" s="1"/>
  <c r="AB13" i="20"/>
  <c r="L40" i="20"/>
  <c r="AO40" i="20" s="1"/>
  <c r="AA40" i="20"/>
  <c r="AN19" i="20"/>
  <c r="L19" i="20"/>
  <c r="AA36" i="20"/>
  <c r="AN36" i="20"/>
  <c r="AA17" i="20"/>
  <c r="L17" i="20"/>
  <c r="M17" i="20" s="1"/>
  <c r="N17" i="20" s="1"/>
  <c r="AN17" i="20"/>
  <c r="AA32" i="20"/>
  <c r="L32" i="20"/>
  <c r="AB32" i="20" s="1"/>
  <c r="AN32" i="20"/>
  <c r="M37" i="20"/>
  <c r="L38" i="20"/>
  <c r="G47" i="16"/>
  <c r="J36" i="3"/>
  <c r="K98" i="2"/>
  <c r="K103" i="2" s="1"/>
  <c r="J103" i="2"/>
  <c r="K111" i="2"/>
  <c r="K116" i="2" s="1"/>
  <c r="J116" i="2"/>
  <c r="J123" i="2"/>
  <c r="K27" i="3"/>
  <c r="G84" i="2"/>
  <c r="G91" i="2" s="1"/>
  <c r="G88" i="2" s="1"/>
  <c r="L178" i="7"/>
  <c r="J161" i="6"/>
  <c r="AO17" i="20"/>
  <c r="AB17" i="20"/>
  <c r="AO38" i="20"/>
  <c r="AO36" i="20"/>
  <c r="K100" i="2"/>
  <c r="J90" i="6"/>
  <c r="E122" i="6"/>
  <c r="E154" i="6" s="1"/>
  <c r="J154" i="6" s="1"/>
  <c r="E128" i="6"/>
  <c r="E160" i="6" s="1"/>
  <c r="P59" i="6"/>
  <c r="K88" i="6"/>
  <c r="M88" i="6" s="1"/>
  <c r="E81" i="6"/>
  <c r="E113" i="6" s="1"/>
  <c r="J91" i="6"/>
  <c r="S31" i="6"/>
  <c r="P31" i="6"/>
  <c r="R31" i="6" s="1"/>
  <c r="T31" i="6" s="1"/>
  <c r="G89" i="6"/>
  <c r="G121" i="6" s="1"/>
  <c r="U56" i="6"/>
  <c r="V56" i="6" s="1"/>
  <c r="S23" i="6"/>
  <c r="P23" i="6"/>
  <c r="L96" i="6"/>
  <c r="M96" i="6" s="1"/>
  <c r="Q31" i="6"/>
  <c r="Q20" i="6"/>
  <c r="R20" i="6" s="1"/>
  <c r="Q18" i="6"/>
  <c r="Q32" i="6"/>
  <c r="R32" i="6" s="1"/>
  <c r="G96" i="6"/>
  <c r="U63" i="6"/>
  <c r="P66" i="6"/>
  <c r="E99" i="6"/>
  <c r="T99" i="6" s="1"/>
  <c r="T66" i="6"/>
  <c r="R66" i="6"/>
  <c r="E87" i="6"/>
  <c r="J87" i="6" s="1"/>
  <c r="J54" i="6"/>
  <c r="S54" i="6"/>
  <c r="L118" i="6"/>
  <c r="L150" i="6" s="1"/>
  <c r="M51" i="6"/>
  <c r="S50" i="6"/>
  <c r="L83" i="6"/>
  <c r="L68" i="6"/>
  <c r="R29" i="6"/>
  <c r="T29" i="6" s="1"/>
  <c r="P17" i="6"/>
  <c r="I99" i="6"/>
  <c r="O99" i="6" s="1"/>
  <c r="P25" i="6"/>
  <c r="S25" i="6"/>
  <c r="P19" i="6"/>
  <c r="S19" i="6"/>
  <c r="P16" i="6"/>
  <c r="S16" i="6"/>
  <c r="J63" i="6"/>
  <c r="M60" i="6"/>
  <c r="L93" i="6"/>
  <c r="L125" i="6" s="1"/>
  <c r="S125" i="6" s="1"/>
  <c r="S59" i="6"/>
  <c r="L92" i="6"/>
  <c r="L124" i="6" s="1"/>
  <c r="L156" i="6" s="1"/>
  <c r="J53" i="6"/>
  <c r="E86" i="6"/>
  <c r="J86" i="6" s="1"/>
  <c r="I84" i="6"/>
  <c r="E83" i="6"/>
  <c r="E115" i="6" s="1"/>
  <c r="P50" i="6"/>
  <c r="S52" i="6"/>
  <c r="R52" i="6"/>
  <c r="T52" i="6" s="1"/>
  <c r="G94" i="6"/>
  <c r="M230" i="5"/>
  <c r="T167" i="5"/>
  <c r="T157" i="5"/>
  <c r="R157" i="5"/>
  <c r="I325" i="5"/>
  <c r="O325" i="5" s="1"/>
  <c r="O85" i="5"/>
  <c r="S85" i="5" s="1"/>
  <c r="J153" i="5"/>
  <c r="J229" i="5"/>
  <c r="O95" i="5"/>
  <c r="S95" i="5" s="1"/>
  <c r="P96" i="5"/>
  <c r="S96" i="5"/>
  <c r="H272" i="5"/>
  <c r="AA272" i="5" s="1"/>
  <c r="S94" i="5"/>
  <c r="P94" i="5"/>
  <c r="L225" i="5"/>
  <c r="L292" i="5" s="1"/>
  <c r="O92" i="5"/>
  <c r="J160" i="5"/>
  <c r="R17" i="5"/>
  <c r="S90" i="5"/>
  <c r="P90" i="5"/>
  <c r="AA194" i="5"/>
  <c r="H261" i="5"/>
  <c r="H328" i="5" s="1"/>
  <c r="AA170" i="5"/>
  <c r="H237" i="5"/>
  <c r="AA237" i="5" s="1"/>
  <c r="AC170" i="5"/>
  <c r="AD170" i="5" s="1"/>
  <c r="L249" i="5"/>
  <c r="S249" i="5" s="1"/>
  <c r="S182" i="5"/>
  <c r="E260" i="5"/>
  <c r="T193" i="5"/>
  <c r="O189" i="5"/>
  <c r="I256" i="5"/>
  <c r="I323" i="5" s="1"/>
  <c r="O323" i="5" s="1"/>
  <c r="AC195" i="5"/>
  <c r="AD195" i="5" s="1"/>
  <c r="AE195" i="5" s="1"/>
  <c r="H262" i="5"/>
  <c r="AA262" i="5" s="1"/>
  <c r="S174" i="5"/>
  <c r="L241" i="5"/>
  <c r="L308" i="5" s="1"/>
  <c r="S308" i="5" s="1"/>
  <c r="E268" i="5"/>
  <c r="E335" i="5" s="1"/>
  <c r="T201" i="5"/>
  <c r="T183" i="5"/>
  <c r="S168" i="5"/>
  <c r="E272" i="5"/>
  <c r="T205" i="5"/>
  <c r="AA174" i="5"/>
  <c r="AC174" i="5"/>
  <c r="AD174" i="5" s="1"/>
  <c r="AE174" i="5" s="1"/>
  <c r="H241" i="5"/>
  <c r="E252" i="5"/>
  <c r="P252" i="5" s="1"/>
  <c r="T185" i="5"/>
  <c r="AC291" i="5"/>
  <c r="AD291" i="5" s="1"/>
  <c r="U63" i="4"/>
  <c r="G85" i="4"/>
  <c r="U85" i="4" s="1"/>
  <c r="V85" i="4" s="1"/>
  <c r="K111" i="4"/>
  <c r="L88" i="4"/>
  <c r="L110" i="4" s="1"/>
  <c r="M110" i="4" s="1"/>
  <c r="M66" i="4"/>
  <c r="J87" i="4"/>
  <c r="O87" i="4" s="1"/>
  <c r="E109" i="4"/>
  <c r="J109" i="4" s="1"/>
  <c r="L86" i="4"/>
  <c r="M86" i="4" s="1"/>
  <c r="M64" i="4"/>
  <c r="L85" i="4"/>
  <c r="J62" i="4"/>
  <c r="E84" i="4"/>
  <c r="E106" i="4" s="1"/>
  <c r="K83" i="4"/>
  <c r="G112" i="4"/>
  <c r="U112" i="4" s="1"/>
  <c r="V112" i="4" s="1"/>
  <c r="U90" i="4"/>
  <c r="V90" i="4" s="1"/>
  <c r="U69" i="4"/>
  <c r="G91" i="4"/>
  <c r="G113" i="4" s="1"/>
  <c r="U113" i="4" s="1"/>
  <c r="V113" i="4" s="1"/>
  <c r="E92" i="4"/>
  <c r="J92" i="4" s="1"/>
  <c r="J70" i="4"/>
  <c r="O70" i="4"/>
  <c r="S70" i="4" s="1"/>
  <c r="M65" i="4"/>
  <c r="L87" i="4"/>
  <c r="L109" i="4" s="1"/>
  <c r="L84" i="4"/>
  <c r="L106" i="4" s="1"/>
  <c r="U70" i="4"/>
  <c r="G92" i="4"/>
  <c r="G114" i="4" s="1"/>
  <c r="U114" i="4" s="1"/>
  <c r="V114" i="4" s="1"/>
  <c r="J68" i="4"/>
  <c r="E90" i="4"/>
  <c r="E112" i="4" s="1"/>
  <c r="J112" i="4" s="1"/>
  <c r="K87" i="4"/>
  <c r="K109" i="4" s="1"/>
  <c r="J61" i="4"/>
  <c r="O61" i="4" s="1"/>
  <c r="E83" i="4"/>
  <c r="E105" i="4" s="1"/>
  <c r="L91" i="4"/>
  <c r="L113" i="4" s="1"/>
  <c r="M113" i="4" s="1"/>
  <c r="M69" i="4"/>
  <c r="E88" i="4"/>
  <c r="J88" i="4" s="1"/>
  <c r="O88" i="4" s="1"/>
  <c r="J66" i="4"/>
  <c r="O66" i="4"/>
  <c r="S66" i="4" s="1"/>
  <c r="J64" i="4"/>
  <c r="O64" i="4" s="1"/>
  <c r="E86" i="4"/>
  <c r="J86" i="4" s="1"/>
  <c r="O86" i="4" s="1"/>
  <c r="M61" i="4"/>
  <c r="L83" i="4"/>
  <c r="L105" i="4" s="1"/>
  <c r="R25" i="6"/>
  <c r="S51" i="6"/>
  <c r="P51" i="6"/>
  <c r="E118" i="6"/>
  <c r="E150" i="6" s="1"/>
  <c r="T23" i="6"/>
  <c r="R23" i="6"/>
  <c r="V59" i="6"/>
  <c r="R99" i="6"/>
  <c r="P99" i="6"/>
  <c r="E131" i="6"/>
  <c r="T131" i="6" s="1"/>
  <c r="J84" i="6"/>
  <c r="S92" i="6"/>
  <c r="J123" i="6"/>
  <c r="P90" i="6"/>
  <c r="R90" i="6" s="1"/>
  <c r="T90" i="6" s="1"/>
  <c r="J96" i="6"/>
  <c r="R90" i="5"/>
  <c r="T90" i="5" s="1"/>
  <c r="S162" i="5"/>
  <c r="O230" i="5"/>
  <c r="S92" i="5"/>
  <c r="P92" i="5"/>
  <c r="T92" i="5" s="1"/>
  <c r="P95" i="5"/>
  <c r="P85" i="5"/>
  <c r="J227" i="5"/>
  <c r="H339" i="5"/>
  <c r="AA339" i="5" s="1"/>
  <c r="R96" i="5"/>
  <c r="J296" i="5"/>
  <c r="S297" i="5"/>
  <c r="M91" i="4"/>
  <c r="P64" i="4"/>
  <c r="R64" i="4" s="1"/>
  <c r="P70" i="4"/>
  <c r="T70" i="4" s="1"/>
  <c r="P83" i="6"/>
  <c r="R83" i="6" s="1"/>
  <c r="T83" i="6" s="1"/>
  <c r="P91" i="6"/>
  <c r="S91" i="6"/>
  <c r="J155" i="6"/>
  <c r="P155" i="6" s="1"/>
  <c r="S296" i="5"/>
  <c r="J287" i="5"/>
  <c r="S160" i="5"/>
  <c r="P160" i="5"/>
  <c r="R160" i="5" s="1"/>
  <c r="T160" i="5" s="1"/>
  <c r="R95" i="5"/>
  <c r="S229" i="5"/>
  <c r="P153" i="5"/>
  <c r="R85" i="5"/>
  <c r="T85" i="5" s="1"/>
  <c r="R92" i="5"/>
  <c r="R70" i="4"/>
  <c r="R128" i="6"/>
  <c r="R91" i="6"/>
  <c r="T91" i="6" s="1"/>
  <c r="R92" i="6"/>
  <c r="T92" i="6" s="1"/>
  <c r="P84" i="6"/>
  <c r="R153" i="5"/>
  <c r="R220" i="5"/>
  <c r="T220" i="5" s="1"/>
  <c r="AB264" i="5" l="1"/>
  <c r="AB262" i="5"/>
  <c r="Q24" i="6"/>
  <c r="R24" i="6" s="1"/>
  <c r="Q26" i="6"/>
  <c r="R26" i="6" s="1"/>
  <c r="T26" i="6" s="1"/>
  <c r="Q34" i="6"/>
  <c r="Q19" i="6"/>
  <c r="R43" i="9"/>
  <c r="R41" i="9"/>
  <c r="R57" i="9"/>
  <c r="R73" i="9"/>
  <c r="R90" i="9"/>
  <c r="R130" i="9"/>
  <c r="R39" i="9"/>
  <c r="R79" i="9"/>
  <c r="R112" i="9"/>
  <c r="R87" i="9"/>
  <c r="AB228" i="5"/>
  <c r="AC228" i="5" s="1"/>
  <c r="AD228" i="5" s="1"/>
  <c r="AE228" i="5" s="1"/>
  <c r="P88" i="9"/>
  <c r="P79" i="9"/>
  <c r="T8" i="9"/>
  <c r="P126" i="9"/>
  <c r="P104" i="9"/>
  <c r="P56" i="9"/>
  <c r="P101" i="9"/>
  <c r="P103" i="9"/>
  <c r="P120" i="9"/>
  <c r="P40" i="9"/>
  <c r="R123" i="9"/>
  <c r="P131" i="9"/>
  <c r="P78" i="9"/>
  <c r="P72" i="9"/>
  <c r="P140" i="9"/>
  <c r="P105" i="9"/>
  <c r="P82" i="9"/>
  <c r="P42" i="9"/>
  <c r="AB260" i="5"/>
  <c r="J220" i="5"/>
  <c r="H308" i="5"/>
  <c r="AA241" i="5"/>
  <c r="AB241" i="5" s="1"/>
  <c r="T272" i="5"/>
  <c r="P272" i="5"/>
  <c r="T260" i="5"/>
  <c r="P260" i="5"/>
  <c r="M114" i="6"/>
  <c r="L146" i="6"/>
  <c r="L162" i="6"/>
  <c r="M162" i="6" s="1"/>
  <c r="S130" i="6"/>
  <c r="I27" i="14"/>
  <c r="I34" i="16"/>
  <c r="G83" i="4"/>
  <c r="U61" i="4"/>
  <c r="V61" i="4" s="1"/>
  <c r="U91" i="4"/>
  <c r="V91" i="4" s="1"/>
  <c r="I59" i="2"/>
  <c r="I66" i="2" s="1"/>
  <c r="J28" i="3"/>
  <c r="AO12" i="20"/>
  <c r="AB12" i="20"/>
  <c r="M12" i="20"/>
  <c r="G257" i="5"/>
  <c r="U190" i="5"/>
  <c r="V190" i="5" s="1"/>
  <c r="U94" i="6"/>
  <c r="V94" i="6" s="1"/>
  <c r="G126" i="6"/>
  <c r="U126" i="6" s="1"/>
  <c r="V126" i="6" s="1"/>
  <c r="U96" i="6"/>
  <c r="V96" i="6" s="1"/>
  <c r="G128" i="6"/>
  <c r="N37" i="20"/>
  <c r="AP37" i="20"/>
  <c r="G248" i="5"/>
  <c r="U181" i="5"/>
  <c r="V181" i="5" s="1"/>
  <c r="U243" i="5"/>
  <c r="V243" i="5" s="1"/>
  <c r="G310" i="5"/>
  <c r="U310" i="5" s="1"/>
  <c r="V310" i="5" s="1"/>
  <c r="T271" i="5"/>
  <c r="G123" i="6"/>
  <c r="M19" i="20"/>
  <c r="AO19" i="20"/>
  <c r="J33" i="3"/>
  <c r="G43" i="14"/>
  <c r="G171" i="14"/>
  <c r="I36" i="2"/>
  <c r="J16" i="7" s="1"/>
  <c r="M13" i="20"/>
  <c r="AO13" i="20"/>
  <c r="P220" i="5"/>
  <c r="R268" i="5"/>
  <c r="K120" i="6"/>
  <c r="K152" i="6" s="1"/>
  <c r="M109" i="4"/>
  <c r="K113" i="2"/>
  <c r="M40" i="20"/>
  <c r="N40" i="20" s="1"/>
  <c r="J59" i="2"/>
  <c r="J66" i="2" s="1"/>
  <c r="K28" i="3"/>
  <c r="G172" i="14"/>
  <c r="G38" i="13"/>
  <c r="I14" i="12"/>
  <c r="H90" i="2"/>
  <c r="T79" i="9"/>
  <c r="T120" i="9"/>
  <c r="T118" i="9"/>
  <c r="AO15" i="20"/>
  <c r="T16" i="9"/>
  <c r="G45" i="13"/>
  <c r="G90" i="2"/>
  <c r="U85" i="5"/>
  <c r="V85" i="5" s="1"/>
  <c r="S115" i="5"/>
  <c r="S111" i="5"/>
  <c r="AA197" i="5"/>
  <c r="AE138" i="5"/>
  <c r="O129" i="5"/>
  <c r="G161" i="5"/>
  <c r="G228" i="5" s="1"/>
  <c r="G295" i="5" s="1"/>
  <c r="U295" i="5" s="1"/>
  <c r="V295" i="5" s="1"/>
  <c r="H268" i="5"/>
  <c r="H335" i="5" s="1"/>
  <c r="I240" i="5"/>
  <c r="G260" i="5"/>
  <c r="J107" i="5"/>
  <c r="R127" i="5"/>
  <c r="U44" i="4"/>
  <c r="V44" i="4" s="1"/>
  <c r="Z18" i="20"/>
  <c r="U68" i="4"/>
  <c r="I260" i="5"/>
  <c r="AC193" i="5"/>
  <c r="AD193" i="5" s="1"/>
  <c r="AE193" i="5" s="1"/>
  <c r="AC125" i="5"/>
  <c r="AD125" i="5" s="1"/>
  <c r="AE106" i="5"/>
  <c r="AE122" i="5"/>
  <c r="M99" i="5"/>
  <c r="P131" i="5"/>
  <c r="O113" i="5"/>
  <c r="I155" i="7"/>
  <c r="J53" i="7"/>
  <c r="K53" i="7" s="1"/>
  <c r="J18" i="7"/>
  <c r="AA246" i="5"/>
  <c r="AB246" i="5" s="1"/>
  <c r="AC197" i="5"/>
  <c r="AD197" i="5" s="1"/>
  <c r="AE114" i="5"/>
  <c r="M110" i="5"/>
  <c r="AC201" i="5"/>
  <c r="AD201" i="5" s="1"/>
  <c r="AE249" i="5"/>
  <c r="M182" i="5"/>
  <c r="I27" i="3"/>
  <c r="R99" i="5"/>
  <c r="U121" i="5"/>
  <c r="V121" i="5" s="1"/>
  <c r="O125" i="5"/>
  <c r="AC129" i="5"/>
  <c r="AD129" i="5" s="1"/>
  <c r="M123" i="5"/>
  <c r="M135" i="5"/>
  <c r="K48" i="4"/>
  <c r="J85" i="3"/>
  <c r="K85" i="3" s="1"/>
  <c r="AA129" i="5"/>
  <c r="U26" i="4"/>
  <c r="M26" i="4"/>
  <c r="H117" i="2"/>
  <c r="H114" i="2" s="1"/>
  <c r="G197" i="5"/>
  <c r="W108" i="19"/>
  <c r="O109" i="4"/>
  <c r="T124" i="9"/>
  <c r="T73" i="9"/>
  <c r="V68" i="4"/>
  <c r="L167" i="5"/>
  <c r="L234" i="5" s="1"/>
  <c r="M106" i="5"/>
  <c r="AA117" i="5"/>
  <c r="AC117" i="5"/>
  <c r="AD117" i="5" s="1"/>
  <c r="AE117" i="5" s="1"/>
  <c r="M114" i="5"/>
  <c r="AE134" i="5"/>
  <c r="O14" i="9"/>
  <c r="Z14" i="20"/>
  <c r="AM14" i="20"/>
  <c r="J123" i="5"/>
  <c r="R111" i="5"/>
  <c r="U125" i="5"/>
  <c r="V125" i="5" s="1"/>
  <c r="AE118" i="5"/>
  <c r="AC101" i="5"/>
  <c r="AD101" i="5" s="1"/>
  <c r="AC109" i="5"/>
  <c r="AD109" i="5" s="1"/>
  <c r="G205" i="5"/>
  <c r="U205" i="5" s="1"/>
  <c r="V205" i="5" s="1"/>
  <c r="M115" i="5"/>
  <c r="M127" i="5"/>
  <c r="AE265" i="5"/>
  <c r="AA105" i="5"/>
  <c r="L48" i="4"/>
  <c r="I150" i="3"/>
  <c r="K23" i="7"/>
  <c r="G99" i="14"/>
  <c r="Z21" i="20"/>
  <c r="K24" i="7"/>
  <c r="G96" i="14"/>
  <c r="G107" i="4"/>
  <c r="U107" i="4" s="1"/>
  <c r="M45" i="4"/>
  <c r="M95" i="6"/>
  <c r="M87" i="6"/>
  <c r="S127" i="5"/>
  <c r="G130" i="6"/>
  <c r="G162" i="6" s="1"/>
  <c r="U162" i="6" s="1"/>
  <c r="V162" i="6" s="1"/>
  <c r="U98" i="6"/>
  <c r="V98" i="6" s="1"/>
  <c r="I116" i="6"/>
  <c r="O84" i="6"/>
  <c r="I98" i="6"/>
  <c r="O65" i="6"/>
  <c r="I97" i="6"/>
  <c r="O97" i="6" s="1"/>
  <c r="O64" i="6"/>
  <c r="I96" i="6"/>
  <c r="O63" i="6"/>
  <c r="I95" i="6"/>
  <c r="O62" i="6"/>
  <c r="I94" i="6"/>
  <c r="O61" i="6"/>
  <c r="I93" i="6"/>
  <c r="O60" i="6"/>
  <c r="I92" i="6"/>
  <c r="O59" i="6"/>
  <c r="I91" i="6"/>
  <c r="O58" i="6"/>
  <c r="I90" i="6"/>
  <c r="O57" i="6"/>
  <c r="I89" i="6"/>
  <c r="O89" i="6" s="1"/>
  <c r="O56" i="6"/>
  <c r="I88" i="6"/>
  <c r="O55" i="6"/>
  <c r="I87" i="6"/>
  <c r="O54" i="6"/>
  <c r="I86" i="6"/>
  <c r="O53" i="6"/>
  <c r="I85" i="6"/>
  <c r="O52" i="6"/>
  <c r="I83" i="6"/>
  <c r="O50" i="6"/>
  <c r="I82" i="6"/>
  <c r="O49" i="6"/>
  <c r="M93" i="6"/>
  <c r="M49" i="6"/>
  <c r="K68" i="6"/>
  <c r="M62" i="6"/>
  <c r="U65" i="6"/>
  <c r="U68" i="6" s="1"/>
  <c r="G150" i="6"/>
  <c r="U150" i="6" s="1"/>
  <c r="V150" i="6" s="1"/>
  <c r="U86" i="6"/>
  <c r="V86" i="6" s="1"/>
  <c r="J81" i="6"/>
  <c r="I131" i="6"/>
  <c r="O131" i="6" s="1"/>
  <c r="G125" i="6"/>
  <c r="M130" i="6"/>
  <c r="M146" i="6"/>
  <c r="M82" i="6"/>
  <c r="M58" i="6"/>
  <c r="M54" i="6"/>
  <c r="U53" i="6"/>
  <c r="M50" i="6"/>
  <c r="I100" i="6"/>
  <c r="O67" i="6"/>
  <c r="M53" i="6"/>
  <c r="M63" i="6"/>
  <c r="J82" i="6"/>
  <c r="M98" i="6"/>
  <c r="O81" i="6"/>
  <c r="T105" i="9"/>
  <c r="T40" i="9"/>
  <c r="T24" i="9"/>
  <c r="R113" i="9"/>
  <c r="R80" i="9"/>
  <c r="I78" i="3"/>
  <c r="I146" i="3" s="1"/>
  <c r="H15" i="11" s="1"/>
  <c r="H188" i="14" s="1"/>
  <c r="I147" i="3"/>
  <c r="H17" i="11" s="1"/>
  <c r="F26" i="16" s="1"/>
  <c r="J148" i="3"/>
  <c r="G19" i="14" s="1"/>
  <c r="G77" i="16" s="1"/>
  <c r="G38" i="12"/>
  <c r="G41" i="12" s="1"/>
  <c r="F40" i="16" s="1"/>
  <c r="H16" i="8"/>
  <c r="H19" i="8" s="1"/>
  <c r="L132" i="7"/>
  <c r="K155" i="7"/>
  <c r="J26" i="11" s="1"/>
  <c r="H195" i="14" s="1"/>
  <c r="E108" i="4"/>
  <c r="P108" i="4" s="1"/>
  <c r="E110" i="4"/>
  <c r="AC17" i="20"/>
  <c r="M32" i="20"/>
  <c r="N32" i="20" s="1"/>
  <c r="G41" i="16"/>
  <c r="W81" i="19"/>
  <c r="P14" i="9"/>
  <c r="M36" i="6"/>
  <c r="L113" i="7"/>
  <c r="L184" i="7" s="1"/>
  <c r="AP15" i="20"/>
  <c r="N14" i="20"/>
  <c r="AQ14" i="20" s="1"/>
  <c r="AB14" i="20"/>
  <c r="N15" i="20"/>
  <c r="O15" i="20" s="1"/>
  <c r="AP17" i="20"/>
  <c r="J50" i="2"/>
  <c r="K17" i="7" s="1"/>
  <c r="K49" i="2"/>
  <c r="K50" i="2" s="1"/>
  <c r="L17" i="7" s="1"/>
  <c r="I50" i="2"/>
  <c r="J17" i="7" s="1"/>
  <c r="AB237" i="5"/>
  <c r="AB272" i="5"/>
  <c r="Q28" i="6"/>
  <c r="R28" i="6" s="1"/>
  <c r="T28" i="6" s="1"/>
  <c r="Q22" i="6"/>
  <c r="R22" i="6" s="1"/>
  <c r="T22" i="6" s="1"/>
  <c r="Q30" i="6"/>
  <c r="Q23" i="6"/>
  <c r="Q16" i="6"/>
  <c r="R16" i="6" s="1"/>
  <c r="T16" i="6" s="1"/>
  <c r="Q35" i="6"/>
  <c r="Q27" i="6"/>
  <c r="R27" i="6" s="1"/>
  <c r="T27" i="6" s="1"/>
  <c r="AB221" i="5"/>
  <c r="AC221" i="5" s="1"/>
  <c r="AD221" i="5" s="1"/>
  <c r="AE221" i="5" s="1"/>
  <c r="AB270" i="5"/>
  <c r="AB121" i="5"/>
  <c r="AB220" i="5"/>
  <c r="AB232" i="5"/>
  <c r="AC232" i="5" s="1"/>
  <c r="AD232" i="5" s="1"/>
  <c r="AE232" i="5" s="1"/>
  <c r="AB224" i="5"/>
  <c r="AC224" i="5" s="1"/>
  <c r="AD224" i="5" s="1"/>
  <c r="E74" i="6"/>
  <c r="H130" i="2"/>
  <c r="H127" i="2" s="1"/>
  <c r="AB247" i="5"/>
  <c r="AB250" i="5"/>
  <c r="J174" i="19"/>
  <c r="K174" i="19" s="1"/>
  <c r="E59" i="19"/>
  <c r="E144" i="5"/>
  <c r="E106" i="6"/>
  <c r="H104" i="2"/>
  <c r="H101" i="2" s="1"/>
  <c r="W103" i="19"/>
  <c r="W105" i="19"/>
  <c r="W107" i="19"/>
  <c r="Q33" i="6"/>
  <c r="Q25" i="6"/>
  <c r="S16" i="5"/>
  <c r="AE169" i="5"/>
  <c r="Q62" i="5"/>
  <c r="Q54" i="5"/>
  <c r="Q46" i="5"/>
  <c r="Q38" i="5"/>
  <c r="Q67" i="5"/>
  <c r="Q59" i="5"/>
  <c r="Q51" i="5"/>
  <c r="Q43" i="5"/>
  <c r="Q35" i="5"/>
  <c r="Q68" i="5"/>
  <c r="Q60" i="5"/>
  <c r="Q52" i="5"/>
  <c r="Q44" i="5"/>
  <c r="Q36" i="5"/>
  <c r="Q69" i="5"/>
  <c r="Q61" i="5"/>
  <c r="Q53" i="5"/>
  <c r="Q45" i="5"/>
  <c r="Q37" i="5"/>
  <c r="E278" i="5"/>
  <c r="T14" i="9"/>
  <c r="H38" i="10" s="1"/>
  <c r="J93" i="7" s="1"/>
  <c r="G59" i="14" s="1"/>
  <c r="G61" i="14" s="1"/>
  <c r="G62" i="14" s="1"/>
  <c r="T140" i="9"/>
  <c r="R134" i="9"/>
  <c r="R132" i="9"/>
  <c r="R126" i="9"/>
  <c r="R124" i="9"/>
  <c r="R116" i="9"/>
  <c r="R115" i="9"/>
  <c r="R111" i="9"/>
  <c r="R110" i="9"/>
  <c r="T109" i="9"/>
  <c r="T108" i="9"/>
  <c r="P100" i="9"/>
  <c r="P99" i="9"/>
  <c r="T93" i="9"/>
  <c r="T91" i="9"/>
  <c r="R83" i="9"/>
  <c r="R82" i="9"/>
  <c r="T78" i="9"/>
  <c r="T75" i="9"/>
  <c r="P74" i="9"/>
  <c r="T68" i="9"/>
  <c r="P67" i="9"/>
  <c r="P59" i="9"/>
  <c r="R53" i="9"/>
  <c r="T44" i="9"/>
  <c r="T35" i="9"/>
  <c r="T17" i="9"/>
  <c r="O40" i="20"/>
  <c r="AD40" i="20"/>
  <c r="O17" i="20"/>
  <c r="AD17" i="20"/>
  <c r="AQ17" i="20"/>
  <c r="AC19" i="20"/>
  <c r="AP19" i="20"/>
  <c r="N19" i="20"/>
  <c r="AC332" i="5"/>
  <c r="AD332" i="5" s="1"/>
  <c r="AE332" i="5" s="1"/>
  <c r="AA332" i="5"/>
  <c r="E105" i="6"/>
  <c r="E211" i="5"/>
  <c r="E279" i="5"/>
  <c r="E138" i="6"/>
  <c r="F23" i="13"/>
  <c r="G23" i="13"/>
  <c r="H19" i="12"/>
  <c r="V16" i="6"/>
  <c r="V36" i="6" s="1"/>
  <c r="U36" i="6"/>
  <c r="V49" i="5"/>
  <c r="U71" i="5"/>
  <c r="G59" i="2"/>
  <c r="G66" i="2" s="1"/>
  <c r="H28" i="3"/>
  <c r="J125" i="2"/>
  <c r="J126" i="2" s="1"/>
  <c r="J130" i="2" s="1"/>
  <c r="J127" i="2" s="1"/>
  <c r="I126" i="2"/>
  <c r="I130" i="2" s="1"/>
  <c r="I127" i="2" s="1"/>
  <c r="I129" i="2"/>
  <c r="K110" i="2"/>
  <c r="K117" i="2" s="1"/>
  <c r="K114" i="2" s="1"/>
  <c r="J115" i="3"/>
  <c r="K115" i="3" s="1"/>
  <c r="L115" i="3" s="1"/>
  <c r="I127" i="3"/>
  <c r="I156" i="3" s="1"/>
  <c r="H22" i="11" s="1"/>
  <c r="I192" i="14" s="1"/>
  <c r="F68" i="14"/>
  <c r="F71" i="14" s="1"/>
  <c r="I194" i="14" s="1"/>
  <c r="I113" i="7"/>
  <c r="L108" i="4"/>
  <c r="M108" i="4" s="1"/>
  <c r="E114" i="4"/>
  <c r="J114" i="4" s="1"/>
  <c r="AC272" i="5"/>
  <c r="AD272" i="5" s="1"/>
  <c r="K127" i="6"/>
  <c r="M127" i="6" s="1"/>
  <c r="G290" i="5"/>
  <c r="U290" i="5" s="1"/>
  <c r="V290" i="5" s="1"/>
  <c r="H226" i="5"/>
  <c r="H293" i="5" s="1"/>
  <c r="AA293" i="5" s="1"/>
  <c r="AQ37" i="20"/>
  <c r="H25" i="3"/>
  <c r="AC12" i="20"/>
  <c r="AB19" i="20"/>
  <c r="AO32" i="20"/>
  <c r="AC37" i="20"/>
  <c r="P181" i="5"/>
  <c r="J181" i="5"/>
  <c r="E240" i="5"/>
  <c r="E307" i="5" s="1"/>
  <c r="AC162" i="5"/>
  <c r="AD162" i="5" s="1"/>
  <c r="AE162" i="5" s="1"/>
  <c r="P170" i="5"/>
  <c r="M155" i="5"/>
  <c r="I45" i="13"/>
  <c r="H41" i="16"/>
  <c r="I110" i="2"/>
  <c r="H18" i="11"/>
  <c r="G22" i="14"/>
  <c r="G23" i="14" s="1"/>
  <c r="J155" i="7"/>
  <c r="J74" i="7"/>
  <c r="I179" i="7" s="1"/>
  <c r="R59" i="9"/>
  <c r="R100" i="9"/>
  <c r="F39" i="13"/>
  <c r="G39" i="13"/>
  <c r="G49" i="14"/>
  <c r="E130" i="6"/>
  <c r="E162" i="6" s="1"/>
  <c r="J162" i="6" s="1"/>
  <c r="J98" i="6"/>
  <c r="P328" i="5"/>
  <c r="R328" i="5"/>
  <c r="L123" i="6"/>
  <c r="M91" i="6"/>
  <c r="T132" i="6"/>
  <c r="E164" i="6"/>
  <c r="T164" i="6" s="1"/>
  <c r="J132" i="6"/>
  <c r="O15" i="9"/>
  <c r="S173" i="5"/>
  <c r="L240" i="5"/>
  <c r="U99" i="6"/>
  <c r="V99" i="6" s="1"/>
  <c r="G131" i="6"/>
  <c r="J113" i="7"/>
  <c r="I25" i="11" s="1"/>
  <c r="G31" i="16" s="1"/>
  <c r="S187" i="5"/>
  <c r="L254" i="5"/>
  <c r="M187" i="5"/>
  <c r="U177" i="5"/>
  <c r="V177" i="5" s="1"/>
  <c r="G244" i="5"/>
  <c r="I22" i="14"/>
  <c r="I78" i="16" s="1"/>
  <c r="T70" i="9"/>
  <c r="T131" i="9"/>
  <c r="T54" i="9"/>
  <c r="T103" i="9"/>
  <c r="T115" i="9"/>
  <c r="T137" i="9"/>
  <c r="Z8" i="9"/>
  <c r="Z98" i="9" s="1"/>
  <c r="T86" i="9"/>
  <c r="T129" i="9"/>
  <c r="T125" i="9"/>
  <c r="T38" i="9"/>
  <c r="T95" i="9"/>
  <c r="T74" i="9"/>
  <c r="T111" i="9"/>
  <c r="T99" i="9"/>
  <c r="T101" i="9"/>
  <c r="T22" i="9"/>
  <c r="T134" i="9"/>
  <c r="T110" i="9"/>
  <c r="T53" i="9"/>
  <c r="T45" i="9"/>
  <c r="T29" i="9"/>
  <c r="T112" i="9"/>
  <c r="T114" i="9"/>
  <c r="T106" i="9"/>
  <c r="T49" i="9"/>
  <c r="T132" i="9"/>
  <c r="T92" i="9"/>
  <c r="T51" i="9"/>
  <c r="T20" i="9"/>
  <c r="AD14" i="20"/>
  <c r="O14" i="20"/>
  <c r="P110" i="9"/>
  <c r="P80" i="9"/>
  <c r="R58" i="9"/>
  <c r="P57" i="9"/>
  <c r="P114" i="9"/>
  <c r="S8" i="9"/>
  <c r="S81" i="9" s="1"/>
  <c r="R50" i="9"/>
  <c r="P108" i="9"/>
  <c r="P30" i="9"/>
  <c r="R135" i="9"/>
  <c r="P39" i="9"/>
  <c r="R76" i="9"/>
  <c r="P44" i="9"/>
  <c r="P94" i="9"/>
  <c r="R93" i="9"/>
  <c r="P127" i="9"/>
  <c r="P118" i="9"/>
  <c r="P46" i="9"/>
  <c r="R74" i="9"/>
  <c r="R30" i="9"/>
  <c r="P93" i="9"/>
  <c r="R107" i="9"/>
  <c r="P20" i="9"/>
  <c r="P83" i="9"/>
  <c r="R64" i="9"/>
  <c r="P76" i="9"/>
  <c r="P134" i="9"/>
  <c r="R137" i="9"/>
  <c r="R56" i="9"/>
  <c r="R133" i="9"/>
  <c r="P52" i="9"/>
  <c r="P129" i="9"/>
  <c r="P33" i="9"/>
  <c r="P34" i="9"/>
  <c r="P66" i="9"/>
  <c r="P107" i="9"/>
  <c r="P92" i="9"/>
  <c r="R40" i="9"/>
  <c r="P49" i="9"/>
  <c r="P91" i="9"/>
  <c r="P97" i="9"/>
  <c r="P123" i="9"/>
  <c r="P130" i="9"/>
  <c r="P141" i="9"/>
  <c r="P22" i="9"/>
  <c r="P113" i="9"/>
  <c r="P135" i="9"/>
  <c r="P132" i="9"/>
  <c r="P124" i="9"/>
  <c r="R68" i="9"/>
  <c r="R22" i="9"/>
  <c r="P17" i="9"/>
  <c r="P41" i="9"/>
  <c r="P15" i="9"/>
  <c r="R38" i="9"/>
  <c r="P90" i="9"/>
  <c r="P45" i="9"/>
  <c r="P122" i="9"/>
  <c r="P54" i="9"/>
  <c r="P137" i="9"/>
  <c r="P36" i="9"/>
  <c r="P125" i="9"/>
  <c r="R24" i="9"/>
  <c r="P43" i="9"/>
  <c r="R84" i="9"/>
  <c r="R70" i="9"/>
  <c r="R105" i="9"/>
  <c r="P136" i="9"/>
  <c r="P87" i="9"/>
  <c r="P128" i="9"/>
  <c r="X8" i="9"/>
  <c r="P139" i="9"/>
  <c r="P18" i="9"/>
  <c r="P70" i="9"/>
  <c r="P68" i="9"/>
  <c r="R109" i="9"/>
  <c r="P48" i="9"/>
  <c r="P111" i="9"/>
  <c r="P116" i="9"/>
  <c r="P25" i="9"/>
  <c r="P106" i="9"/>
  <c r="R129" i="9"/>
  <c r="P86" i="9"/>
  <c r="R72" i="9"/>
  <c r="R48" i="9"/>
  <c r="P115" i="9"/>
  <c r="R141" i="9"/>
  <c r="R16" i="9"/>
  <c r="P117" i="9"/>
  <c r="P112" i="9"/>
  <c r="P95" i="9"/>
  <c r="P16" i="9"/>
  <c r="P65" i="9"/>
  <c r="R101" i="9"/>
  <c r="P27" i="9"/>
  <c r="U8" i="9"/>
  <c r="U35" i="9" s="1"/>
  <c r="R42" i="9"/>
  <c r="P121" i="9"/>
  <c r="R119" i="9"/>
  <c r="P19" i="9"/>
  <c r="P138" i="9"/>
  <c r="R28" i="9"/>
  <c r="P89" i="9"/>
  <c r="P50" i="9"/>
  <c r="P96" i="9"/>
  <c r="R121" i="9"/>
  <c r="R125" i="9"/>
  <c r="R89" i="9"/>
  <c r="P81" i="9"/>
  <c r="R78" i="9"/>
  <c r="P38" i="9"/>
  <c r="P84" i="9"/>
  <c r="R95" i="9"/>
  <c r="P71" i="9"/>
  <c r="R86" i="9"/>
  <c r="P21" i="9"/>
  <c r="P51" i="9"/>
  <c r="R97" i="9"/>
  <c r="P35" i="9"/>
  <c r="R46" i="9"/>
  <c r="P119" i="9"/>
  <c r="P32" i="9"/>
  <c r="R36" i="9"/>
  <c r="R52" i="9"/>
  <c r="R44" i="9"/>
  <c r="P64" i="9"/>
  <c r="R32" i="9"/>
  <c r="P58" i="9"/>
  <c r="P55" i="9"/>
  <c r="R26" i="9"/>
  <c r="R34" i="9"/>
  <c r="R139" i="9"/>
  <c r="R66" i="9"/>
  <c r="R60" i="9"/>
  <c r="P60" i="9"/>
  <c r="P77" i="9"/>
  <c r="R91" i="9"/>
  <c r="P29" i="9"/>
  <c r="R99" i="9"/>
  <c r="P23" i="9"/>
  <c r="R117" i="9"/>
  <c r="P24" i="9"/>
  <c r="R127" i="9"/>
  <c r="P26" i="9"/>
  <c r="R118" i="9"/>
  <c r="R102" i="9"/>
  <c r="R94" i="9"/>
  <c r="R77" i="9"/>
  <c r="R69" i="9"/>
  <c r="R61" i="9"/>
  <c r="R45" i="9"/>
  <c r="R37" i="9"/>
  <c r="R29" i="9"/>
  <c r="R21" i="9"/>
  <c r="R17" i="9"/>
  <c r="R136" i="9"/>
  <c r="R120" i="9"/>
  <c r="R104" i="9"/>
  <c r="R96" i="9"/>
  <c r="R71" i="9"/>
  <c r="R55" i="9"/>
  <c r="R47" i="9"/>
  <c r="R31" i="9"/>
  <c r="R23" i="9"/>
  <c r="R18" i="9"/>
  <c r="R138" i="9"/>
  <c r="R122" i="9"/>
  <c r="R114" i="9"/>
  <c r="R98" i="9"/>
  <c r="R81" i="9"/>
  <c r="R19" i="9"/>
  <c r="R14" i="9"/>
  <c r="F38" i="10" s="1"/>
  <c r="H93" i="7" s="1"/>
  <c r="R140" i="9"/>
  <c r="R108" i="9"/>
  <c r="R75" i="9"/>
  <c r="R67" i="9"/>
  <c r="R51" i="9"/>
  <c r="R35" i="9"/>
  <c r="R20" i="9"/>
  <c r="G43" i="2"/>
  <c r="H9" i="7"/>
  <c r="H84" i="7"/>
  <c r="I84" i="7" s="1"/>
  <c r="J84" i="7" s="1"/>
  <c r="K84" i="7" s="1"/>
  <c r="L84" i="7" s="1"/>
  <c r="I8" i="7"/>
  <c r="L35" i="20"/>
  <c r="AO35" i="20" s="1"/>
  <c r="AN35" i="20"/>
  <c r="M41" i="20"/>
  <c r="AO41" i="20"/>
  <c r="G252" i="5"/>
  <c r="U185" i="5"/>
  <c r="V185" i="5" s="1"/>
  <c r="U114" i="6"/>
  <c r="V114" i="6" s="1"/>
  <c r="G146" i="6"/>
  <c r="U146" i="6" s="1"/>
  <c r="V146" i="6" s="1"/>
  <c r="L66" i="7"/>
  <c r="L74" i="7" s="1"/>
  <c r="L179" i="7" s="1"/>
  <c r="K74" i="7"/>
  <c r="AA22" i="20"/>
  <c r="AN22" i="20"/>
  <c r="L155" i="7"/>
  <c r="K185" i="7" s="1"/>
  <c r="F27" i="13"/>
  <c r="U225" i="5"/>
  <c r="V225" i="5" s="1"/>
  <c r="G292" i="5"/>
  <c r="U292" i="5" s="1"/>
  <c r="V292" i="5" s="1"/>
  <c r="S167" i="5"/>
  <c r="O251" i="5"/>
  <c r="I318" i="5"/>
  <c r="O318" i="5" s="1"/>
  <c r="G149" i="6"/>
  <c r="U149" i="6" s="1"/>
  <c r="V149" i="6" s="1"/>
  <c r="U117" i="6"/>
  <c r="V117" i="6" s="1"/>
  <c r="G71" i="14"/>
  <c r="G85" i="16" s="1"/>
  <c r="F55" i="10"/>
  <c r="G12" i="10" s="1"/>
  <c r="J14" i="12"/>
  <c r="I38" i="13" s="1"/>
  <c r="H38" i="13"/>
  <c r="H26" i="11"/>
  <c r="H185" i="7"/>
  <c r="J35" i="11"/>
  <c r="I38" i="11"/>
  <c r="G33" i="16"/>
  <c r="F89" i="16"/>
  <c r="J87" i="3"/>
  <c r="J59" i="7"/>
  <c r="J96" i="2"/>
  <c r="I97" i="2"/>
  <c r="K16" i="20"/>
  <c r="AN16" i="20" s="1"/>
  <c r="AM16" i="20"/>
  <c r="Z16" i="20"/>
  <c r="V13" i="21"/>
  <c r="N19" i="21"/>
  <c r="V19" i="21" s="1"/>
  <c r="E174" i="19"/>
  <c r="F174" i="19" s="1"/>
  <c r="J21" i="3"/>
  <c r="I21" i="3"/>
  <c r="K85" i="4"/>
  <c r="K107" i="4" s="1"/>
  <c r="M63" i="4"/>
  <c r="K84" i="4"/>
  <c r="K106" i="4" s="1"/>
  <c r="K71" i="4"/>
  <c r="M62" i="4"/>
  <c r="L116" i="6"/>
  <c r="S84" i="6"/>
  <c r="M84" i="6"/>
  <c r="E295" i="5"/>
  <c r="J295" i="5" s="1"/>
  <c r="M83" i="6"/>
  <c r="M48" i="6"/>
  <c r="P48" i="6" s="1"/>
  <c r="P61" i="4"/>
  <c r="R61" i="4" s="1"/>
  <c r="E145" i="6"/>
  <c r="J113" i="6"/>
  <c r="O113" i="6" s="1"/>
  <c r="I105" i="4"/>
  <c r="G324" i="5"/>
  <c r="U324" i="5" s="1"/>
  <c r="V324" i="5" s="1"/>
  <c r="U257" i="5"/>
  <c r="V257" i="5" s="1"/>
  <c r="L309" i="5"/>
  <c r="S309" i="5" s="1"/>
  <c r="S242" i="5"/>
  <c r="L151" i="6"/>
  <c r="M119" i="6"/>
  <c r="U83" i="4"/>
  <c r="V83" i="4" s="1"/>
  <c r="G105" i="4"/>
  <c r="U105" i="4" s="1"/>
  <c r="V105" i="4" s="1"/>
  <c r="P109" i="4"/>
  <c r="R109" i="4" s="1"/>
  <c r="T109" i="4" s="1"/>
  <c r="S153" i="5"/>
  <c r="J128" i="6"/>
  <c r="P128" i="6" s="1"/>
  <c r="P92" i="6"/>
  <c r="L107" i="4"/>
  <c r="T268" i="5"/>
  <c r="J99" i="6"/>
  <c r="J124" i="6"/>
  <c r="J156" i="6" s="1"/>
  <c r="M87" i="4"/>
  <c r="T187" i="5"/>
  <c r="AC205" i="5"/>
  <c r="AD205" i="5" s="1"/>
  <c r="P130" i="6"/>
  <c r="R130" i="6" s="1"/>
  <c r="T130" i="6" s="1"/>
  <c r="R240" i="5"/>
  <c r="E248" i="5"/>
  <c r="P248" i="5" s="1"/>
  <c r="J173" i="5"/>
  <c r="T173" i="5"/>
  <c r="P184" i="5"/>
  <c r="E237" i="5"/>
  <c r="R237" i="5" s="1"/>
  <c r="T43" i="9"/>
  <c r="T41" i="9"/>
  <c r="T81" i="9"/>
  <c r="T122" i="9"/>
  <c r="T138" i="9"/>
  <c r="T39" i="9"/>
  <c r="T47" i="9"/>
  <c r="T55" i="9"/>
  <c r="T96" i="9"/>
  <c r="T104" i="9"/>
  <c r="T128" i="9"/>
  <c r="T21" i="9"/>
  <c r="T37" i="9"/>
  <c r="T61" i="9"/>
  <c r="T69" i="9"/>
  <c r="T77" i="9"/>
  <c r="T85" i="9"/>
  <c r="T102" i="9"/>
  <c r="S224" i="5"/>
  <c r="Z141" i="9"/>
  <c r="Z93" i="9"/>
  <c r="Z57" i="9"/>
  <c r="Z108" i="9"/>
  <c r="Z120" i="9"/>
  <c r="Z123" i="9"/>
  <c r="I90" i="4"/>
  <c r="T117" i="9"/>
  <c r="T56" i="9"/>
  <c r="T72" i="9"/>
  <c r="T60" i="9"/>
  <c r="T48" i="9"/>
  <c r="T64" i="9"/>
  <c r="T52" i="9"/>
  <c r="T36" i="9"/>
  <c r="T141" i="9"/>
  <c r="T121" i="9"/>
  <c r="T135" i="9"/>
  <c r="T30" i="9"/>
  <c r="T139" i="9"/>
  <c r="T107" i="9"/>
  <c r="T32" i="9"/>
  <c r="M228" i="5"/>
  <c r="S181" i="5"/>
  <c r="I236" i="5"/>
  <c r="O236" i="5" s="1"/>
  <c r="AC242" i="5"/>
  <c r="AD242" i="5" s="1"/>
  <c r="P131" i="6"/>
  <c r="S119" i="6"/>
  <c r="U92" i="4"/>
  <c r="V92" i="4" s="1"/>
  <c r="P268" i="5"/>
  <c r="M152" i="6"/>
  <c r="L236" i="5"/>
  <c r="E324" i="5"/>
  <c r="T324" i="5" s="1"/>
  <c r="R184" i="5"/>
  <c r="T243" i="5"/>
  <c r="J130" i="6"/>
  <c r="T27" i="9"/>
  <c r="S35" i="9"/>
  <c r="U43" i="9"/>
  <c r="U51" i="9"/>
  <c r="T59" i="9"/>
  <c r="T67" i="9"/>
  <c r="U75" i="9"/>
  <c r="T83" i="9"/>
  <c r="U100" i="9"/>
  <c r="U108" i="9"/>
  <c r="T116" i="9"/>
  <c r="T19" i="9"/>
  <c r="U25" i="9"/>
  <c r="S33" i="9"/>
  <c r="T33" i="9"/>
  <c r="T57" i="9"/>
  <c r="T65" i="9"/>
  <c r="U65" i="9"/>
  <c r="S90" i="9"/>
  <c r="T98" i="9"/>
  <c r="T130" i="9"/>
  <c r="U18" i="9"/>
  <c r="T23" i="9"/>
  <c r="T31" i="9"/>
  <c r="T63" i="9"/>
  <c r="T71" i="9"/>
  <c r="U79" i="9"/>
  <c r="T88" i="9"/>
  <c r="S104" i="9"/>
  <c r="U112" i="9"/>
  <c r="T136" i="9"/>
  <c r="T87" i="9"/>
  <c r="U17" i="9"/>
  <c r="U37" i="9"/>
  <c r="U69" i="9"/>
  <c r="U85" i="9"/>
  <c r="T94" i="9"/>
  <c r="S102" i="9"/>
  <c r="T126" i="9"/>
  <c r="U134" i="9"/>
  <c r="S134" i="9"/>
  <c r="Z41" i="9"/>
  <c r="Z15" i="9"/>
  <c r="Z17" i="9"/>
  <c r="Z114" i="9"/>
  <c r="Z70" i="9"/>
  <c r="Z83" i="9"/>
  <c r="S86" i="9"/>
  <c r="S95" i="9"/>
  <c r="S34" i="9"/>
  <c r="S50" i="9"/>
  <c r="S135" i="9"/>
  <c r="S56" i="9"/>
  <c r="S15" i="9"/>
  <c r="S42" i="9"/>
  <c r="V8" i="9"/>
  <c r="S105" i="9"/>
  <c r="S36" i="9"/>
  <c r="U95" i="6"/>
  <c r="V95" i="6" s="1"/>
  <c r="T28" i="9"/>
  <c r="T62" i="9"/>
  <c r="T50" i="9"/>
  <c r="T84" i="9"/>
  <c r="T119" i="9"/>
  <c r="T34" i="9"/>
  <c r="T80" i="9"/>
  <c r="T97" i="9"/>
  <c r="T58" i="9"/>
  <c r="T46" i="9"/>
  <c r="T76" i="9"/>
  <c r="T133" i="9"/>
  <c r="T89" i="9"/>
  <c r="T82" i="9"/>
  <c r="T113" i="9"/>
  <c r="U42" i="9"/>
  <c r="U82" i="9"/>
  <c r="U58" i="9"/>
  <c r="U101" i="9"/>
  <c r="U22" i="9"/>
  <c r="U62" i="9"/>
  <c r="U95" i="9"/>
  <c r="U66" i="9"/>
  <c r="U80" i="9"/>
  <c r="U105" i="9"/>
  <c r="U139" i="9"/>
  <c r="R132" i="6"/>
  <c r="O185" i="5"/>
  <c r="S191" i="5"/>
  <c r="G55" i="10"/>
  <c r="H12" i="10" s="1"/>
  <c r="H55" i="10" s="1"/>
  <c r="I12" i="10" s="1"/>
  <c r="I55" i="10" s="1"/>
  <c r="U261" i="5"/>
  <c r="V261" i="5" s="1"/>
  <c r="F56" i="10"/>
  <c r="G13" i="10" s="1"/>
  <c r="G56" i="10" s="1"/>
  <c r="F57" i="10"/>
  <c r="G14" i="10" s="1"/>
  <c r="U161" i="5"/>
  <c r="H40" i="10"/>
  <c r="H50" i="10" s="1"/>
  <c r="I24" i="11" s="1"/>
  <c r="G30" i="16" s="1"/>
  <c r="O26" i="4"/>
  <c r="AP40" i="20"/>
  <c r="AC40" i="20"/>
  <c r="AP32" i="20"/>
  <c r="M38" i="20"/>
  <c r="AB38" i="20"/>
  <c r="M35" i="20"/>
  <c r="AB35" i="20"/>
  <c r="Z31" i="20"/>
  <c r="AM31" i="20"/>
  <c r="P40" i="20"/>
  <c r="AS40" i="20" s="1"/>
  <c r="AR40" i="20"/>
  <c r="AE40" i="20"/>
  <c r="AQ40" i="20"/>
  <c r="AC32" i="20"/>
  <c r="AB40" i="20"/>
  <c r="AN38" i="20"/>
  <c r="AB36" i="20"/>
  <c r="M36" i="20"/>
  <c r="AB37" i="20"/>
  <c r="AO37" i="20"/>
  <c r="AA37" i="20"/>
  <c r="L33" i="20"/>
  <c r="AC41" i="20"/>
  <c r="AB41" i="20"/>
  <c r="AA35" i="20"/>
  <c r="AA41" i="20"/>
  <c r="AN41" i="20"/>
  <c r="Z41" i="20"/>
  <c r="AM41" i="20"/>
  <c r="Z39" i="20"/>
  <c r="K39" i="20"/>
  <c r="K34" i="20"/>
  <c r="AM34" i="20"/>
  <c r="AA21" i="20"/>
  <c r="AN21" i="20"/>
  <c r="L21" i="20"/>
  <c r="AR17" i="20"/>
  <c r="P17" i="20"/>
  <c r="AE17" i="20"/>
  <c r="AA18" i="20"/>
  <c r="AN18" i="20"/>
  <c r="L18" i="20"/>
  <c r="K20" i="20"/>
  <c r="K59" i="2"/>
  <c r="K66" i="2" s="1"/>
  <c r="L28" i="3"/>
  <c r="K58" i="2"/>
  <c r="K65" i="2" s="1"/>
  <c r="L27" i="3"/>
  <c r="S83" i="4"/>
  <c r="K93" i="4"/>
  <c r="AF40" i="20"/>
  <c r="L185" i="7"/>
  <c r="K26" i="11"/>
  <c r="AE15" i="20"/>
  <c r="AR15" i="20"/>
  <c r="P15" i="20"/>
  <c r="AQ15" i="20"/>
  <c r="AD15" i="20"/>
  <c r="V66" i="9"/>
  <c r="V76" i="9"/>
  <c r="G145" i="6"/>
  <c r="U145" i="6" s="1"/>
  <c r="V145" i="6" s="1"/>
  <c r="U113" i="6"/>
  <c r="V113" i="6" s="1"/>
  <c r="F42" i="16"/>
  <c r="F125" i="14"/>
  <c r="F126" i="14" s="1"/>
  <c r="F53" i="13" s="1"/>
  <c r="AN14" i="20"/>
  <c r="AA14" i="20"/>
  <c r="U43" i="4"/>
  <c r="V43" i="4" s="1"/>
  <c r="G66" i="4"/>
  <c r="U57" i="6"/>
  <c r="G90" i="6"/>
  <c r="U124" i="5"/>
  <c r="V124" i="5" s="1"/>
  <c r="G192" i="5"/>
  <c r="U106" i="5"/>
  <c r="V106" i="5" s="1"/>
  <c r="G174" i="5"/>
  <c r="U94" i="5"/>
  <c r="V94" i="5" s="1"/>
  <c r="G162" i="5"/>
  <c r="G130" i="2"/>
  <c r="G127" i="2" s="1"/>
  <c r="L22" i="20"/>
  <c r="H20" i="12"/>
  <c r="H21" i="12"/>
  <c r="K113" i="7"/>
  <c r="J25" i="11" s="1"/>
  <c r="H31" i="16" s="1"/>
  <c r="AM13" i="20"/>
  <c r="K31" i="20"/>
  <c r="H47" i="12"/>
  <c r="G166" i="5"/>
  <c r="F201" i="14"/>
  <c r="W80" i="19"/>
  <c r="J62" i="6" s="1"/>
  <c r="F203" i="14"/>
  <c r="F204" i="14" s="1"/>
  <c r="F206" i="14" s="1"/>
  <c r="AE198" i="5"/>
  <c r="AE194" i="5"/>
  <c r="F173" i="19"/>
  <c r="T128" i="5"/>
  <c r="T120" i="5"/>
  <c r="T112" i="5"/>
  <c r="T106" i="5"/>
  <c r="M96" i="5"/>
  <c r="M89" i="5"/>
  <c r="M42" i="4"/>
  <c r="AA95" i="5"/>
  <c r="AL24" i="20"/>
  <c r="I24" i="20" s="1"/>
  <c r="AL43" i="20"/>
  <c r="I43" i="20" s="1"/>
  <c r="Y42" i="20"/>
  <c r="I42" i="20" s="1"/>
  <c r="J35" i="3"/>
  <c r="J32" i="3"/>
  <c r="J159" i="3"/>
  <c r="G65" i="16" s="1"/>
  <c r="K113" i="3"/>
  <c r="K159" i="3" s="1"/>
  <c r="H65" i="16" s="1"/>
  <c r="K149" i="3"/>
  <c r="H22" i="14" s="1"/>
  <c r="H78" i="16" s="1"/>
  <c r="H192" i="14"/>
  <c r="F192" i="14"/>
  <c r="F29" i="16"/>
  <c r="H21" i="3"/>
  <c r="K34" i="2"/>
  <c r="K30" i="2"/>
  <c r="H87" i="2"/>
  <c r="H45" i="16"/>
  <c r="K26" i="2"/>
  <c r="I45" i="16" s="1"/>
  <c r="I36" i="3"/>
  <c r="F47" i="16"/>
  <c r="F75" i="14"/>
  <c r="H84" i="2"/>
  <c r="I35" i="3"/>
  <c r="F171" i="14"/>
  <c r="I33" i="3"/>
  <c r="F172" i="14"/>
  <c r="F50" i="14"/>
  <c r="K25" i="2"/>
  <c r="H44" i="16"/>
  <c r="J27" i="2"/>
  <c r="G184" i="14"/>
  <c r="G56" i="2"/>
  <c r="G63" i="2" s="1"/>
  <c r="H24" i="3"/>
  <c r="H32" i="3"/>
  <c r="H36" i="3"/>
  <c r="H35" i="3"/>
  <c r="H33" i="3"/>
  <c r="G36" i="2"/>
  <c r="H65" i="2"/>
  <c r="I40" i="3"/>
  <c r="J40" i="3"/>
  <c r="Q55" i="6"/>
  <c r="Q51" i="6"/>
  <c r="Q58" i="6"/>
  <c r="Q63" i="6"/>
  <c r="Q67" i="6"/>
  <c r="Q49" i="6"/>
  <c r="Q56" i="6"/>
  <c r="Q61" i="6"/>
  <c r="Q66" i="6"/>
  <c r="Q52" i="6"/>
  <c r="Q57" i="6"/>
  <c r="Q54" i="6"/>
  <c r="Q60" i="6"/>
  <c r="Q48" i="6"/>
  <c r="Q62" i="6"/>
  <c r="Q53" i="6"/>
  <c r="Q59" i="6"/>
  <c r="Q65" i="6"/>
  <c r="Q50" i="6"/>
  <c r="Q64" i="6"/>
  <c r="Q103" i="4"/>
  <c r="Q284" i="5"/>
  <c r="Q143" i="6"/>
  <c r="Q81" i="4"/>
  <c r="Q84" i="4" s="1"/>
  <c r="Q217" i="5"/>
  <c r="Q219" i="5" s="1"/>
  <c r="Q111" i="6"/>
  <c r="Q59" i="4"/>
  <c r="Q150" i="5"/>
  <c r="Q79" i="6"/>
  <c r="Q36" i="4"/>
  <c r="Q82" i="5"/>
  <c r="V82" i="9"/>
  <c r="I37" i="10"/>
  <c r="K92" i="7" s="1"/>
  <c r="H53" i="14" s="1"/>
  <c r="H55" i="14" s="1"/>
  <c r="U235" i="5"/>
  <c r="V235" i="5" s="1"/>
  <c r="S197" i="5"/>
  <c r="AC246" i="5"/>
  <c r="AD246" i="5" s="1"/>
  <c r="T248" i="5"/>
  <c r="T130" i="5"/>
  <c r="T122" i="5"/>
  <c r="M234" i="5"/>
  <c r="S259" i="5"/>
  <c r="L326" i="5"/>
  <c r="S326" i="5" s="1"/>
  <c r="R248" i="5"/>
  <c r="S192" i="5"/>
  <c r="E338" i="5"/>
  <c r="J338" i="5" s="1"/>
  <c r="J248" i="5"/>
  <c r="T110" i="5"/>
  <c r="G237" i="5"/>
  <c r="J271" i="5"/>
  <c r="E315" i="5"/>
  <c r="R315" i="5" s="1"/>
  <c r="AE170" i="5"/>
  <c r="P271" i="5"/>
  <c r="T118" i="5"/>
  <c r="P296" i="5"/>
  <c r="R296" i="5" s="1"/>
  <c r="T296" i="5" s="1"/>
  <c r="F202" i="14"/>
  <c r="P251" i="5"/>
  <c r="T251" i="5"/>
  <c r="O252" i="5"/>
  <c r="I319" i="5"/>
  <c r="O319" i="5" s="1"/>
  <c r="S180" i="5"/>
  <c r="L247" i="5"/>
  <c r="S247" i="5" s="1"/>
  <c r="M180" i="5"/>
  <c r="K263" i="5"/>
  <c r="K330" i="5" s="1"/>
  <c r="M196" i="5"/>
  <c r="T252" i="5"/>
  <c r="AC270" i="5"/>
  <c r="AD270" i="5" s="1"/>
  <c r="I335" i="5"/>
  <c r="O335" i="5" s="1"/>
  <c r="I262" i="5"/>
  <c r="L319" i="5"/>
  <c r="T134" i="5"/>
  <c r="S131" i="5"/>
  <c r="T111" i="5"/>
  <c r="S228" i="5"/>
  <c r="H329" i="5"/>
  <c r="J252" i="5"/>
  <c r="AC262" i="5"/>
  <c r="AD262" i="5" s="1"/>
  <c r="AE262" i="5" s="1"/>
  <c r="R187" i="5"/>
  <c r="P310" i="5"/>
  <c r="T184" i="5"/>
  <c r="I331" i="5"/>
  <c r="O331" i="5" s="1"/>
  <c r="AC268" i="5"/>
  <c r="AD268" i="5" s="1"/>
  <c r="AE268" i="5" s="1"/>
  <c r="I338" i="5"/>
  <c r="O338" i="5" s="1"/>
  <c r="AE180" i="5"/>
  <c r="AE128" i="5"/>
  <c r="M101" i="5"/>
  <c r="S125" i="5"/>
  <c r="M130" i="5"/>
  <c r="T138" i="5"/>
  <c r="S332" i="5"/>
  <c r="M332" i="5"/>
  <c r="S263" i="5"/>
  <c r="L330" i="5"/>
  <c r="H231" i="5"/>
  <c r="AA164" i="5"/>
  <c r="H290" i="5"/>
  <c r="AA290" i="5" s="1"/>
  <c r="AA223" i="5"/>
  <c r="AB223" i="5" s="1"/>
  <c r="AC223" i="5" s="1"/>
  <c r="AD223" i="5" s="1"/>
  <c r="AE223" i="5" s="1"/>
  <c r="H286" i="5"/>
  <c r="AA286" i="5" s="1"/>
  <c r="AA219" i="5"/>
  <c r="AB219" i="5" s="1"/>
  <c r="AC219" i="5" s="1"/>
  <c r="AD219" i="5" s="1"/>
  <c r="P234" i="5"/>
  <c r="E301" i="5"/>
  <c r="R301" i="5" s="1"/>
  <c r="O261" i="5"/>
  <c r="I328" i="5"/>
  <c r="O328" i="5" s="1"/>
  <c r="I336" i="5"/>
  <c r="O336" i="5" s="1"/>
  <c r="O269" i="5"/>
  <c r="AC309" i="5"/>
  <c r="AD309" i="5" s="1"/>
  <c r="AA309" i="5"/>
  <c r="AA314" i="5"/>
  <c r="AC314" i="5"/>
  <c r="AD314" i="5" s="1"/>
  <c r="AE314" i="5" s="1"/>
  <c r="K264" i="5"/>
  <c r="M197" i="5"/>
  <c r="L302" i="5"/>
  <c r="M235" i="5"/>
  <c r="S235" i="5"/>
  <c r="L336" i="5"/>
  <c r="M269" i="5"/>
  <c r="S269" i="5"/>
  <c r="L340" i="5"/>
  <c r="S340" i="5" s="1"/>
  <c r="S273" i="5"/>
  <c r="E319" i="5"/>
  <c r="M168" i="5"/>
  <c r="M169" i="5"/>
  <c r="AC159" i="5"/>
  <c r="AD159" i="5" s="1"/>
  <c r="AE159" i="5" s="1"/>
  <c r="J163" i="5"/>
  <c r="O163" i="5" s="1"/>
  <c r="J167" i="5"/>
  <c r="H337" i="5"/>
  <c r="E254" i="5"/>
  <c r="T254" i="5" s="1"/>
  <c r="T310" i="5"/>
  <c r="S265" i="5"/>
  <c r="T240" i="5"/>
  <c r="T257" i="5"/>
  <c r="R257" i="5"/>
  <c r="S196" i="5"/>
  <c r="M118" i="5"/>
  <c r="M129" i="5"/>
  <c r="T119" i="5"/>
  <c r="G179" i="5"/>
  <c r="H196" i="5"/>
  <c r="T99" i="5"/>
  <c r="G167" i="5"/>
  <c r="U167" i="5" s="1"/>
  <c r="V167" i="5" s="1"/>
  <c r="O291" i="5"/>
  <c r="P291" i="5" s="1"/>
  <c r="K236" i="5"/>
  <c r="I306" i="5"/>
  <c r="O306" i="5" s="1"/>
  <c r="O87" i="5"/>
  <c r="O96" i="5"/>
  <c r="O94" i="5"/>
  <c r="G152" i="5"/>
  <c r="U152" i="5" s="1"/>
  <c r="O235" i="5"/>
  <c r="O118" i="5"/>
  <c r="T203" i="5"/>
  <c r="E270" i="5"/>
  <c r="I237" i="5"/>
  <c r="G316" i="5"/>
  <c r="U316" i="5" s="1"/>
  <c r="V316" i="5" s="1"/>
  <c r="G221" i="5"/>
  <c r="U221" i="5" s="1"/>
  <c r="V221" i="5" s="1"/>
  <c r="H316" i="5"/>
  <c r="J179" i="5"/>
  <c r="G232" i="5"/>
  <c r="AA249" i="5"/>
  <c r="AB249" i="5" s="1"/>
  <c r="AA204" i="5"/>
  <c r="AB204" i="5" s="1"/>
  <c r="M201" i="5"/>
  <c r="AC247" i="5"/>
  <c r="AD247" i="5" s="1"/>
  <c r="AE247" i="5" s="1"/>
  <c r="U159" i="5"/>
  <c r="M126" i="5"/>
  <c r="S126" i="5"/>
  <c r="O126" i="5"/>
  <c r="M109" i="5"/>
  <c r="AE201" i="5"/>
  <c r="M202" i="5"/>
  <c r="AE182" i="5"/>
  <c r="Q328" i="5"/>
  <c r="Q312" i="5"/>
  <c r="Q333" i="5"/>
  <c r="Q317" i="5"/>
  <c r="Q301" i="5"/>
  <c r="Q326" i="5"/>
  <c r="Q310" i="5"/>
  <c r="Q335" i="5"/>
  <c r="Q319" i="5"/>
  <c r="Q303" i="5"/>
  <c r="J127" i="5"/>
  <c r="J111" i="5"/>
  <c r="J135" i="5"/>
  <c r="R107" i="5"/>
  <c r="R123" i="5"/>
  <c r="P103" i="5"/>
  <c r="AC181" i="5"/>
  <c r="AD181" i="5" s="1"/>
  <c r="AE181" i="5" s="1"/>
  <c r="AE125" i="5"/>
  <c r="AC116" i="5"/>
  <c r="AD116" i="5" s="1"/>
  <c r="AE116" i="5" s="1"/>
  <c r="AE129" i="5"/>
  <c r="AE113" i="5"/>
  <c r="P119" i="5"/>
  <c r="H192" i="5"/>
  <c r="AC192" i="5" s="1"/>
  <c r="AD192" i="5" s="1"/>
  <c r="AE192" i="5" s="1"/>
  <c r="P107" i="5"/>
  <c r="M108" i="5"/>
  <c r="T107" i="5"/>
  <c r="Q299" i="5"/>
  <c r="Q295" i="5"/>
  <c r="Q291" i="5"/>
  <c r="Q287" i="5"/>
  <c r="AA92" i="5"/>
  <c r="AC339" i="5"/>
  <c r="AD339" i="5" s="1"/>
  <c r="T338" i="5"/>
  <c r="O229" i="5"/>
  <c r="P229" i="5" s="1"/>
  <c r="O160" i="5"/>
  <c r="R252" i="5"/>
  <c r="E246" i="5"/>
  <c r="P246" i="5" s="1"/>
  <c r="S206" i="5"/>
  <c r="M264" i="5"/>
  <c r="P167" i="5"/>
  <c r="AE205" i="5"/>
  <c r="R167" i="5"/>
  <c r="J187" i="5"/>
  <c r="J310" i="5"/>
  <c r="M265" i="5"/>
  <c r="P257" i="5"/>
  <c r="H229" i="5"/>
  <c r="H296" i="5" s="1"/>
  <c r="AA296" i="5" s="1"/>
  <c r="AB296" i="5" s="1"/>
  <c r="S198" i="5"/>
  <c r="R177" i="5"/>
  <c r="M84" i="5"/>
  <c r="P84" i="5" s="1"/>
  <c r="E195" i="5"/>
  <c r="L186" i="5"/>
  <c r="AA96" i="5"/>
  <c r="AB96" i="5" s="1"/>
  <c r="AC96" i="5" s="1"/>
  <c r="AD96" i="5" s="1"/>
  <c r="AE96" i="5" s="1"/>
  <c r="O86" i="5"/>
  <c r="M247" i="5"/>
  <c r="O157" i="5"/>
  <c r="O88" i="5"/>
  <c r="O161" i="5"/>
  <c r="O89" i="5"/>
  <c r="P89" i="5" s="1"/>
  <c r="R89" i="5" s="1"/>
  <c r="T89" i="5" s="1"/>
  <c r="I337" i="5"/>
  <c r="O337" i="5" s="1"/>
  <c r="O93" i="5"/>
  <c r="AA156" i="5"/>
  <c r="AA152" i="5"/>
  <c r="AB152" i="5" s="1"/>
  <c r="AC152" i="5" s="1"/>
  <c r="AD152" i="5" s="1"/>
  <c r="AE152" i="5" s="1"/>
  <c r="O91" i="5"/>
  <c r="R203" i="5"/>
  <c r="O202" i="5"/>
  <c r="M252" i="5"/>
  <c r="L248" i="5"/>
  <c r="L315" i="5" s="1"/>
  <c r="S315" i="5" s="1"/>
  <c r="AC264" i="5"/>
  <c r="AD264" i="5" s="1"/>
  <c r="L314" i="5"/>
  <c r="S314" i="5" s="1"/>
  <c r="AA242" i="5"/>
  <c r="AB242" i="5" s="1"/>
  <c r="P179" i="5"/>
  <c r="Q340" i="5"/>
  <c r="I198" i="5"/>
  <c r="O110" i="5"/>
  <c r="O194" i="5"/>
  <c r="G230" i="5"/>
  <c r="G297" i="5" s="1"/>
  <c r="U297" i="5" s="1"/>
  <c r="V297" i="5" s="1"/>
  <c r="O122" i="5"/>
  <c r="L139" i="5"/>
  <c r="F107" i="14" s="1"/>
  <c r="M122" i="5"/>
  <c r="AC200" i="5"/>
  <c r="AD200" i="5" s="1"/>
  <c r="M133" i="5"/>
  <c r="AA120" i="5"/>
  <c r="AB120" i="5" s="1"/>
  <c r="U160" i="5"/>
  <c r="V160" i="5" s="1"/>
  <c r="Q332" i="5"/>
  <c r="Q316" i="5"/>
  <c r="Q337" i="5"/>
  <c r="Q321" i="5"/>
  <c r="Q305" i="5"/>
  <c r="Q330" i="5"/>
  <c r="Q314" i="5"/>
  <c r="Q339" i="5"/>
  <c r="Q323" i="5"/>
  <c r="Q307" i="5"/>
  <c r="O102" i="5"/>
  <c r="J131" i="5"/>
  <c r="J115" i="5"/>
  <c r="J99" i="5"/>
  <c r="R103" i="5"/>
  <c r="R119" i="5"/>
  <c r="R135" i="5"/>
  <c r="S190" i="5"/>
  <c r="L250" i="5"/>
  <c r="AC188" i="5"/>
  <c r="AD188" i="5" s="1"/>
  <c r="AE188" i="5" s="1"/>
  <c r="AC136" i="5"/>
  <c r="AD136" i="5" s="1"/>
  <c r="AE136" i="5" s="1"/>
  <c r="AE101" i="5"/>
  <c r="AC124" i="5"/>
  <c r="AD124" i="5" s="1"/>
  <c r="AE124" i="5" s="1"/>
  <c r="AE121" i="5"/>
  <c r="M134" i="5"/>
  <c r="G183" i="5"/>
  <c r="G250" i="5" s="1"/>
  <c r="U250" i="5" s="1"/>
  <c r="V250" i="5" s="1"/>
  <c r="G171" i="5"/>
  <c r="H184" i="5"/>
  <c r="P127" i="5"/>
  <c r="P135" i="5"/>
  <c r="I273" i="5"/>
  <c r="AA136" i="5"/>
  <c r="AB136" i="5" s="1"/>
  <c r="T103" i="5"/>
  <c r="Q300" i="5"/>
  <c r="Q296" i="5"/>
  <c r="Q292" i="5"/>
  <c r="Q288" i="5"/>
  <c r="AA226" i="5"/>
  <c r="AB226" i="5" s="1"/>
  <c r="AC226" i="5" s="1"/>
  <c r="AD226" i="5" s="1"/>
  <c r="AE226" i="5" s="1"/>
  <c r="O227" i="5"/>
  <c r="AA261" i="5"/>
  <c r="AB261" i="5" s="1"/>
  <c r="G187" i="5"/>
  <c r="U187" i="5" s="1"/>
  <c r="V187" i="5" s="1"/>
  <c r="P71" i="5"/>
  <c r="O162" i="5"/>
  <c r="P162" i="5" s="1"/>
  <c r="P177" i="5"/>
  <c r="S130" i="5"/>
  <c r="M314" i="5"/>
  <c r="O164" i="5"/>
  <c r="M113" i="5"/>
  <c r="L331" i="5"/>
  <c r="U123" i="5"/>
  <c r="V123" i="5" s="1"/>
  <c r="L176" i="5"/>
  <c r="M176" i="5" s="1"/>
  <c r="S104" i="5"/>
  <c r="M185" i="5"/>
  <c r="G222" i="5"/>
  <c r="AC255" i="5"/>
  <c r="AD255" i="5" s="1"/>
  <c r="AC120" i="5"/>
  <c r="AD120" i="5" s="1"/>
  <c r="AE120" i="5" s="1"/>
  <c r="M125" i="5"/>
  <c r="AA255" i="5"/>
  <c r="AB255" i="5" s="1"/>
  <c r="Q336" i="5"/>
  <c r="Q320" i="5"/>
  <c r="Q304" i="5"/>
  <c r="Q325" i="5"/>
  <c r="Q309" i="5"/>
  <c r="Q334" i="5"/>
  <c r="Q318" i="5"/>
  <c r="Q302" i="5"/>
  <c r="Q327" i="5"/>
  <c r="Q311" i="5"/>
  <c r="J103" i="5"/>
  <c r="R115" i="5"/>
  <c r="R131" i="5"/>
  <c r="AA200" i="5"/>
  <c r="P111" i="5"/>
  <c r="AE133" i="5"/>
  <c r="AE109" i="5"/>
  <c r="H248" i="5"/>
  <c r="H176" i="5"/>
  <c r="P115" i="5"/>
  <c r="AA104" i="5"/>
  <c r="M104" i="5"/>
  <c r="T123" i="5"/>
  <c r="T115" i="5"/>
  <c r="Q297" i="5"/>
  <c r="Q293" i="5"/>
  <c r="AA88" i="5"/>
  <c r="I249" i="5"/>
  <c r="O249" i="5" s="1"/>
  <c r="O182" i="5"/>
  <c r="J196" i="5"/>
  <c r="T196" i="5"/>
  <c r="R196" i="5"/>
  <c r="P196" i="5"/>
  <c r="E263" i="5"/>
  <c r="E244" i="5"/>
  <c r="AA89" i="5"/>
  <c r="AB89" i="5" s="1"/>
  <c r="AC89" i="5" s="1"/>
  <c r="AD89" i="5" s="1"/>
  <c r="AE89" i="5" s="1"/>
  <c r="S137" i="5"/>
  <c r="J177" i="5"/>
  <c r="U267" i="5"/>
  <c r="V267" i="5" s="1"/>
  <c r="AE219" i="5"/>
  <c r="T335" i="5"/>
  <c r="P335" i="5"/>
  <c r="R335" i="5"/>
  <c r="J335" i="5"/>
  <c r="AC267" i="5"/>
  <c r="AD267" i="5" s="1"/>
  <c r="AA267" i="5"/>
  <c r="AB267" i="5" s="1"/>
  <c r="H334" i="5"/>
  <c r="AC334" i="5" s="1"/>
  <c r="AD334" i="5" s="1"/>
  <c r="J307" i="5"/>
  <c r="R307" i="5"/>
  <c r="P307" i="5"/>
  <c r="T307" i="5"/>
  <c r="O178" i="5"/>
  <c r="I245" i="5"/>
  <c r="P240" i="5"/>
  <c r="J268" i="5"/>
  <c r="J240" i="5"/>
  <c r="K221" i="5"/>
  <c r="K288" i="5" s="1"/>
  <c r="M288" i="5" s="1"/>
  <c r="H288" i="5"/>
  <c r="AA288" i="5" s="1"/>
  <c r="I316" i="5"/>
  <c r="O316" i="5" s="1"/>
  <c r="G79" i="14"/>
  <c r="G82" i="14" s="1"/>
  <c r="J96" i="7"/>
  <c r="L287" i="5"/>
  <c r="M287" i="5" s="1"/>
  <c r="M220" i="5"/>
  <c r="S220" i="5"/>
  <c r="I247" i="5"/>
  <c r="I314" i="5" s="1"/>
  <c r="O314" i="5" s="1"/>
  <c r="O180" i="5"/>
  <c r="G156" i="6"/>
  <c r="U156" i="6" s="1"/>
  <c r="V156" i="6" s="1"/>
  <c r="U124" i="6"/>
  <c r="V124" i="6" s="1"/>
  <c r="G322" i="5"/>
  <c r="U322" i="5" s="1"/>
  <c r="V322" i="5" s="1"/>
  <c r="U255" i="5"/>
  <c r="V255" i="5" s="1"/>
  <c r="L155" i="6"/>
  <c r="M155" i="6" s="1"/>
  <c r="M123" i="6"/>
  <c r="L325" i="5"/>
  <c r="S325" i="5" s="1"/>
  <c r="S258" i="5"/>
  <c r="AA335" i="5"/>
  <c r="AB335" i="5" s="1"/>
  <c r="AC335" i="5"/>
  <c r="AD335" i="5" s="1"/>
  <c r="AE335" i="5" s="1"/>
  <c r="R90" i="4"/>
  <c r="T90" i="4" s="1"/>
  <c r="P90" i="4"/>
  <c r="R131" i="6"/>
  <c r="K159" i="6"/>
  <c r="M159" i="6" s="1"/>
  <c r="K105" i="4"/>
  <c r="K115" i="4" s="1"/>
  <c r="J83" i="4"/>
  <c r="J105" i="4" s="1"/>
  <c r="J90" i="4"/>
  <c r="E317" i="5"/>
  <c r="R317" i="5" s="1"/>
  <c r="J122" i="6"/>
  <c r="AC256" i="5"/>
  <c r="AD256" i="5" s="1"/>
  <c r="AE256" i="5" s="1"/>
  <c r="P237" i="5"/>
  <c r="G266" i="5"/>
  <c r="Z127" i="9"/>
  <c r="Z53" i="9"/>
  <c r="Z72" i="9"/>
  <c r="Z51" i="9"/>
  <c r="Z82" i="9"/>
  <c r="Z46" i="9"/>
  <c r="Z14" i="9"/>
  <c r="H27" i="10" s="1"/>
  <c r="Z90" i="9"/>
  <c r="Z55" i="9"/>
  <c r="Z102" i="9"/>
  <c r="Z78" i="9"/>
  <c r="Z63" i="9"/>
  <c r="Z69" i="9"/>
  <c r="Z31" i="9"/>
  <c r="Z86" i="9"/>
  <c r="Z18" i="9"/>
  <c r="Z105" i="9"/>
  <c r="Z59" i="9"/>
  <c r="Z99" i="9"/>
  <c r="Z19" i="9"/>
  <c r="Z36" i="9"/>
  <c r="Z61" i="9"/>
  <c r="Z48" i="9"/>
  <c r="Z140" i="9"/>
  <c r="Z113" i="9"/>
  <c r="Z68" i="9"/>
  <c r="Z58" i="9"/>
  <c r="Z85" i="9"/>
  <c r="Z121" i="9"/>
  <c r="Z71" i="9"/>
  <c r="Z54" i="9"/>
  <c r="Z34" i="9"/>
  <c r="U271" i="5"/>
  <c r="V271" i="5" s="1"/>
  <c r="V125" i="9"/>
  <c r="V93" i="9"/>
  <c r="V115" i="9"/>
  <c r="AC230" i="5"/>
  <c r="AD230" i="5" s="1"/>
  <c r="AE230" i="5" s="1"/>
  <c r="T328" i="5"/>
  <c r="X108" i="9"/>
  <c r="X54" i="9"/>
  <c r="X56" i="9"/>
  <c r="X123" i="9"/>
  <c r="X141" i="9"/>
  <c r="X106" i="9"/>
  <c r="X125" i="9"/>
  <c r="X17" i="9"/>
  <c r="X44" i="9"/>
  <c r="X60" i="9"/>
  <c r="X132" i="9"/>
  <c r="X129" i="9"/>
  <c r="X96" i="9"/>
  <c r="X87" i="9"/>
  <c r="X69" i="9"/>
  <c r="X34" i="9"/>
  <c r="X138" i="9"/>
  <c r="X26" i="9"/>
  <c r="X61" i="9"/>
  <c r="X131" i="9"/>
  <c r="X85" i="9"/>
  <c r="X124" i="9"/>
  <c r="X51" i="9"/>
  <c r="X25" i="9"/>
  <c r="X117" i="9"/>
  <c r="X82" i="9"/>
  <c r="X97" i="9"/>
  <c r="X18" i="9"/>
  <c r="X52" i="9"/>
  <c r="X68" i="9"/>
  <c r="X118" i="9"/>
  <c r="X14" i="9"/>
  <c r="F27" i="10" s="1"/>
  <c r="F59" i="10" s="1"/>
  <c r="G16" i="10" s="1"/>
  <c r="AA230" i="5"/>
  <c r="AB230" i="5" s="1"/>
  <c r="H338" i="5"/>
  <c r="H331" i="5"/>
  <c r="U256" i="5"/>
  <c r="V256" i="5" s="1"/>
  <c r="H303" i="5"/>
  <c r="G272" i="5"/>
  <c r="O111" i="5"/>
  <c r="G83" i="6"/>
  <c r="P125" i="5"/>
  <c r="M137" i="5"/>
  <c r="J121" i="5"/>
  <c r="M52" i="6"/>
  <c r="M98" i="5"/>
  <c r="Q129" i="6"/>
  <c r="Q123" i="6"/>
  <c r="Q118" i="6"/>
  <c r="Q113" i="6"/>
  <c r="Q223" i="5"/>
  <c r="Q92" i="4"/>
  <c r="J158" i="5"/>
  <c r="O92" i="4"/>
  <c r="E163" i="6"/>
  <c r="J163" i="6" s="1"/>
  <c r="M120" i="6"/>
  <c r="O114" i="4"/>
  <c r="R324" i="5"/>
  <c r="M153" i="5"/>
  <c r="M229" i="5"/>
  <c r="V156" i="5"/>
  <c r="Z115" i="9"/>
  <c r="Z125" i="9"/>
  <c r="Z107" i="9"/>
  <c r="Z101" i="9"/>
  <c r="Z133" i="9"/>
  <c r="Z52" i="9"/>
  <c r="Z119" i="9"/>
  <c r="Z84" i="9"/>
  <c r="Z23" i="9"/>
  <c r="Z130" i="9"/>
  <c r="Z20" i="9"/>
  <c r="Z76" i="9"/>
  <c r="Z126" i="9"/>
  <c r="Z60" i="9"/>
  <c r="Z29" i="9"/>
  <c r="Z97" i="9"/>
  <c r="Z26" i="9"/>
  <c r="Z49" i="9"/>
  <c r="Z134" i="9"/>
  <c r="Z138" i="9"/>
  <c r="Z32" i="9"/>
  <c r="Z95" i="9"/>
  <c r="Z44" i="9"/>
  <c r="Z139" i="9"/>
  <c r="Z106" i="9"/>
  <c r="Z89" i="9"/>
  <c r="Z117" i="9"/>
  <c r="Z40" i="9"/>
  <c r="Z33" i="9"/>
  <c r="Z62" i="9"/>
  <c r="Z56" i="9"/>
  <c r="Z124" i="9"/>
  <c r="J94" i="6"/>
  <c r="I295" i="5"/>
  <c r="O295" i="5" s="1"/>
  <c r="J328" i="5"/>
  <c r="X91" i="9"/>
  <c r="X100" i="9"/>
  <c r="X27" i="9"/>
  <c r="X46" i="9"/>
  <c r="X28" i="9"/>
  <c r="X70" i="9"/>
  <c r="X119" i="9"/>
  <c r="X73" i="9"/>
  <c r="X135" i="9"/>
  <c r="X62" i="9"/>
  <c r="X41" i="9"/>
  <c r="X32" i="9"/>
  <c r="X128" i="9"/>
  <c r="X39" i="9"/>
  <c r="X104" i="9"/>
  <c r="X40" i="9"/>
  <c r="X50" i="9"/>
  <c r="X79" i="9"/>
  <c r="X48" i="9"/>
  <c r="X19" i="9"/>
  <c r="X109" i="9"/>
  <c r="X22" i="9"/>
  <c r="X121" i="9"/>
  <c r="X139" i="9"/>
  <c r="X80" i="9"/>
  <c r="X55" i="9"/>
  <c r="X37" i="9"/>
  <c r="X78" i="9"/>
  <c r="X89" i="9"/>
  <c r="X90" i="9"/>
  <c r="X127" i="9"/>
  <c r="X36" i="9"/>
  <c r="G314" i="5"/>
  <c r="U314" i="5" s="1"/>
  <c r="V314" i="5" s="1"/>
  <c r="G86" i="4"/>
  <c r="AA233" i="5"/>
  <c r="AB233" i="5" s="1"/>
  <c r="AC233" i="5" s="1"/>
  <c r="AD233" i="5" s="1"/>
  <c r="G336" i="5"/>
  <c r="U336" i="5" s="1"/>
  <c r="V336" i="5" s="1"/>
  <c r="U228" i="5"/>
  <c r="V228" i="5" s="1"/>
  <c r="AA271" i="5"/>
  <c r="AB271" i="5" s="1"/>
  <c r="AA317" i="5"/>
  <c r="AB317" i="5" s="1"/>
  <c r="AA268" i="5"/>
  <c r="AB268" i="5" s="1"/>
  <c r="U196" i="5"/>
  <c r="V196" i="5" s="1"/>
  <c r="U230" i="5"/>
  <c r="V230" i="5" s="1"/>
  <c r="AA236" i="5"/>
  <c r="AB236" i="5" s="1"/>
  <c r="G195" i="5"/>
  <c r="G173" i="5"/>
  <c r="O121" i="5"/>
  <c r="E76" i="5"/>
  <c r="G169" i="5"/>
  <c r="G236" i="5" s="1"/>
  <c r="J125" i="5"/>
  <c r="J117" i="5"/>
  <c r="T132" i="5"/>
  <c r="M97" i="5"/>
  <c r="M92" i="5"/>
  <c r="Q127" i="6"/>
  <c r="Q121" i="6"/>
  <c r="Q114" i="6"/>
  <c r="Q233" i="5"/>
  <c r="AA85" i="5"/>
  <c r="J131" i="6"/>
  <c r="Z43" i="9"/>
  <c r="Z25" i="9"/>
  <c r="Z128" i="9"/>
  <c r="Z104" i="9"/>
  <c r="Z21" i="9"/>
  <c r="Z37" i="9"/>
  <c r="Z87" i="9"/>
  <c r="Z129" i="9"/>
  <c r="Z50" i="9"/>
  <c r="Z30" i="9"/>
  <c r="Z47" i="9"/>
  <c r="Z122" i="9"/>
  <c r="Z81" i="9"/>
  <c r="Z39" i="9"/>
  <c r="Z27" i="9"/>
  <c r="Z80" i="9"/>
  <c r="Z75" i="9"/>
  <c r="Z91" i="9"/>
  <c r="Z79" i="9"/>
  <c r="Z22" i="9"/>
  <c r="Z38" i="9"/>
  <c r="Z109" i="9"/>
  <c r="Z131" i="9"/>
  <c r="Z94" i="9"/>
  <c r="Z45" i="9"/>
  <c r="Z64" i="9"/>
  <c r="Z116" i="9"/>
  <c r="Z92" i="9"/>
  <c r="Z66" i="9"/>
  <c r="Z73" i="9"/>
  <c r="Z74" i="9"/>
  <c r="V109" i="9"/>
  <c r="V80" i="9"/>
  <c r="V119" i="9"/>
  <c r="X49" i="9"/>
  <c r="X58" i="9"/>
  <c r="X30" i="9"/>
  <c r="X75" i="9"/>
  <c r="X72" i="9"/>
  <c r="X47" i="9"/>
  <c r="X76" i="9"/>
  <c r="X45" i="9"/>
  <c r="X130" i="9"/>
  <c r="X81" i="9"/>
  <c r="X93" i="9"/>
  <c r="X53" i="9"/>
  <c r="X134" i="9"/>
  <c r="X102" i="9"/>
  <c r="X31" i="9"/>
  <c r="X120" i="9"/>
  <c r="X43" i="9"/>
  <c r="X116" i="9"/>
  <c r="X21" i="9"/>
  <c r="X83" i="9"/>
  <c r="X24" i="9"/>
  <c r="X38" i="9"/>
  <c r="X107" i="9"/>
  <c r="X137" i="9"/>
  <c r="X77" i="9"/>
  <c r="X67" i="9"/>
  <c r="X15" i="9"/>
  <c r="X140" i="9"/>
  <c r="X63" i="9"/>
  <c r="X86" i="9"/>
  <c r="X88" i="9"/>
  <c r="G119" i="6"/>
  <c r="AA180" i="5"/>
  <c r="AB180" i="5" s="1"/>
  <c r="P101" i="5"/>
  <c r="AA112" i="5"/>
  <c r="AB112" i="5" s="1"/>
  <c r="M121" i="5"/>
  <c r="M56" i="6"/>
  <c r="M41" i="4"/>
  <c r="G201" i="14" s="1"/>
  <c r="F167" i="14" s="1"/>
  <c r="Q128" i="6"/>
  <c r="Q122" i="6"/>
  <c r="Q117" i="6"/>
  <c r="Q227" i="5"/>
  <c r="AB188" i="5"/>
  <c r="AB181" i="5"/>
  <c r="AB183" i="5"/>
  <c r="AB200" i="5"/>
  <c r="AB164" i="5"/>
  <c r="AC164" i="5" s="1"/>
  <c r="AD164" i="5" s="1"/>
  <c r="AE164" i="5" s="1"/>
  <c r="AB198" i="5"/>
  <c r="AB169" i="5"/>
  <c r="AB193" i="5"/>
  <c r="AB175" i="5"/>
  <c r="AB203" i="5"/>
  <c r="AB201" i="5"/>
  <c r="AB197" i="5"/>
  <c r="AB194" i="5"/>
  <c r="AB162" i="5"/>
  <c r="AB157" i="5"/>
  <c r="AC157" i="5" s="1"/>
  <c r="AD157" i="5" s="1"/>
  <c r="AE157" i="5" s="1"/>
  <c r="AB163" i="5"/>
  <c r="AC163" i="5" s="1"/>
  <c r="AD163" i="5" s="1"/>
  <c r="AB166" i="5"/>
  <c r="AC166" i="5" s="1"/>
  <c r="AD166" i="5" s="1"/>
  <c r="AE166" i="5" s="1"/>
  <c r="AB179" i="5"/>
  <c r="AB153" i="5"/>
  <c r="AC153" i="5" s="1"/>
  <c r="AD153" i="5" s="1"/>
  <c r="AE153" i="5" s="1"/>
  <c r="AB174" i="5"/>
  <c r="AB170" i="5"/>
  <c r="AB154" i="5"/>
  <c r="AC154" i="5" s="1"/>
  <c r="AD154" i="5" s="1"/>
  <c r="AB165" i="5"/>
  <c r="AC165" i="5" s="1"/>
  <c r="AD165" i="5" s="1"/>
  <c r="AE165" i="5" s="1"/>
  <c r="AB156" i="5"/>
  <c r="AC156" i="5" s="1"/>
  <c r="AD156" i="5" s="1"/>
  <c r="AE156" i="5" s="1"/>
  <c r="AB168" i="5"/>
  <c r="AB155" i="5"/>
  <c r="AC155" i="5" s="1"/>
  <c r="AD155" i="5" s="1"/>
  <c r="AE155" i="5" s="1"/>
  <c r="AB159" i="5"/>
  <c r="AB189" i="5"/>
  <c r="AB205" i="5"/>
  <c r="AB161" i="5"/>
  <c r="AC161" i="5" s="1"/>
  <c r="AD161" i="5" s="1"/>
  <c r="AE161" i="5" s="1"/>
  <c r="AB182" i="5"/>
  <c r="G8" i="12"/>
  <c r="H8" i="11"/>
  <c r="I20" i="2"/>
  <c r="I77" i="2" s="1"/>
  <c r="J9" i="3"/>
  <c r="I143" i="3" s="1"/>
  <c r="J143" i="3" s="1"/>
  <c r="K143" i="3" s="1"/>
  <c r="L143" i="3" s="1"/>
  <c r="J53" i="20"/>
  <c r="F16" i="16"/>
  <c r="G16" i="16" s="1"/>
  <c r="H16" i="16" s="1"/>
  <c r="I16" i="16" s="1"/>
  <c r="G26" i="10"/>
  <c r="AB299" i="5"/>
  <c r="AB291" i="5"/>
  <c r="U175" i="5"/>
  <c r="V175" i="5" s="1"/>
  <c r="G242" i="5"/>
  <c r="H266" i="5"/>
  <c r="AC199" i="5"/>
  <c r="AD199" i="5" s="1"/>
  <c r="AE199" i="5" s="1"/>
  <c r="AA199" i="5"/>
  <c r="AB199" i="5" s="1"/>
  <c r="K267" i="5"/>
  <c r="K334" i="5" s="1"/>
  <c r="AE334" i="5" s="1"/>
  <c r="M200" i="5"/>
  <c r="K259" i="5"/>
  <c r="M192" i="5"/>
  <c r="P168" i="5"/>
  <c r="E235" i="5"/>
  <c r="R168" i="5"/>
  <c r="J168" i="5"/>
  <c r="T168" i="5"/>
  <c r="E148" i="6"/>
  <c r="J148" i="6" s="1"/>
  <c r="R116" i="6"/>
  <c r="P116" i="6"/>
  <c r="T116" i="6" s="1"/>
  <c r="J116" i="6"/>
  <c r="U164" i="5"/>
  <c r="V164" i="5" s="1"/>
  <c r="G231" i="5"/>
  <c r="S178" i="5"/>
  <c r="L245" i="5"/>
  <c r="M178" i="5"/>
  <c r="S97" i="6"/>
  <c r="I129" i="6"/>
  <c r="O129" i="6" s="1"/>
  <c r="G330" i="5"/>
  <c r="U330" i="5" s="1"/>
  <c r="V330" i="5" s="1"/>
  <c r="U263" i="5"/>
  <c r="V263" i="5" s="1"/>
  <c r="S336" i="5"/>
  <c r="M336" i="5"/>
  <c r="I243" i="5"/>
  <c r="O176" i="5"/>
  <c r="H269" i="5"/>
  <c r="AA202" i="5"/>
  <c r="AB202" i="5" s="1"/>
  <c r="AC202" i="5"/>
  <c r="AD202" i="5" s="1"/>
  <c r="AE202" i="5" s="1"/>
  <c r="S172" i="5"/>
  <c r="L239" i="5"/>
  <c r="L306" i="5" s="1"/>
  <c r="S306" i="5" s="1"/>
  <c r="E265" i="5"/>
  <c r="T198" i="5"/>
  <c r="P198" i="5"/>
  <c r="R198" i="5"/>
  <c r="J198" i="5"/>
  <c r="M83" i="4"/>
  <c r="H304" i="5"/>
  <c r="P250" i="5"/>
  <c r="AB309" i="5"/>
  <c r="M184" i="5"/>
  <c r="AA334" i="5"/>
  <c r="AB295" i="5"/>
  <c r="AC295" i="5" s="1"/>
  <c r="AD295" i="5" s="1"/>
  <c r="AE295" i="5" s="1"/>
  <c r="M268" i="5"/>
  <c r="O238" i="5"/>
  <c r="U178" i="5"/>
  <c r="V178" i="5" s="1"/>
  <c r="U206" i="5"/>
  <c r="V206" i="5" s="1"/>
  <c r="U82" i="6"/>
  <c r="V82" i="6" s="1"/>
  <c r="U107" i="5"/>
  <c r="V107" i="5" s="1"/>
  <c r="M120" i="5"/>
  <c r="S134" i="5"/>
  <c r="S56" i="6"/>
  <c r="J58" i="6"/>
  <c r="Q30" i="5"/>
  <c r="Q28" i="5"/>
  <c r="Q26" i="5"/>
  <c r="Q24" i="5"/>
  <c r="Q22" i="5"/>
  <c r="Q20" i="5"/>
  <c r="Q18" i="5"/>
  <c r="Q25" i="4"/>
  <c r="Q23" i="4"/>
  <c r="Q21" i="4"/>
  <c r="Q19" i="4"/>
  <c r="Q17" i="4"/>
  <c r="M65" i="6"/>
  <c r="T135" i="5"/>
  <c r="T131" i="5"/>
  <c r="T125" i="5"/>
  <c r="T121" i="5"/>
  <c r="M88" i="5"/>
  <c r="M44" i="4"/>
  <c r="M40" i="4"/>
  <c r="M38" i="4"/>
  <c r="L68" i="4"/>
  <c r="S68" i="4" s="1"/>
  <c r="O247" i="5"/>
  <c r="T250" i="5"/>
  <c r="J250" i="5"/>
  <c r="M145" i="6"/>
  <c r="U220" i="5"/>
  <c r="V220" i="5" s="1"/>
  <c r="AB287" i="5"/>
  <c r="AC287" i="5" s="1"/>
  <c r="AD287" i="5" s="1"/>
  <c r="AE287" i="5" s="1"/>
  <c r="AB286" i="5"/>
  <c r="AC286" i="5" s="1"/>
  <c r="AD286" i="5" s="1"/>
  <c r="AE286" i="5" s="1"/>
  <c r="P26" i="4"/>
  <c r="F60" i="10"/>
  <c r="G17" i="10" s="1"/>
  <c r="G60" i="10" s="1"/>
  <c r="H17" i="10" s="1"/>
  <c r="H60" i="10" s="1"/>
  <c r="I17" i="10" s="1"/>
  <c r="I60" i="10" s="1"/>
  <c r="J17" i="10" s="1"/>
  <c r="J60" i="10" s="1"/>
  <c r="L335" i="5"/>
  <c r="AE255" i="5"/>
  <c r="H235" i="5"/>
  <c r="AC260" i="5"/>
  <c r="AD260" i="5" s="1"/>
  <c r="AE260" i="5" s="1"/>
  <c r="G100" i="6"/>
  <c r="M100" i="5"/>
  <c r="K172" i="5"/>
  <c r="K239" i="5" s="1"/>
  <c r="K306" i="5" s="1"/>
  <c r="M61" i="6"/>
  <c r="T117" i="5"/>
  <c r="T101" i="5"/>
  <c r="M93" i="5"/>
  <c r="M91" i="5"/>
  <c r="T317" i="5"/>
  <c r="AB339" i="5"/>
  <c r="O256" i="5"/>
  <c r="AB297" i="5"/>
  <c r="AC297" i="5" s="1"/>
  <c r="AD297" i="5" s="1"/>
  <c r="AE297" i="5" s="1"/>
  <c r="AB290" i="5"/>
  <c r="AC290" i="5" s="1"/>
  <c r="AD290" i="5" s="1"/>
  <c r="AE290" i="5" s="1"/>
  <c r="AB293" i="5"/>
  <c r="AC293" i="5" s="1"/>
  <c r="AD293" i="5" s="1"/>
  <c r="AE293" i="5" s="1"/>
  <c r="AB288" i="5"/>
  <c r="AC288" i="5" s="1"/>
  <c r="AD288" i="5" s="1"/>
  <c r="K184" i="7"/>
  <c r="AA313" i="5"/>
  <c r="AB313" i="5" s="1"/>
  <c r="AB314" i="5"/>
  <c r="AB332" i="5"/>
  <c r="AB322" i="5"/>
  <c r="G265" i="5"/>
  <c r="I241" i="5"/>
  <c r="H327" i="5"/>
  <c r="G203" i="5"/>
  <c r="M124" i="5"/>
  <c r="Q29" i="5"/>
  <c r="Q27" i="5"/>
  <c r="Q25" i="5"/>
  <c r="Q23" i="5"/>
  <c r="Q21" i="5"/>
  <c r="Q19" i="5"/>
  <c r="Q16" i="5"/>
  <c r="Q24" i="4"/>
  <c r="Q22" i="4"/>
  <c r="Q20" i="4"/>
  <c r="Q18" i="4"/>
  <c r="T67" i="6"/>
  <c r="M59" i="6"/>
  <c r="M47" i="4"/>
  <c r="M43" i="4"/>
  <c r="M39" i="4"/>
  <c r="AB300" i="5"/>
  <c r="AC300" i="5" s="1"/>
  <c r="AD300" i="5" s="1"/>
  <c r="AE300" i="5" s="1"/>
  <c r="AE197" i="5"/>
  <c r="AE200" i="5"/>
  <c r="L177" i="19"/>
  <c r="L178" i="19" s="1"/>
  <c r="L179" i="19" s="1"/>
  <c r="L180" i="19" s="1"/>
  <c r="L181" i="19" s="1"/>
  <c r="L182" i="19" s="1"/>
  <c r="L183" i="19" s="1"/>
  <c r="L184" i="19" s="1"/>
  <c r="L185" i="19" s="1"/>
  <c r="L186" i="19" s="1"/>
  <c r="L187" i="19" s="1"/>
  <c r="L188" i="19" s="1"/>
  <c r="L189" i="19" s="1"/>
  <c r="L190" i="19" s="1"/>
  <c r="L191" i="19" s="1"/>
  <c r="L192" i="19" s="1"/>
  <c r="L193" i="19" s="1"/>
  <c r="L194" i="19" s="1"/>
  <c r="L195" i="19" s="1"/>
  <c r="L196" i="19" s="1"/>
  <c r="L197" i="19" s="1"/>
  <c r="L198" i="19" s="1"/>
  <c r="L199" i="19" s="1"/>
  <c r="L200" i="19" s="1"/>
  <c r="L201" i="19" s="1"/>
  <c r="L202" i="19" s="1"/>
  <c r="L203" i="19" s="1"/>
  <c r="L204" i="19" s="1"/>
  <c r="L205" i="19" s="1"/>
  <c r="L206" i="19" s="1"/>
  <c r="L207" i="19" s="1"/>
  <c r="L208" i="19" s="1"/>
  <c r="L209" i="19" s="1"/>
  <c r="L210" i="19" s="1"/>
  <c r="L211" i="19" s="1"/>
  <c r="L212" i="19" s="1"/>
  <c r="L213" i="19" s="1"/>
  <c r="L214" i="19" s="1"/>
  <c r="L215" i="19" s="1"/>
  <c r="L216" i="19" s="1"/>
  <c r="Y23" i="20"/>
  <c r="I23" i="20" s="1"/>
  <c r="AC323" i="5"/>
  <c r="AD323" i="5" s="1"/>
  <c r="AE323" i="5" s="1"/>
  <c r="AA323" i="5"/>
  <c r="AB323" i="5" s="1"/>
  <c r="O179" i="5"/>
  <c r="I246" i="5"/>
  <c r="M170" i="5"/>
  <c r="S170" i="5"/>
  <c r="L237" i="5"/>
  <c r="M237" i="5" s="1"/>
  <c r="L126" i="6"/>
  <c r="S126" i="6" s="1"/>
  <c r="M94" i="6"/>
  <c r="E256" i="5"/>
  <c r="J256" i="5" s="1"/>
  <c r="J189" i="5"/>
  <c r="P189" i="5"/>
  <c r="R189" i="5"/>
  <c r="T189" i="5"/>
  <c r="M67" i="4"/>
  <c r="L89" i="4"/>
  <c r="S89" i="4" s="1"/>
  <c r="S67" i="4"/>
  <c r="AA308" i="5"/>
  <c r="AB308" i="5" s="1"/>
  <c r="AC308" i="5"/>
  <c r="AD308" i="5" s="1"/>
  <c r="L334" i="5"/>
  <c r="S267" i="5"/>
  <c r="U253" i="5"/>
  <c r="V253" i="5" s="1"/>
  <c r="G320" i="5"/>
  <c r="U320" i="5" s="1"/>
  <c r="V320" i="5" s="1"/>
  <c r="AC231" i="5"/>
  <c r="AD231" i="5" s="1"/>
  <c r="H298" i="5"/>
  <c r="AA298" i="5" s="1"/>
  <c r="AB298" i="5" s="1"/>
  <c r="AC298" i="5" s="1"/>
  <c r="AD298" i="5" s="1"/>
  <c r="AE298" i="5" s="1"/>
  <c r="AA231" i="5"/>
  <c r="AB231" i="5" s="1"/>
  <c r="U273" i="5"/>
  <c r="V273" i="5" s="1"/>
  <c r="G340" i="5"/>
  <c r="U340" i="5" s="1"/>
  <c r="V340" i="5" s="1"/>
  <c r="I248" i="5"/>
  <c r="O181" i="5"/>
  <c r="AB35" i="5"/>
  <c r="AB58" i="5"/>
  <c r="AB63" i="5"/>
  <c r="AB47" i="5"/>
  <c r="AB60" i="5"/>
  <c r="AB26" i="5"/>
  <c r="AC26" i="5" s="1"/>
  <c r="AD26" i="5" s="1"/>
  <c r="AE26" i="5" s="1"/>
  <c r="AB24" i="5"/>
  <c r="AC24" i="5" s="1"/>
  <c r="AD24" i="5" s="1"/>
  <c r="AE24" i="5" s="1"/>
  <c r="AB27" i="5"/>
  <c r="AC27" i="5" s="1"/>
  <c r="AD27" i="5" s="1"/>
  <c r="AE27" i="5" s="1"/>
  <c r="AB29" i="5"/>
  <c r="AC29" i="5" s="1"/>
  <c r="AD29" i="5" s="1"/>
  <c r="AE29" i="5" s="1"/>
  <c r="AB43" i="5"/>
  <c r="AB66" i="5"/>
  <c r="AB32" i="5"/>
  <c r="AB45" i="5"/>
  <c r="AB69" i="5"/>
  <c r="AB40" i="5"/>
  <c r="AB28" i="5"/>
  <c r="AC28" i="5" s="1"/>
  <c r="AD28" i="5" s="1"/>
  <c r="AE28" i="5" s="1"/>
  <c r="AB31" i="5"/>
  <c r="AB59" i="5"/>
  <c r="AB44" i="5"/>
  <c r="AB67" i="5"/>
  <c r="AB33" i="5"/>
  <c r="AB36" i="5"/>
  <c r="AB53" i="5"/>
  <c r="AB64" i="5"/>
  <c r="AB22" i="5"/>
  <c r="AC22" i="5" s="1"/>
  <c r="AD22" i="5" s="1"/>
  <c r="AE22" i="5" s="1"/>
  <c r="AB20" i="5"/>
  <c r="AC20" i="5" s="1"/>
  <c r="AD20" i="5" s="1"/>
  <c r="AE20" i="5" s="1"/>
  <c r="AB23" i="5"/>
  <c r="AC23" i="5" s="1"/>
  <c r="AD23" i="5" s="1"/>
  <c r="AE23" i="5" s="1"/>
  <c r="AB25" i="5"/>
  <c r="AC25" i="5" s="1"/>
  <c r="AD25" i="5" s="1"/>
  <c r="AE25" i="5" s="1"/>
  <c r="AB51" i="5"/>
  <c r="AB50" i="5"/>
  <c r="AB52" i="5"/>
  <c r="AB34" i="5"/>
  <c r="AB62" i="5"/>
  <c r="AB46" i="5"/>
  <c r="AB37" i="5"/>
  <c r="AB30" i="5"/>
  <c r="AC30" i="5" s="1"/>
  <c r="AD30" i="5" s="1"/>
  <c r="AE30" i="5" s="1"/>
  <c r="AB17" i="5"/>
  <c r="AC17" i="5" s="1"/>
  <c r="AD17" i="5" s="1"/>
  <c r="AE17" i="5" s="1"/>
  <c r="AB48" i="5"/>
  <c r="AB57" i="5"/>
  <c r="AB39" i="5"/>
  <c r="AB41" i="5"/>
  <c r="AB65" i="5"/>
  <c r="AB70" i="5"/>
  <c r="AB18" i="5"/>
  <c r="AC18" i="5" s="1"/>
  <c r="AD18" i="5" s="1"/>
  <c r="AE18" i="5" s="1"/>
  <c r="AB16" i="5"/>
  <c r="AC16" i="5" s="1"/>
  <c r="AD16" i="5" s="1"/>
  <c r="AE16" i="5" s="1"/>
  <c r="AB19" i="5"/>
  <c r="AC19" i="5" s="1"/>
  <c r="AD19" i="5" s="1"/>
  <c r="AE19" i="5" s="1"/>
  <c r="AB21" i="5"/>
  <c r="AC21" i="5" s="1"/>
  <c r="AD21" i="5" s="1"/>
  <c r="AE21" i="5" s="1"/>
  <c r="E9" i="6"/>
  <c r="AB61" i="5"/>
  <c r="AB54" i="5"/>
  <c r="AB38" i="5"/>
  <c r="AB55" i="5"/>
  <c r="AB56" i="5"/>
  <c r="AB42" i="5"/>
  <c r="AB68" i="5"/>
  <c r="AB49" i="5"/>
  <c r="S193" i="5"/>
  <c r="L260" i="5"/>
  <c r="M193" i="5"/>
  <c r="L122" i="6"/>
  <c r="M90" i="6"/>
  <c r="R200" i="5"/>
  <c r="T200" i="5"/>
  <c r="E267" i="5"/>
  <c r="J200" i="5"/>
  <c r="P200" i="5"/>
  <c r="E245" i="5"/>
  <c r="T178" i="5"/>
  <c r="P178" i="5"/>
  <c r="R178" i="5"/>
  <c r="J178" i="5"/>
  <c r="M151" i="6"/>
  <c r="E158" i="6"/>
  <c r="J158" i="6" s="1"/>
  <c r="J126" i="6"/>
  <c r="O175" i="5"/>
  <c r="I242" i="5"/>
  <c r="G268" i="5"/>
  <c r="U201" i="5"/>
  <c r="V201" i="5" s="1"/>
  <c r="G258" i="5"/>
  <c r="U191" i="5"/>
  <c r="V191" i="5" s="1"/>
  <c r="AC177" i="5"/>
  <c r="AD177" i="5" s="1"/>
  <c r="AE177" i="5" s="1"/>
  <c r="AA177" i="5"/>
  <c r="AB177" i="5" s="1"/>
  <c r="H244" i="5"/>
  <c r="R191" i="5"/>
  <c r="T191" i="5"/>
  <c r="P191" i="5"/>
  <c r="J191" i="5"/>
  <c r="E258" i="5"/>
  <c r="E242" i="5"/>
  <c r="T175" i="5"/>
  <c r="J175" i="5"/>
  <c r="P175" i="5"/>
  <c r="R175" i="5"/>
  <c r="AA328" i="5"/>
  <c r="AB328" i="5" s="1"/>
  <c r="AC328" i="5"/>
  <c r="AD328" i="5" s="1"/>
  <c r="AE328" i="5" s="1"/>
  <c r="AC296" i="5"/>
  <c r="AD296" i="5" s="1"/>
  <c r="AE296" i="5" s="1"/>
  <c r="I244" i="5"/>
  <c r="O177" i="5"/>
  <c r="U67" i="4"/>
  <c r="V67" i="4" s="1"/>
  <c r="G89" i="4"/>
  <c r="H245" i="5"/>
  <c r="AC178" i="5"/>
  <c r="AD178" i="5" s="1"/>
  <c r="AE178" i="5" s="1"/>
  <c r="AA178" i="5"/>
  <c r="AB178" i="5" s="1"/>
  <c r="K266" i="5"/>
  <c r="M183" i="5"/>
  <c r="K250" i="5"/>
  <c r="M250" i="5" s="1"/>
  <c r="M195" i="5"/>
  <c r="S195" i="5"/>
  <c r="L262" i="5"/>
  <c r="I121" i="6"/>
  <c r="O121" i="6" s="1"/>
  <c r="E269" i="5"/>
  <c r="P202" i="5"/>
  <c r="J202" i="5"/>
  <c r="T202" i="5"/>
  <c r="R202" i="5"/>
  <c r="R172" i="5"/>
  <c r="P172" i="5"/>
  <c r="E239" i="5"/>
  <c r="J172" i="5"/>
  <c r="T172" i="5"/>
  <c r="S295" i="5"/>
  <c r="M306" i="5"/>
  <c r="R163" i="6"/>
  <c r="K148" i="6"/>
  <c r="AC241" i="5"/>
  <c r="AD241" i="5" s="1"/>
  <c r="T234" i="5"/>
  <c r="S241" i="5"/>
  <c r="AC261" i="5"/>
  <c r="AD261" i="5" s="1"/>
  <c r="AE261" i="5" s="1"/>
  <c r="L316" i="5"/>
  <c r="S90" i="6"/>
  <c r="AA256" i="5"/>
  <c r="AB256" i="5" s="1"/>
  <c r="J237" i="5"/>
  <c r="R251" i="5"/>
  <c r="AC189" i="5"/>
  <c r="AD189" i="5" s="1"/>
  <c r="AE189" i="5" s="1"/>
  <c r="S184" i="5"/>
  <c r="T170" i="5"/>
  <c r="U186" i="5"/>
  <c r="V186" i="5" s="1"/>
  <c r="M113" i="6"/>
  <c r="K25" i="11"/>
  <c r="I31" i="16" s="1"/>
  <c r="K294" i="5"/>
  <c r="M294" i="5" s="1"/>
  <c r="I272" i="5"/>
  <c r="R164" i="6"/>
  <c r="L321" i="5"/>
  <c r="S321" i="5" s="1"/>
  <c r="V89" i="9"/>
  <c r="V54" i="9"/>
  <c r="V133" i="9"/>
  <c r="V101" i="9"/>
  <c r="V40" i="9"/>
  <c r="V52" i="9"/>
  <c r="AE183" i="5"/>
  <c r="S100" i="5"/>
  <c r="AA93" i="5"/>
  <c r="M125" i="6"/>
  <c r="R234" i="5"/>
  <c r="J234" i="5"/>
  <c r="G254" i="5"/>
  <c r="M249" i="5"/>
  <c r="U89" i="6"/>
  <c r="V89" i="6" s="1"/>
  <c r="J83" i="6"/>
  <c r="AE288" i="5"/>
  <c r="M222" i="5"/>
  <c r="E304" i="5"/>
  <c r="J251" i="5"/>
  <c r="E318" i="5"/>
  <c r="AA229" i="5"/>
  <c r="AB229" i="5" s="1"/>
  <c r="AC229" i="5" s="1"/>
  <c r="AD229" i="5" s="1"/>
  <c r="AE229" i="5" s="1"/>
  <c r="G32" i="2"/>
  <c r="G31" i="2" s="1"/>
  <c r="S200" i="5"/>
  <c r="L251" i="5"/>
  <c r="H222" i="5"/>
  <c r="R170" i="5"/>
  <c r="F37" i="10"/>
  <c r="J164" i="6"/>
  <c r="V131" i="9"/>
  <c r="V28" i="9"/>
  <c r="V123" i="9"/>
  <c r="V99" i="9"/>
  <c r="V95" i="9"/>
  <c r="V137" i="9"/>
  <c r="G129" i="6"/>
  <c r="T237" i="5"/>
  <c r="AE154" i="5"/>
  <c r="P164" i="6"/>
  <c r="M106" i="4"/>
  <c r="G83" i="14"/>
  <c r="G87" i="16"/>
  <c r="J115" i="6"/>
  <c r="E147" i="6"/>
  <c r="J147" i="6" s="1"/>
  <c r="P115" i="6"/>
  <c r="R115" i="6" s="1"/>
  <c r="U121" i="6"/>
  <c r="V121" i="6" s="1"/>
  <c r="G153" i="6"/>
  <c r="U153" i="6" s="1"/>
  <c r="V153" i="6" s="1"/>
  <c r="I253" i="5"/>
  <c r="O186" i="5"/>
  <c r="O190" i="5"/>
  <c r="I257" i="5"/>
  <c r="G239" i="5"/>
  <c r="U172" i="5"/>
  <c r="V172" i="5" s="1"/>
  <c r="AA206" i="5"/>
  <c r="AB206" i="5" s="1"/>
  <c r="H273" i="5"/>
  <c r="AC206" i="5"/>
  <c r="AD206" i="5" s="1"/>
  <c r="AE206" i="5" s="1"/>
  <c r="AB109" i="5"/>
  <c r="AB114" i="5"/>
  <c r="AB119" i="5"/>
  <c r="AB130" i="5"/>
  <c r="AB125" i="5"/>
  <c r="AB122" i="5"/>
  <c r="AB99" i="5"/>
  <c r="AB126" i="5"/>
  <c r="AB86" i="5"/>
  <c r="AC86" i="5" s="1"/>
  <c r="AD86" i="5" s="1"/>
  <c r="AE86" i="5" s="1"/>
  <c r="AB123" i="5"/>
  <c r="AB138" i="5"/>
  <c r="AB106" i="5"/>
  <c r="AB108" i="5"/>
  <c r="AB115" i="5"/>
  <c r="AB105" i="5"/>
  <c r="AB102" i="5"/>
  <c r="AB129" i="5"/>
  <c r="AB101" i="5"/>
  <c r="AB95" i="5"/>
  <c r="AC95" i="5" s="1"/>
  <c r="AD95" i="5" s="1"/>
  <c r="AE95" i="5" s="1"/>
  <c r="AB85" i="5"/>
  <c r="AC85" i="5" s="1"/>
  <c r="AD85" i="5" s="1"/>
  <c r="AE85" i="5" s="1"/>
  <c r="AB113" i="5"/>
  <c r="AB111" i="5"/>
  <c r="AB132" i="5"/>
  <c r="AB134" i="5"/>
  <c r="AB100" i="5"/>
  <c r="AB124" i="5"/>
  <c r="AB92" i="5"/>
  <c r="AC92" i="5" s="1"/>
  <c r="AD92" i="5" s="1"/>
  <c r="AE92" i="5" s="1"/>
  <c r="AB98" i="5"/>
  <c r="AC98" i="5" s="1"/>
  <c r="AD98" i="5" s="1"/>
  <c r="AE98" i="5" s="1"/>
  <c r="AB107" i="5"/>
  <c r="AB127" i="5"/>
  <c r="AB131" i="5"/>
  <c r="AB103" i="5"/>
  <c r="AB116" i="5"/>
  <c r="AB117" i="5"/>
  <c r="AB104" i="5"/>
  <c r="AB133" i="5"/>
  <c r="AB118" i="5"/>
  <c r="AB110" i="5"/>
  <c r="AB88" i="5"/>
  <c r="AC88" i="5" s="1"/>
  <c r="AD88" i="5" s="1"/>
  <c r="AE88" i="5" s="1"/>
  <c r="AB90" i="5"/>
  <c r="AC90" i="5" s="1"/>
  <c r="AD90" i="5" s="1"/>
  <c r="AE90" i="5" s="1"/>
  <c r="AB93" i="5"/>
  <c r="AC93" i="5" s="1"/>
  <c r="AD93" i="5" s="1"/>
  <c r="AE93" i="5" s="1"/>
  <c r="K270" i="5"/>
  <c r="M203" i="5"/>
  <c r="M173" i="5"/>
  <c r="K240" i="5"/>
  <c r="M171" i="5"/>
  <c r="S171" i="5"/>
  <c r="L238" i="5"/>
  <c r="L244" i="5"/>
  <c r="M177" i="5"/>
  <c r="S177" i="5"/>
  <c r="R199" i="5"/>
  <c r="T199" i="5"/>
  <c r="E266" i="5"/>
  <c r="J199" i="5"/>
  <c r="P199" i="5"/>
  <c r="P190" i="5"/>
  <c r="J190" i="5"/>
  <c r="R190" i="5"/>
  <c r="P183" i="5"/>
  <c r="J183" i="5"/>
  <c r="R183" i="5"/>
  <c r="AC185" i="5"/>
  <c r="AD185" i="5" s="1"/>
  <c r="AE185" i="5" s="1"/>
  <c r="H252" i="5"/>
  <c r="AA185" i="5"/>
  <c r="AB185" i="5" s="1"/>
  <c r="AC171" i="5"/>
  <c r="AD171" i="5" s="1"/>
  <c r="AE171" i="5" s="1"/>
  <c r="AA171" i="5"/>
  <c r="AB171" i="5" s="1"/>
  <c r="H238" i="5"/>
  <c r="AA167" i="5"/>
  <c r="AB167" i="5" s="1"/>
  <c r="AC167" i="5"/>
  <c r="AD167" i="5" s="1"/>
  <c r="AE167" i="5" s="1"/>
  <c r="H234" i="5"/>
  <c r="K271" i="5"/>
  <c r="M204" i="5"/>
  <c r="K241" i="5"/>
  <c r="M174" i="5"/>
  <c r="S179" i="5"/>
  <c r="M179" i="5"/>
  <c r="L246" i="5"/>
  <c r="L266" i="5"/>
  <c r="M199" i="5"/>
  <c r="S199" i="5"/>
  <c r="R197" i="5"/>
  <c r="E264" i="5"/>
  <c r="P197" i="5"/>
  <c r="J197" i="5"/>
  <c r="T197" i="5"/>
  <c r="E238" i="5"/>
  <c r="R171" i="5"/>
  <c r="J171" i="5"/>
  <c r="T171" i="5"/>
  <c r="P171" i="5"/>
  <c r="K224" i="5"/>
  <c r="AE224" i="5" s="1"/>
  <c r="M157" i="5"/>
  <c r="P317" i="5"/>
  <c r="G158" i="6"/>
  <c r="U158" i="6" s="1"/>
  <c r="V158" i="6" s="1"/>
  <c r="M84" i="4"/>
  <c r="L303" i="5"/>
  <c r="AC237" i="5"/>
  <c r="AD237" i="5" s="1"/>
  <c r="AE237" i="5" s="1"/>
  <c r="J260" i="5"/>
  <c r="R272" i="5"/>
  <c r="E339" i="5"/>
  <c r="L128" i="6"/>
  <c r="S83" i="6"/>
  <c r="E119" i="6"/>
  <c r="T119" i="6" s="1"/>
  <c r="P308" i="5"/>
  <c r="G319" i="5"/>
  <c r="U319" i="5" s="1"/>
  <c r="V319" i="5" s="1"/>
  <c r="U252" i="5"/>
  <c r="V252" i="5" s="1"/>
  <c r="I255" i="5"/>
  <c r="O188" i="5"/>
  <c r="I259" i="5"/>
  <c r="O192" i="5"/>
  <c r="K312" i="5"/>
  <c r="M245" i="5"/>
  <c r="AC190" i="5"/>
  <c r="AD190" i="5" s="1"/>
  <c r="AE190" i="5" s="1"/>
  <c r="H257" i="5"/>
  <c r="AA190" i="5"/>
  <c r="AB190" i="5" s="1"/>
  <c r="H253" i="5"/>
  <c r="AC186" i="5"/>
  <c r="AD186" i="5" s="1"/>
  <c r="AE186" i="5" s="1"/>
  <c r="AA186" i="5"/>
  <c r="AB186" i="5" s="1"/>
  <c r="AC172" i="5"/>
  <c r="AD172" i="5" s="1"/>
  <c r="AA172" i="5"/>
  <c r="AB172" i="5" s="1"/>
  <c r="H239" i="5"/>
  <c r="K272" i="5"/>
  <c r="AE272" i="5" s="1"/>
  <c r="M205" i="5"/>
  <c r="K257" i="5"/>
  <c r="M190" i="5"/>
  <c r="K242" i="5"/>
  <c r="M175" i="5"/>
  <c r="L132" i="6"/>
  <c r="S100" i="6"/>
  <c r="J145" i="6"/>
  <c r="O145" i="6" s="1"/>
  <c r="P145" i="6" s="1"/>
  <c r="J317" i="5"/>
  <c r="L157" i="6"/>
  <c r="M157" i="6" s="1"/>
  <c r="M88" i="4"/>
  <c r="S236" i="5"/>
  <c r="E327" i="5"/>
  <c r="R260" i="5"/>
  <c r="J272" i="5"/>
  <c r="L115" i="6"/>
  <c r="J308" i="5"/>
  <c r="I234" i="5"/>
  <c r="O167" i="5"/>
  <c r="O187" i="5"/>
  <c r="I254" i="5"/>
  <c r="O199" i="5"/>
  <c r="I266" i="5"/>
  <c r="AA195" i="5"/>
  <c r="AB195" i="5" s="1"/>
  <c r="AC191" i="5"/>
  <c r="AD191" i="5" s="1"/>
  <c r="AE191" i="5" s="1"/>
  <c r="H258" i="5"/>
  <c r="AA191" i="5"/>
  <c r="AB191" i="5" s="1"/>
  <c r="H254" i="5"/>
  <c r="AC187" i="5"/>
  <c r="AD187" i="5" s="1"/>
  <c r="AE187" i="5" s="1"/>
  <c r="AA187" i="5"/>
  <c r="AB187" i="5" s="1"/>
  <c r="AA173" i="5"/>
  <c r="AB173" i="5" s="1"/>
  <c r="H240" i="5"/>
  <c r="AC173" i="5"/>
  <c r="AD173" i="5" s="1"/>
  <c r="AE173" i="5" s="1"/>
  <c r="M206" i="5"/>
  <c r="K273" i="5"/>
  <c r="K258" i="5"/>
  <c r="M191" i="5"/>
  <c r="K243" i="5"/>
  <c r="S194" i="5"/>
  <c r="L261" i="5"/>
  <c r="M194" i="5"/>
  <c r="J201" i="5"/>
  <c r="R201" i="5"/>
  <c r="P201" i="5"/>
  <c r="E259" i="5"/>
  <c r="J192" i="5"/>
  <c r="T192" i="5"/>
  <c r="P192" i="5"/>
  <c r="R192" i="5"/>
  <c r="E236" i="5"/>
  <c r="T169" i="5"/>
  <c r="P169" i="5"/>
  <c r="J169" i="5"/>
  <c r="R169" i="5"/>
  <c r="S96" i="6"/>
  <c r="H26" i="10"/>
  <c r="H33" i="2"/>
  <c r="V97" i="9"/>
  <c r="V117" i="9"/>
  <c r="V72" i="9"/>
  <c r="V42" i="9"/>
  <c r="V127" i="9"/>
  <c r="V56" i="9"/>
  <c r="V74" i="9"/>
  <c r="V34" i="9"/>
  <c r="V60" i="9"/>
  <c r="V36" i="9"/>
  <c r="V105" i="9"/>
  <c r="V32" i="9"/>
  <c r="V14" i="9"/>
  <c r="J38" i="10" s="1"/>
  <c r="L93" i="7" s="1"/>
  <c r="I59" i="14" s="1"/>
  <c r="I61" i="14" s="1"/>
  <c r="V70" i="9"/>
  <c r="V44" i="9"/>
  <c r="V129" i="9"/>
  <c r="AB135" i="5"/>
  <c r="V111" i="9"/>
  <c r="V78" i="9"/>
  <c r="V30" i="9"/>
  <c r="V113" i="9"/>
  <c r="V107" i="9"/>
  <c r="V38" i="9"/>
  <c r="V64" i="9"/>
  <c r="V103" i="9"/>
  <c r="V86" i="9"/>
  <c r="V62" i="9"/>
  <c r="V46" i="9"/>
  <c r="V48" i="9"/>
  <c r="V58" i="9"/>
  <c r="V139" i="9"/>
  <c r="AB8" i="9"/>
  <c r="V141" i="9"/>
  <c r="AE313" i="5"/>
  <c r="AE322" i="5"/>
  <c r="S109" i="5"/>
  <c r="V50" i="9"/>
  <c r="V121" i="9"/>
  <c r="V91" i="9"/>
  <c r="V68" i="9"/>
  <c r="V16" i="9"/>
  <c r="V135" i="9"/>
  <c r="V26" i="9"/>
  <c r="AE203" i="5"/>
  <c r="AE246" i="5"/>
  <c r="M239" i="5"/>
  <c r="M64" i="6"/>
  <c r="E93" i="6"/>
  <c r="P93" i="6" s="1"/>
  <c r="G53" i="14"/>
  <c r="G55" i="14" s="1"/>
  <c r="AE204" i="5"/>
  <c r="AE175" i="5"/>
  <c r="G88" i="6"/>
  <c r="AA97" i="5"/>
  <c r="AB97" i="5" s="1"/>
  <c r="AC97" i="5" s="1"/>
  <c r="AD97" i="5" s="1"/>
  <c r="AE97" i="5" s="1"/>
  <c r="I47" i="14"/>
  <c r="I49" i="14" s="1"/>
  <c r="H49" i="14"/>
  <c r="I40" i="14"/>
  <c r="H42" i="14"/>
  <c r="H71" i="14"/>
  <c r="H85" i="16" s="1"/>
  <c r="I71" i="14"/>
  <c r="I42" i="14"/>
  <c r="I81" i="16" s="1"/>
  <c r="L219" i="5"/>
  <c r="M152" i="5"/>
  <c r="O71" i="5"/>
  <c r="AA84" i="5"/>
  <c r="AB84" i="5" s="1"/>
  <c r="AC84" i="5" s="1"/>
  <c r="AD84" i="5" s="1"/>
  <c r="AE84" i="5" s="1"/>
  <c r="J152" i="5"/>
  <c r="L131" i="6"/>
  <c r="S99" i="6"/>
  <c r="J89" i="6"/>
  <c r="E121" i="6"/>
  <c r="K118" i="6"/>
  <c r="M86" i="6"/>
  <c r="U116" i="6"/>
  <c r="V116" i="6" s="1"/>
  <c r="G148" i="6"/>
  <c r="U148" i="6" s="1"/>
  <c r="V148" i="6" s="1"/>
  <c r="K124" i="6"/>
  <c r="M92" i="6"/>
  <c r="L121" i="6"/>
  <c r="S121" i="6" s="1"/>
  <c r="M89" i="6"/>
  <c r="L101" i="6"/>
  <c r="S89" i="6"/>
  <c r="M85" i="6"/>
  <c r="K117" i="6"/>
  <c r="U84" i="6"/>
  <c r="P89" i="6"/>
  <c r="R89" i="6" s="1"/>
  <c r="T89" i="6" s="1"/>
  <c r="J120" i="6"/>
  <c r="M57" i="6"/>
  <c r="I220" i="5"/>
  <c r="O153" i="5"/>
  <c r="AA158" i="5"/>
  <c r="AB158" i="5" s="1"/>
  <c r="H225" i="5"/>
  <c r="AC158" i="5"/>
  <c r="AD158" i="5" s="1"/>
  <c r="AE158" i="5" s="1"/>
  <c r="E297" i="5"/>
  <c r="P297" i="5" s="1"/>
  <c r="J230" i="5"/>
  <c r="E233" i="5"/>
  <c r="E300" i="5" s="1"/>
  <c r="J300" i="5" s="1"/>
  <c r="R166" i="5"/>
  <c r="T166" i="5" s="1"/>
  <c r="J166" i="5"/>
  <c r="P166" i="5"/>
  <c r="M158" i="5"/>
  <c r="K207" i="5"/>
  <c r="K225" i="5"/>
  <c r="I233" i="5"/>
  <c r="I300" i="5" s="1"/>
  <c r="O166" i="5"/>
  <c r="M164" i="5"/>
  <c r="L231" i="5"/>
  <c r="H227" i="5"/>
  <c r="AA160" i="5"/>
  <c r="AB160" i="5" s="1"/>
  <c r="AC160" i="5" s="1"/>
  <c r="AD160" i="5" s="1"/>
  <c r="AE160" i="5" s="1"/>
  <c r="G224" i="5"/>
  <c r="U157" i="5"/>
  <c r="L233" i="5"/>
  <c r="S166" i="5"/>
  <c r="M166" i="5"/>
  <c r="M165" i="5"/>
  <c r="L232" i="5"/>
  <c r="L223" i="5"/>
  <c r="M156" i="5"/>
  <c r="AE231" i="5"/>
  <c r="V71" i="5"/>
  <c r="P230" i="5"/>
  <c r="R230" i="5" s="1"/>
  <c r="AE299" i="5"/>
  <c r="AE163" i="5"/>
  <c r="AE233" i="5"/>
  <c r="O165" i="5"/>
  <c r="V39" i="4"/>
  <c r="V48" i="4" s="1"/>
  <c r="E85" i="4"/>
  <c r="E107" i="4" s="1"/>
  <c r="J63" i="4"/>
  <c r="O63" i="4" s="1"/>
  <c r="I89" i="4"/>
  <c r="I111" i="4" s="1"/>
  <c r="O111" i="4" s="1"/>
  <c r="O67" i="4"/>
  <c r="V26" i="4"/>
  <c r="S109" i="4"/>
  <c r="U47" i="4"/>
  <c r="V47" i="4" s="1"/>
  <c r="O62" i="4"/>
  <c r="K127" i="3"/>
  <c r="L114" i="3"/>
  <c r="G20" i="14"/>
  <c r="L85" i="3"/>
  <c r="L148" i="3" s="1"/>
  <c r="I19" i="14" s="1"/>
  <c r="K148" i="3"/>
  <c r="H19" i="14" s="1"/>
  <c r="F23" i="14"/>
  <c r="F78" i="16"/>
  <c r="F27" i="16"/>
  <c r="G189" i="14"/>
  <c r="F189" i="14"/>
  <c r="H189" i="14"/>
  <c r="F100" i="14"/>
  <c r="K84" i="3"/>
  <c r="J147" i="3"/>
  <c r="I17" i="11" s="1"/>
  <c r="G26" i="16" s="1"/>
  <c r="J92" i="3"/>
  <c r="K73" i="3"/>
  <c r="J78" i="3"/>
  <c r="F24" i="16"/>
  <c r="G188" i="14"/>
  <c r="G78" i="16"/>
  <c r="F77" i="16"/>
  <c r="F20" i="14"/>
  <c r="P287" i="5"/>
  <c r="R287" i="5" s="1"/>
  <c r="S287" i="5"/>
  <c r="S88" i="4"/>
  <c r="P88" i="4"/>
  <c r="R88" i="4" s="1"/>
  <c r="R229" i="5"/>
  <c r="T229" i="5"/>
  <c r="P81" i="6"/>
  <c r="S81" i="6"/>
  <c r="R162" i="5"/>
  <c r="T162" i="5" s="1"/>
  <c r="R59" i="6"/>
  <c r="T59" i="6"/>
  <c r="S85" i="6"/>
  <c r="P85" i="6"/>
  <c r="V161" i="5"/>
  <c r="P161" i="5"/>
  <c r="S161" i="5"/>
  <c r="S98" i="5"/>
  <c r="P98" i="5"/>
  <c r="S40" i="4"/>
  <c r="P40" i="4"/>
  <c r="V55" i="6"/>
  <c r="S55" i="6"/>
  <c r="V64" i="6"/>
  <c r="S64" i="6"/>
  <c r="P64" i="6"/>
  <c r="R18" i="6"/>
  <c r="T18" i="6"/>
  <c r="S227" i="5"/>
  <c r="P227" i="5"/>
  <c r="P87" i="6"/>
  <c r="S87" i="6"/>
  <c r="S86" i="6"/>
  <c r="P86" i="6"/>
  <c r="R86" i="6" s="1"/>
  <c r="T86" i="6" s="1"/>
  <c r="S122" i="6"/>
  <c r="P122" i="6"/>
  <c r="R122" i="6" s="1"/>
  <c r="T122" i="6" s="1"/>
  <c r="V62" i="4"/>
  <c r="P62" i="4"/>
  <c r="R62" i="4" s="1"/>
  <c r="V53" i="6"/>
  <c r="S53" i="6"/>
  <c r="P45" i="4"/>
  <c r="R45" i="4" s="1"/>
  <c r="S45" i="4"/>
  <c r="P38" i="4"/>
  <c r="S38" i="4"/>
  <c r="S123" i="6"/>
  <c r="P123" i="6"/>
  <c r="R123" i="6" s="1"/>
  <c r="S63" i="6"/>
  <c r="V63" i="6"/>
  <c r="P63" i="6"/>
  <c r="S93" i="6"/>
  <c r="S91" i="5"/>
  <c r="P91" i="5"/>
  <c r="S62" i="6"/>
  <c r="J95" i="6"/>
  <c r="P86" i="4"/>
  <c r="R86" i="4" s="1"/>
  <c r="T86" i="4" s="1"/>
  <c r="S86" i="4"/>
  <c r="S156" i="6"/>
  <c r="P156" i="6"/>
  <c r="R156" i="6" s="1"/>
  <c r="T156" i="6" s="1"/>
  <c r="S87" i="4"/>
  <c r="P87" i="4"/>
  <c r="S117" i="6"/>
  <c r="P117" i="6"/>
  <c r="S82" i="6"/>
  <c r="P82" i="6"/>
  <c r="J290" i="5"/>
  <c r="O290" i="5" s="1"/>
  <c r="O223" i="5"/>
  <c r="O158" i="5"/>
  <c r="J225" i="5"/>
  <c r="S84" i="5"/>
  <c r="P58" i="6"/>
  <c r="S58" i="6"/>
  <c r="V58" i="6"/>
  <c r="T128" i="6"/>
  <c r="R64" i="6"/>
  <c r="T64" i="6" s="1"/>
  <c r="S156" i="5"/>
  <c r="P295" i="5"/>
  <c r="R295" i="5" s="1"/>
  <c r="T295" i="5" s="1"/>
  <c r="P96" i="6"/>
  <c r="P62" i="6"/>
  <c r="P55" i="6"/>
  <c r="V62" i="6"/>
  <c r="T95" i="5"/>
  <c r="J108" i="4"/>
  <c r="O108" i="4" s="1"/>
  <c r="S230" i="5"/>
  <c r="T230" i="5" s="1"/>
  <c r="R51" i="6"/>
  <c r="T51" i="6" s="1"/>
  <c r="J84" i="4"/>
  <c r="V70" i="4"/>
  <c r="T121" i="6"/>
  <c r="R84" i="6"/>
  <c r="T84" i="6" s="1"/>
  <c r="T153" i="5"/>
  <c r="S155" i="6"/>
  <c r="T115" i="6"/>
  <c r="J110" i="4"/>
  <c r="O110" i="4" s="1"/>
  <c r="P110" i="4" s="1"/>
  <c r="J294" i="5"/>
  <c r="O294" i="5" s="1"/>
  <c r="S294" i="5" s="1"/>
  <c r="J118" i="6"/>
  <c r="S61" i="4"/>
  <c r="T61" i="4" s="1"/>
  <c r="T96" i="5"/>
  <c r="R94" i="5"/>
  <c r="T94" i="5" s="1"/>
  <c r="P54" i="6"/>
  <c r="J149" i="6"/>
  <c r="S149" i="6" s="1"/>
  <c r="R19" i="6"/>
  <c r="T19" i="6" s="1"/>
  <c r="R17" i="6"/>
  <c r="T17" i="6" s="1"/>
  <c r="P111" i="4"/>
  <c r="J114" i="6"/>
  <c r="T24" i="6"/>
  <c r="R46" i="4"/>
  <c r="T46" i="4" s="1"/>
  <c r="R23" i="4"/>
  <c r="T23" i="4" s="1"/>
  <c r="R16" i="5"/>
  <c r="R71" i="5" s="1"/>
  <c r="J155" i="5"/>
  <c r="J159" i="5"/>
  <c r="J160" i="6"/>
  <c r="P149" i="6"/>
  <c r="P68" i="4"/>
  <c r="R68" i="4" s="1"/>
  <c r="T68" i="4" s="1"/>
  <c r="T25" i="6"/>
  <c r="V152" i="5"/>
  <c r="P53" i="6"/>
  <c r="P156" i="5"/>
  <c r="P228" i="5"/>
  <c r="R228" i="5" s="1"/>
  <c r="J231" i="5"/>
  <c r="P21" i="6"/>
  <c r="S151" i="6"/>
  <c r="S145" i="6"/>
  <c r="S114" i="4"/>
  <c r="P114" i="4"/>
  <c r="S108" i="4"/>
  <c r="V107" i="4"/>
  <c r="P112" i="4"/>
  <c r="P154" i="6"/>
  <c r="H13" i="10"/>
  <c r="S105" i="4"/>
  <c r="G72" i="14"/>
  <c r="P160" i="6"/>
  <c r="R110" i="4"/>
  <c r="R149" i="6"/>
  <c r="T149" i="6" s="1"/>
  <c r="V63" i="4"/>
  <c r="P63" i="4"/>
  <c r="S63" i="4"/>
  <c r="S48" i="6"/>
  <c r="V48" i="6"/>
  <c r="P162" i="6"/>
  <c r="S162" i="6"/>
  <c r="S161" i="6"/>
  <c r="P89" i="4"/>
  <c r="S65" i="4"/>
  <c r="P65" i="4"/>
  <c r="V65" i="4"/>
  <c r="J152" i="6"/>
  <c r="S87" i="5"/>
  <c r="P87" i="5"/>
  <c r="S43" i="4"/>
  <c r="P43" i="4"/>
  <c r="J12" i="10"/>
  <c r="F85" i="16"/>
  <c r="R227" i="5"/>
  <c r="T227" i="5" s="1"/>
  <c r="T20" i="6"/>
  <c r="T62" i="6"/>
  <c r="R62" i="6"/>
  <c r="R55" i="6"/>
  <c r="T55" i="6" s="1"/>
  <c r="P126" i="6"/>
  <c r="S94" i="6"/>
  <c r="P94" i="6"/>
  <c r="S165" i="5"/>
  <c r="P165" i="5"/>
  <c r="V165" i="5"/>
  <c r="O69" i="4"/>
  <c r="J91" i="4"/>
  <c r="P39" i="4"/>
  <c r="O48" i="4"/>
  <c r="S39" i="4"/>
  <c r="P92" i="4"/>
  <c r="S92" i="4"/>
  <c r="V64" i="4"/>
  <c r="S64" i="4"/>
  <c r="T64" i="4" s="1"/>
  <c r="R111" i="4"/>
  <c r="T111" i="4" s="1"/>
  <c r="V163" i="5"/>
  <c r="S163" i="5"/>
  <c r="P163" i="5"/>
  <c r="K304" i="5"/>
  <c r="R291" i="5"/>
  <c r="P164" i="5"/>
  <c r="S164" i="5"/>
  <c r="S97" i="5"/>
  <c r="P97" i="5"/>
  <c r="S158" i="5"/>
  <c r="P158" i="5"/>
  <c r="V158" i="5"/>
  <c r="P57" i="6"/>
  <c r="S57" i="6"/>
  <c r="P41" i="4"/>
  <c r="S41" i="4"/>
  <c r="O154" i="5"/>
  <c r="J221" i="5"/>
  <c r="U127" i="6"/>
  <c r="G159" i="6"/>
  <c r="U159" i="6" s="1"/>
  <c r="T287" i="5"/>
  <c r="R155" i="6"/>
  <c r="T155" i="6" s="1"/>
  <c r="S110" i="4"/>
  <c r="T110" i="4" s="1"/>
  <c r="R53" i="6"/>
  <c r="T53" i="6" s="1"/>
  <c r="R86" i="5"/>
  <c r="P98" i="6"/>
  <c r="S98" i="6"/>
  <c r="R156" i="5"/>
  <c r="T156" i="5"/>
  <c r="P290" i="5"/>
  <c r="S93" i="5"/>
  <c r="P93" i="5"/>
  <c r="V49" i="6"/>
  <c r="S49" i="6"/>
  <c r="P49" i="6"/>
  <c r="P65" i="6"/>
  <c r="S65" i="6"/>
  <c r="V65" i="6"/>
  <c r="V61" i="6"/>
  <c r="P61" i="6"/>
  <c r="S61" i="6"/>
  <c r="P47" i="4"/>
  <c r="S47" i="4"/>
  <c r="F72" i="14"/>
  <c r="S62" i="4"/>
  <c r="T62" i="4" s="1"/>
  <c r="P66" i="4"/>
  <c r="R50" i="6"/>
  <c r="T50" i="6" s="1"/>
  <c r="I189" i="14"/>
  <c r="AB334" i="5"/>
  <c r="T308" i="5"/>
  <c r="S291" i="5"/>
  <c r="E232" i="5"/>
  <c r="T19" i="4"/>
  <c r="G57" i="10"/>
  <c r="H14" i="10" s="1"/>
  <c r="H57" i="10" s="1"/>
  <c r="I14" i="10" s="1"/>
  <c r="I57" i="10" s="1"/>
  <c r="J14" i="10" s="1"/>
  <c r="J57" i="10" s="1"/>
  <c r="R224" i="5"/>
  <c r="T224" i="5" s="1"/>
  <c r="T25" i="4"/>
  <c r="E253" i="5"/>
  <c r="T186" i="5"/>
  <c r="H184" i="7"/>
  <c r="T180" i="5"/>
  <c r="E247" i="5"/>
  <c r="S339" i="5"/>
  <c r="S239" i="5"/>
  <c r="V57" i="6"/>
  <c r="E255" i="5"/>
  <c r="T188" i="5"/>
  <c r="S18" i="4"/>
  <c r="T18" i="4" s="1"/>
  <c r="S21" i="5"/>
  <c r="T21" i="5" s="1"/>
  <c r="S24" i="5"/>
  <c r="T24" i="5" s="1"/>
  <c r="S27" i="5"/>
  <c r="T27" i="5" s="1"/>
  <c r="S33" i="6"/>
  <c r="T33" i="6" s="1"/>
  <c r="S32" i="6"/>
  <c r="T32" i="6" s="1"/>
  <c r="S16" i="4"/>
  <c r="S21" i="4"/>
  <c r="T21" i="4" s="1"/>
  <c r="S24" i="4"/>
  <c r="T24" i="4" s="1"/>
  <c r="S17" i="5"/>
  <c r="S19" i="5"/>
  <c r="T19" i="5" s="1"/>
  <c r="S29" i="5"/>
  <c r="T29" i="5" s="1"/>
  <c r="E273" i="5"/>
  <c r="T206" i="5"/>
  <c r="T182" i="5"/>
  <c r="E249" i="5"/>
  <c r="M99" i="6"/>
  <c r="S138" i="5"/>
  <c r="L189" i="5"/>
  <c r="R21" i="6"/>
  <c r="O138" i="5"/>
  <c r="U95" i="5"/>
  <c r="V95" i="5" s="1"/>
  <c r="U91" i="5"/>
  <c r="L188" i="5"/>
  <c r="K97" i="6"/>
  <c r="O139" i="5" l="1"/>
  <c r="T42" i="9"/>
  <c r="T66" i="9"/>
  <c r="T127" i="9"/>
  <c r="T123" i="9"/>
  <c r="T26" i="9"/>
  <c r="T25" i="9"/>
  <c r="T100" i="9"/>
  <c r="T18" i="9"/>
  <c r="T90" i="9"/>
  <c r="P12" i="9"/>
  <c r="J175" i="19"/>
  <c r="AE250" i="5"/>
  <c r="L71" i="4"/>
  <c r="U130" i="6"/>
  <c r="V130" i="6" s="1"/>
  <c r="Q83" i="4"/>
  <c r="H184" i="14"/>
  <c r="K40" i="3"/>
  <c r="K46" i="3" s="1"/>
  <c r="L24" i="7"/>
  <c r="I96" i="14" s="1"/>
  <c r="H96" i="14"/>
  <c r="U260" i="5"/>
  <c r="V260" i="5" s="1"/>
  <c r="G327" i="5"/>
  <c r="U327" i="5" s="1"/>
  <c r="V327" i="5" s="1"/>
  <c r="AD37" i="20"/>
  <c r="O37" i="20"/>
  <c r="S234" i="5"/>
  <c r="L301" i="5"/>
  <c r="O240" i="5"/>
  <c r="I307" i="5"/>
  <c r="O307" i="5" s="1"/>
  <c r="G155" i="6"/>
  <c r="U155" i="6" s="1"/>
  <c r="V155" i="6" s="1"/>
  <c r="U123" i="6"/>
  <c r="V123" i="6" s="1"/>
  <c r="G160" i="6"/>
  <c r="U160" i="6" s="1"/>
  <c r="V160" i="6" s="1"/>
  <c r="U128" i="6"/>
  <c r="V128" i="6" s="1"/>
  <c r="K317" i="5"/>
  <c r="AE317" i="5" s="1"/>
  <c r="R26" i="4"/>
  <c r="G317" i="5"/>
  <c r="U317" i="5" s="1"/>
  <c r="V317" i="5" s="1"/>
  <c r="U183" i="5"/>
  <c r="V183" i="5" s="1"/>
  <c r="P324" i="5"/>
  <c r="J127" i="3"/>
  <c r="J156" i="3" s="1"/>
  <c r="I22" i="11" s="1"/>
  <c r="G29" i="16" s="1"/>
  <c r="Q40" i="20"/>
  <c r="AT40" i="20" s="1"/>
  <c r="M167" i="5"/>
  <c r="O260" i="5"/>
  <c r="I327" i="5"/>
  <c r="O327" i="5" s="1"/>
  <c r="AC13" i="20"/>
  <c r="AP13" i="20"/>
  <c r="N13" i="20"/>
  <c r="U248" i="5"/>
  <c r="V248" i="5" s="1"/>
  <c r="G315" i="5"/>
  <c r="U315" i="5" s="1"/>
  <c r="V315" i="5" s="1"/>
  <c r="T301" i="5"/>
  <c r="O89" i="4"/>
  <c r="T163" i="6"/>
  <c r="AE172" i="5"/>
  <c r="P163" i="6"/>
  <c r="Q86" i="4"/>
  <c r="F29" i="13"/>
  <c r="E175" i="19"/>
  <c r="E176" i="19" s="1"/>
  <c r="F176" i="19" s="1"/>
  <c r="U131" i="9"/>
  <c r="U99" i="9"/>
  <c r="U78" i="9"/>
  <c r="U40" i="9"/>
  <c r="S62" i="9"/>
  <c r="S60" i="9"/>
  <c r="S139" i="9"/>
  <c r="S46" i="9"/>
  <c r="Z16" i="9"/>
  <c r="Z135" i="9"/>
  <c r="S118" i="9"/>
  <c r="S77" i="9"/>
  <c r="S55" i="9"/>
  <c r="S18" i="9"/>
  <c r="U41" i="9"/>
  <c r="U92" i="9"/>
  <c r="U67" i="9"/>
  <c r="Z137" i="9"/>
  <c r="I163" i="6"/>
  <c r="O163" i="6" s="1"/>
  <c r="Z23" i="20"/>
  <c r="J23" i="20" s="1"/>
  <c r="H99" i="14"/>
  <c r="L23" i="7"/>
  <c r="K27" i="7"/>
  <c r="U197" i="5"/>
  <c r="V197" i="5" s="1"/>
  <c r="G264" i="5"/>
  <c r="N12" i="20"/>
  <c r="AP12" i="20"/>
  <c r="M85" i="4"/>
  <c r="O83" i="6"/>
  <c r="I115" i="6"/>
  <c r="I118" i="6"/>
  <c r="O86" i="6"/>
  <c r="I120" i="6"/>
  <c r="O88" i="6"/>
  <c r="O90" i="6"/>
  <c r="I122" i="6"/>
  <c r="O92" i="6"/>
  <c r="I124" i="6"/>
  <c r="I126" i="6"/>
  <c r="O94" i="6"/>
  <c r="I128" i="6"/>
  <c r="O96" i="6"/>
  <c r="I130" i="6"/>
  <c r="O98" i="6"/>
  <c r="O100" i="6"/>
  <c r="I132" i="6"/>
  <c r="G157" i="6"/>
  <c r="U157" i="6" s="1"/>
  <c r="V157" i="6" s="1"/>
  <c r="U125" i="6"/>
  <c r="V125" i="6" s="1"/>
  <c r="O82" i="6"/>
  <c r="I114" i="6"/>
  <c r="I117" i="6"/>
  <c r="O85" i="6"/>
  <c r="I119" i="6"/>
  <c r="O87" i="6"/>
  <c r="I123" i="6"/>
  <c r="O91" i="6"/>
  <c r="I125" i="6"/>
  <c r="O93" i="6"/>
  <c r="I127" i="6"/>
  <c r="O95" i="6"/>
  <c r="I148" i="6"/>
  <c r="O148" i="6" s="1"/>
  <c r="O116" i="6"/>
  <c r="G203" i="14"/>
  <c r="H32" i="16"/>
  <c r="I188" i="14"/>
  <c r="F188" i="14"/>
  <c r="G192" i="14"/>
  <c r="J46" i="3"/>
  <c r="J184" i="7"/>
  <c r="M107" i="4"/>
  <c r="H38" i="12"/>
  <c r="H41" i="12" s="1"/>
  <c r="I16" i="8"/>
  <c r="I19" i="8" s="1"/>
  <c r="G52" i="2"/>
  <c r="H20" i="3" s="1"/>
  <c r="H194" i="14"/>
  <c r="G84" i="16"/>
  <c r="F194" i="14"/>
  <c r="H29" i="10"/>
  <c r="G37" i="13" s="1"/>
  <c r="G41" i="13" s="1"/>
  <c r="G194" i="14"/>
  <c r="AA16" i="20"/>
  <c r="L16" i="20"/>
  <c r="AB16" i="20" s="1"/>
  <c r="AM24" i="20"/>
  <c r="J24" i="20" s="1"/>
  <c r="M105" i="4"/>
  <c r="J97" i="2"/>
  <c r="K96" i="2"/>
  <c r="K97" i="2" s="1"/>
  <c r="I176" i="7"/>
  <c r="J179" i="7"/>
  <c r="K179" i="7"/>
  <c r="AP41" i="20"/>
  <c r="N41" i="20"/>
  <c r="U70" i="9"/>
  <c r="U113" i="9"/>
  <c r="U103" i="9"/>
  <c r="U117" i="9"/>
  <c r="U84" i="9"/>
  <c r="U76" i="9"/>
  <c r="U121" i="9"/>
  <c r="U60" i="9"/>
  <c r="U141" i="9"/>
  <c r="U54" i="9"/>
  <c r="U64" i="9"/>
  <c r="U93" i="9"/>
  <c r="U48" i="9"/>
  <c r="U30" i="9"/>
  <c r="U107" i="9"/>
  <c r="U32" i="9"/>
  <c r="U109" i="9"/>
  <c r="U133" i="9"/>
  <c r="U56" i="9"/>
  <c r="U52" i="9"/>
  <c r="AA8" i="9"/>
  <c r="U34" i="9"/>
  <c r="U44" i="9"/>
  <c r="U91" i="9"/>
  <c r="U86" i="9"/>
  <c r="U118" i="9"/>
  <c r="U110" i="9"/>
  <c r="U61" i="9"/>
  <c r="U53" i="9"/>
  <c r="U87" i="9"/>
  <c r="U128" i="9"/>
  <c r="U120" i="9"/>
  <c r="U88" i="9"/>
  <c r="U71" i="9"/>
  <c r="U15" i="9"/>
  <c r="U130" i="9"/>
  <c r="U106" i="9"/>
  <c r="U90" i="9"/>
  <c r="U73" i="9"/>
  <c r="U57" i="9"/>
  <c r="U33" i="9"/>
  <c r="U19" i="9"/>
  <c r="U132" i="9"/>
  <c r="U124" i="9"/>
  <c r="U116" i="9"/>
  <c r="U26" i="9"/>
  <c r="U127" i="9"/>
  <c r="U74" i="9"/>
  <c r="U38" i="9"/>
  <c r="U16" i="9"/>
  <c r="U46" i="9"/>
  <c r="U125" i="9"/>
  <c r="U89" i="9"/>
  <c r="U72" i="9"/>
  <c r="U50" i="9"/>
  <c r="U36" i="9"/>
  <c r="U115" i="9"/>
  <c r="U102" i="9"/>
  <c r="U77" i="9"/>
  <c r="U63" i="9"/>
  <c r="U55" i="9"/>
  <c r="U39" i="9"/>
  <c r="U31" i="9"/>
  <c r="U122" i="9"/>
  <c r="U114" i="9"/>
  <c r="U81" i="9"/>
  <c r="U27" i="9"/>
  <c r="U14" i="9"/>
  <c r="I38" i="10" s="1"/>
  <c r="U119" i="9"/>
  <c r="U123" i="9"/>
  <c r="U129" i="9"/>
  <c r="U135" i="9"/>
  <c r="U68" i="9"/>
  <c r="U97" i="9"/>
  <c r="U24" i="9"/>
  <c r="U94" i="9"/>
  <c r="U29" i="9"/>
  <c r="U96" i="9"/>
  <c r="U47" i="9"/>
  <c r="U23" i="9"/>
  <c r="U138" i="9"/>
  <c r="U98" i="9"/>
  <c r="U140" i="9"/>
  <c r="U83" i="9"/>
  <c r="U59" i="9"/>
  <c r="U137" i="9"/>
  <c r="U111" i="9"/>
  <c r="U28" i="9"/>
  <c r="U126" i="9"/>
  <c r="U45" i="9"/>
  <c r="U21" i="9"/>
  <c r="U136" i="9"/>
  <c r="U104" i="9"/>
  <c r="U49" i="9"/>
  <c r="U20" i="9"/>
  <c r="S97" i="9"/>
  <c r="S84" i="9"/>
  <c r="S16" i="9"/>
  <c r="S54" i="9"/>
  <c r="S76" i="9"/>
  <c r="S121" i="9"/>
  <c r="Y8" i="9"/>
  <c r="S52" i="9"/>
  <c r="S66" i="9"/>
  <c r="S70" i="9"/>
  <c r="S48" i="9"/>
  <c r="S82" i="9"/>
  <c r="S111" i="9"/>
  <c r="S58" i="9"/>
  <c r="S113" i="9"/>
  <c r="S30" i="9"/>
  <c r="S32" i="9"/>
  <c r="S72" i="9"/>
  <c r="S119" i="9"/>
  <c r="S91" i="9"/>
  <c r="S22" i="9"/>
  <c r="S125" i="9"/>
  <c r="S93" i="9"/>
  <c r="S40" i="9"/>
  <c r="S129" i="9"/>
  <c r="S126" i="9"/>
  <c r="S85" i="9"/>
  <c r="S17" i="9"/>
  <c r="S136" i="9"/>
  <c r="S112" i="9"/>
  <c r="S88" i="9"/>
  <c r="S79" i="9"/>
  <c r="S63" i="9"/>
  <c r="S47" i="9"/>
  <c r="S39" i="9"/>
  <c r="S31" i="9"/>
  <c r="S130" i="9"/>
  <c r="S98" i="9"/>
  <c r="S73" i="9"/>
  <c r="S65" i="9"/>
  <c r="S57" i="9"/>
  <c r="S49" i="9"/>
  <c r="S41" i="9"/>
  <c r="S25" i="9"/>
  <c r="S14" i="9"/>
  <c r="G38" i="10" s="1"/>
  <c r="I93" i="7" s="1"/>
  <c r="F59" i="14" s="1"/>
  <c r="F61" i="14" s="1"/>
  <c r="S140" i="9"/>
  <c r="S124" i="9"/>
  <c r="S108" i="9"/>
  <c r="S100" i="9"/>
  <c r="S92" i="9"/>
  <c r="S83" i="9"/>
  <c r="S75" i="9"/>
  <c r="S59" i="9"/>
  <c r="S43" i="9"/>
  <c r="S27" i="9"/>
  <c r="S123" i="9"/>
  <c r="S74" i="9"/>
  <c r="S68" i="9"/>
  <c r="S38" i="9"/>
  <c r="S44" i="9"/>
  <c r="S131" i="9"/>
  <c r="S26" i="9"/>
  <c r="S103" i="9"/>
  <c r="S141" i="9"/>
  <c r="S109" i="9"/>
  <c r="S24" i="9"/>
  <c r="S89" i="9"/>
  <c r="S94" i="9"/>
  <c r="S61" i="9"/>
  <c r="S45" i="9"/>
  <c r="S29" i="9"/>
  <c r="S21" i="9"/>
  <c r="S87" i="9"/>
  <c r="S96" i="9"/>
  <c r="S23" i="9"/>
  <c r="S138" i="9"/>
  <c r="S106" i="9"/>
  <c r="S51" i="9"/>
  <c r="S20" i="9"/>
  <c r="S127" i="9"/>
  <c r="S99" i="9"/>
  <c r="S115" i="9"/>
  <c r="S101" i="9"/>
  <c r="S64" i="9"/>
  <c r="S28" i="9"/>
  <c r="S80" i="9"/>
  <c r="S117" i="9"/>
  <c r="S137" i="9"/>
  <c r="S133" i="9"/>
  <c r="S107" i="9"/>
  <c r="S78" i="9"/>
  <c r="S110" i="9"/>
  <c r="S71" i="9"/>
  <c r="S114" i="9"/>
  <c r="S132" i="9"/>
  <c r="S116" i="9"/>
  <c r="S67" i="9"/>
  <c r="S69" i="9"/>
  <c r="S53" i="9"/>
  <c r="S37" i="9"/>
  <c r="S128" i="9"/>
  <c r="S120" i="9"/>
  <c r="S122" i="9"/>
  <c r="S19" i="9"/>
  <c r="AE14" i="20"/>
  <c r="AR14" i="20"/>
  <c r="P14" i="20"/>
  <c r="M254" i="5"/>
  <c r="S254" i="5"/>
  <c r="I26" i="11"/>
  <c r="J185" i="7"/>
  <c r="I185" i="7"/>
  <c r="J129" i="2"/>
  <c r="K125" i="2"/>
  <c r="H91" i="2"/>
  <c r="H88" i="2" s="1"/>
  <c r="H32" i="2" s="1"/>
  <c r="H31" i="2" s="1"/>
  <c r="I34" i="3" s="1"/>
  <c r="I37" i="3" s="1"/>
  <c r="I86" i="2"/>
  <c r="I57" i="2"/>
  <c r="I64" i="2" s="1"/>
  <c r="I82" i="2"/>
  <c r="I85" i="2"/>
  <c r="I83" i="2"/>
  <c r="I104" i="2"/>
  <c r="I101" i="2" s="1"/>
  <c r="J26" i="3"/>
  <c r="L53" i="7"/>
  <c r="L59" i="7" s="1"/>
  <c r="L176" i="7" s="1"/>
  <c r="K59" i="7"/>
  <c r="K87" i="3"/>
  <c r="K35" i="11"/>
  <c r="J38" i="11"/>
  <c r="H33" i="16"/>
  <c r="H15" i="14"/>
  <c r="F195" i="14"/>
  <c r="F32" i="16"/>
  <c r="H43" i="2"/>
  <c r="J8" i="7"/>
  <c r="G44" i="2"/>
  <c r="I9" i="7"/>
  <c r="X105" i="9"/>
  <c r="X103" i="9"/>
  <c r="X101" i="9"/>
  <c r="X57" i="9"/>
  <c r="X66" i="9"/>
  <c r="X111" i="9"/>
  <c r="X65" i="9"/>
  <c r="X110" i="9"/>
  <c r="X84" i="9"/>
  <c r="X33" i="9"/>
  <c r="X122" i="9"/>
  <c r="X98" i="9"/>
  <c r="X74" i="9"/>
  <c r="X112" i="9"/>
  <c r="X114" i="9"/>
  <c r="X20" i="9"/>
  <c r="X12" i="9" s="1"/>
  <c r="X126" i="9"/>
  <c r="X29" i="9"/>
  <c r="X94" i="9"/>
  <c r="X136" i="9"/>
  <c r="X16" i="9"/>
  <c r="X133" i="9"/>
  <c r="X92" i="9"/>
  <c r="X115" i="9"/>
  <c r="X59" i="9"/>
  <c r="X71" i="9"/>
  <c r="X35" i="9"/>
  <c r="X23" i="9"/>
  <c r="X64" i="9"/>
  <c r="X95" i="9"/>
  <c r="X42" i="9"/>
  <c r="X99" i="9"/>
  <c r="X113" i="9"/>
  <c r="Z35" i="9"/>
  <c r="Z65" i="9"/>
  <c r="Z42" i="9"/>
  <c r="Z110" i="9"/>
  <c r="Z88" i="9"/>
  <c r="Z24" i="9"/>
  <c r="Z111" i="9"/>
  <c r="Z136" i="9"/>
  <c r="Z118" i="9"/>
  <c r="Z28" i="9"/>
  <c r="Z112" i="9"/>
  <c r="Z103" i="9"/>
  <c r="Z67" i="9"/>
  <c r="Z132" i="9"/>
  <c r="Z100" i="9"/>
  <c r="Z77" i="9"/>
  <c r="Z96" i="9"/>
  <c r="G311" i="5"/>
  <c r="U311" i="5" s="1"/>
  <c r="V311" i="5" s="1"/>
  <c r="U244" i="5"/>
  <c r="V244" i="5" s="1"/>
  <c r="G163" i="6"/>
  <c r="U163" i="6" s="1"/>
  <c r="V163" i="6" s="1"/>
  <c r="U131" i="6"/>
  <c r="V131" i="6" s="1"/>
  <c r="S240" i="5"/>
  <c r="L307" i="5"/>
  <c r="S307" i="5" s="1"/>
  <c r="R15" i="9"/>
  <c r="R12" i="9" s="1"/>
  <c r="T15" i="9"/>
  <c r="T12" i="9" s="1"/>
  <c r="G82" i="16"/>
  <c r="G50" i="14"/>
  <c r="J27" i="3"/>
  <c r="I117" i="2"/>
  <c r="I114" i="2" s="1"/>
  <c r="I58" i="2"/>
  <c r="I65" i="2" s="1"/>
  <c r="H25" i="11"/>
  <c r="F31" i="16" s="1"/>
  <c r="I184" i="7"/>
  <c r="I19" i="12"/>
  <c r="J19" i="12" s="1"/>
  <c r="I23" i="13" s="1"/>
  <c r="H23" i="13"/>
  <c r="O19" i="20"/>
  <c r="AD19" i="20"/>
  <c r="AQ19" i="20"/>
  <c r="Z42" i="20"/>
  <c r="J42" i="20" s="1"/>
  <c r="L148" i="6"/>
  <c r="S148" i="6" s="1"/>
  <c r="S116" i="6"/>
  <c r="M148" i="6"/>
  <c r="M116" i="6"/>
  <c r="O105" i="4"/>
  <c r="P105" i="4" s="1"/>
  <c r="O83" i="4"/>
  <c r="P83" i="4" s="1"/>
  <c r="R83" i="4" s="1"/>
  <c r="T83" i="4" s="1"/>
  <c r="AM43" i="20"/>
  <c r="J43" i="20" s="1"/>
  <c r="V24" i="9"/>
  <c r="V102" i="9"/>
  <c r="V69" i="9"/>
  <c r="V61" i="9"/>
  <c r="V29" i="9"/>
  <c r="V21" i="9"/>
  <c r="V87" i="9"/>
  <c r="V128" i="9"/>
  <c r="V120" i="9"/>
  <c r="V112" i="9"/>
  <c r="V79" i="9"/>
  <c r="V47" i="9"/>
  <c r="V130" i="9"/>
  <c r="V114" i="9"/>
  <c r="V73" i="9"/>
  <c r="V140" i="9"/>
  <c r="V132" i="9"/>
  <c r="V124" i="9"/>
  <c r="V100" i="9"/>
  <c r="V20" i="9"/>
  <c r="V110" i="9"/>
  <c r="V17" i="9"/>
  <c r="V88" i="9"/>
  <c r="V55" i="9"/>
  <c r="V138" i="9"/>
  <c r="V81" i="9"/>
  <c r="V65" i="9"/>
  <c r="V116" i="9"/>
  <c r="V77" i="9"/>
  <c r="V136" i="9"/>
  <c r="V31" i="9"/>
  <c r="V122" i="9"/>
  <c r="V106" i="9"/>
  <c r="V98" i="9"/>
  <c r="V83" i="9"/>
  <c r="V75" i="9"/>
  <c r="V43" i="9"/>
  <c r="V84" i="9"/>
  <c r="V94" i="9"/>
  <c r="V53" i="9"/>
  <c r="V45" i="9"/>
  <c r="V63" i="9"/>
  <c r="V15" i="9"/>
  <c r="V49" i="9"/>
  <c r="V33" i="9"/>
  <c r="V19" i="9"/>
  <c r="V108" i="9"/>
  <c r="V92" i="9"/>
  <c r="V67" i="9"/>
  <c r="V51" i="9"/>
  <c r="V35" i="9"/>
  <c r="V22" i="9"/>
  <c r="V134" i="9"/>
  <c r="V126" i="9"/>
  <c r="V118" i="9"/>
  <c r="V85" i="9"/>
  <c r="V37" i="9"/>
  <c r="V104" i="9"/>
  <c r="V96" i="9"/>
  <c r="V39" i="9"/>
  <c r="V90" i="9"/>
  <c r="V57" i="9"/>
  <c r="V27" i="9"/>
  <c r="V71" i="9"/>
  <c r="V23" i="9"/>
  <c r="V18" i="9"/>
  <c r="V41" i="9"/>
  <c r="V25" i="9"/>
  <c r="V59" i="9"/>
  <c r="G73" i="16"/>
  <c r="P254" i="5"/>
  <c r="Q229" i="5"/>
  <c r="J324" i="5"/>
  <c r="Q225" i="5"/>
  <c r="G219" i="5"/>
  <c r="G286" i="5" s="1"/>
  <c r="U286" i="5" s="1"/>
  <c r="V286" i="5" s="1"/>
  <c r="R254" i="5"/>
  <c r="G288" i="5"/>
  <c r="U288" i="5" s="1"/>
  <c r="V288" i="5" s="1"/>
  <c r="E313" i="5"/>
  <c r="T246" i="5"/>
  <c r="I112" i="4"/>
  <c r="O112" i="4" s="1"/>
  <c r="O90" i="4"/>
  <c r="M267" i="5"/>
  <c r="I303" i="5"/>
  <c r="O303" i="5" s="1"/>
  <c r="H97" i="14"/>
  <c r="L34" i="20"/>
  <c r="AN34" i="20"/>
  <c r="AA34" i="20"/>
  <c r="AD32" i="20"/>
  <c r="AQ32" i="20"/>
  <c r="O32" i="20"/>
  <c r="L39" i="20"/>
  <c r="AN39" i="20"/>
  <c r="AA39" i="20"/>
  <c r="AO33" i="20"/>
  <c r="M33" i="20"/>
  <c r="AB33" i="20"/>
  <c r="AC36" i="20"/>
  <c r="AP36" i="20"/>
  <c r="N36" i="20"/>
  <c r="AP35" i="20"/>
  <c r="N35" i="20"/>
  <c r="AC35" i="20"/>
  <c r="AC38" i="20"/>
  <c r="AP38" i="20"/>
  <c r="N38" i="20"/>
  <c r="AA20" i="20"/>
  <c r="AA23" i="20" s="1"/>
  <c r="K23" i="20" s="1"/>
  <c r="AN20" i="20"/>
  <c r="AN24" i="20" s="1"/>
  <c r="K24" i="20" s="1"/>
  <c r="L20" i="20"/>
  <c r="M18" i="20"/>
  <c r="AO18" i="20"/>
  <c r="AB18" i="20"/>
  <c r="K25" i="20"/>
  <c r="Q17" i="20"/>
  <c r="AS17" i="20"/>
  <c r="AF17" i="20"/>
  <c r="AO21" i="20"/>
  <c r="M21" i="20"/>
  <c r="AB21" i="20"/>
  <c r="M330" i="5"/>
  <c r="U166" i="5"/>
  <c r="V166" i="5" s="1"/>
  <c r="G233" i="5"/>
  <c r="AA31" i="20"/>
  <c r="L31" i="20"/>
  <c r="K44" i="20"/>
  <c r="AN31" i="20"/>
  <c r="I20" i="12"/>
  <c r="H24" i="13" s="1"/>
  <c r="G24" i="13"/>
  <c r="AO16" i="20"/>
  <c r="M16" i="20"/>
  <c r="AF15" i="20"/>
  <c r="AS15" i="20"/>
  <c r="Q15" i="20"/>
  <c r="I195" i="14"/>
  <c r="I32" i="16"/>
  <c r="R40" i="20"/>
  <c r="AG40" i="20"/>
  <c r="P148" i="6"/>
  <c r="P147" i="6"/>
  <c r="T256" i="5"/>
  <c r="P256" i="5"/>
  <c r="H54" i="12"/>
  <c r="I47" i="12"/>
  <c r="G25" i="13"/>
  <c r="I21" i="12"/>
  <c r="H25" i="13" s="1"/>
  <c r="AO22" i="20"/>
  <c r="AB22" i="20"/>
  <c r="M22" i="20"/>
  <c r="U162" i="5"/>
  <c r="V162" i="5" s="1"/>
  <c r="G229" i="5"/>
  <c r="G241" i="5"/>
  <c r="U174" i="5"/>
  <c r="V174" i="5" s="1"/>
  <c r="U192" i="5"/>
  <c r="V192" i="5" s="1"/>
  <c r="G259" i="5"/>
  <c r="U90" i="6"/>
  <c r="V90" i="6" s="1"/>
  <c r="G122" i="6"/>
  <c r="U66" i="4"/>
  <c r="V66" i="4" s="1"/>
  <c r="G88" i="4"/>
  <c r="I25" i="3"/>
  <c r="I24" i="3"/>
  <c r="H56" i="2"/>
  <c r="H63" i="2" s="1"/>
  <c r="L113" i="3"/>
  <c r="L127" i="3" s="1"/>
  <c r="L156" i="3" s="1"/>
  <c r="K22" i="11" s="1"/>
  <c r="I29" i="16" s="1"/>
  <c r="H171" i="14"/>
  <c r="H72" i="14"/>
  <c r="H23" i="14"/>
  <c r="I44" i="16"/>
  <c r="K27" i="2"/>
  <c r="K35" i="3"/>
  <c r="K36" i="3"/>
  <c r="K21" i="3"/>
  <c r="J36" i="2"/>
  <c r="H172" i="14"/>
  <c r="H47" i="16"/>
  <c r="H75" i="14"/>
  <c r="K32" i="3"/>
  <c r="K33" i="3"/>
  <c r="H16" i="7"/>
  <c r="H18" i="7"/>
  <c r="G55" i="2"/>
  <c r="G62" i="2" s="1"/>
  <c r="H34" i="3"/>
  <c r="H37" i="3" s="1"/>
  <c r="Q81" i="6"/>
  <c r="R81" i="6" s="1"/>
  <c r="T81" i="6" s="1"/>
  <c r="Q85" i="6"/>
  <c r="Q89" i="6"/>
  <c r="Q93" i="6"/>
  <c r="Q97" i="6"/>
  <c r="Q99" i="6"/>
  <c r="Q84" i="6"/>
  <c r="Q88" i="6"/>
  <c r="Q92" i="6"/>
  <c r="Q96" i="6"/>
  <c r="Q83" i="6"/>
  <c r="Q87" i="6"/>
  <c r="Q91" i="6"/>
  <c r="Q95" i="6"/>
  <c r="Q82" i="6"/>
  <c r="Q86" i="6"/>
  <c r="Q90" i="6"/>
  <c r="Q94" i="6"/>
  <c r="Q98" i="6"/>
  <c r="Q100" i="6"/>
  <c r="Q221" i="5"/>
  <c r="Q259" i="5"/>
  <c r="Q234" i="5"/>
  <c r="Q250" i="5"/>
  <c r="Q266" i="5"/>
  <c r="Q241" i="5"/>
  <c r="Q257" i="5"/>
  <c r="Q273" i="5"/>
  <c r="Q244" i="5"/>
  <c r="Q260" i="5"/>
  <c r="Q272" i="5"/>
  <c r="Q222" i="5"/>
  <c r="Q230" i="5"/>
  <c r="Q255" i="5"/>
  <c r="Q271" i="5"/>
  <c r="Q246" i="5"/>
  <c r="Q262" i="5"/>
  <c r="Q237" i="5"/>
  <c r="Q253" i="5"/>
  <c r="Q269" i="5"/>
  <c r="Q240" i="5"/>
  <c r="Q256" i="5"/>
  <c r="Q243" i="5"/>
  <c r="Q220" i="5"/>
  <c r="Q228" i="5"/>
  <c r="Q231" i="5"/>
  <c r="Q251" i="5"/>
  <c r="Q267" i="5"/>
  <c r="Q242" i="5"/>
  <c r="Q258" i="5"/>
  <c r="Q249" i="5"/>
  <c r="Q265" i="5"/>
  <c r="Q236" i="5"/>
  <c r="Q252" i="5"/>
  <c r="Q268" i="5"/>
  <c r="Q239" i="5"/>
  <c r="Q226" i="5"/>
  <c r="Q247" i="5"/>
  <c r="Q263" i="5"/>
  <c r="Q238" i="5"/>
  <c r="Q254" i="5"/>
  <c r="Q270" i="5"/>
  <c r="Q245" i="5"/>
  <c r="Q261" i="5"/>
  <c r="Q248" i="5"/>
  <c r="Q264" i="5"/>
  <c r="Q235" i="5"/>
  <c r="Q224" i="5"/>
  <c r="Q232" i="5"/>
  <c r="Q108" i="4"/>
  <c r="Q112" i="4"/>
  <c r="Q107" i="4"/>
  <c r="Q111" i="4"/>
  <c r="Q106" i="4"/>
  <c r="Q110" i="4"/>
  <c r="Q114" i="4"/>
  <c r="Q105" i="4"/>
  <c r="Q109" i="4"/>
  <c r="Q113" i="4"/>
  <c r="Q40" i="4"/>
  <c r="Q43" i="4"/>
  <c r="Q46" i="4"/>
  <c r="Q39" i="4"/>
  <c r="Q42" i="4"/>
  <c r="Q38" i="4"/>
  <c r="Q45" i="4"/>
  <c r="Q41" i="4"/>
  <c r="Q44" i="4"/>
  <c r="Q47" i="4"/>
  <c r="Q115" i="6"/>
  <c r="Q119" i="6"/>
  <c r="Q120" i="6"/>
  <c r="Q132" i="6"/>
  <c r="Q124" i="6"/>
  <c r="Q116" i="6"/>
  <c r="Q130" i="6"/>
  <c r="Q131" i="6"/>
  <c r="Q126" i="6"/>
  <c r="Q125" i="6"/>
  <c r="Q289" i="5"/>
  <c r="Q290" i="5"/>
  <c r="Q315" i="5"/>
  <c r="Q338" i="5"/>
  <c r="Q324" i="5"/>
  <c r="Q286" i="5"/>
  <c r="Q322" i="5"/>
  <c r="Q308" i="5"/>
  <c r="Q298" i="5"/>
  <c r="Q306" i="5"/>
  <c r="Q329" i="5"/>
  <c r="Q294" i="5"/>
  <c r="Q331" i="5"/>
  <c r="Q313" i="5"/>
  <c r="Q86" i="5"/>
  <c r="Q89" i="5"/>
  <c r="Q93" i="5"/>
  <c r="Q101" i="5"/>
  <c r="Q117" i="5"/>
  <c r="Q133" i="5"/>
  <c r="Q104" i="5"/>
  <c r="Q120" i="5"/>
  <c r="Q136" i="5"/>
  <c r="Q99" i="5"/>
  <c r="Q115" i="5"/>
  <c r="Q131" i="5"/>
  <c r="Q135" i="5"/>
  <c r="Q126" i="5"/>
  <c r="Q134" i="5"/>
  <c r="Q85" i="5"/>
  <c r="Q92" i="5"/>
  <c r="Q95" i="5"/>
  <c r="Q98" i="5"/>
  <c r="Q113" i="5"/>
  <c r="Q129" i="5"/>
  <c r="Q100" i="5"/>
  <c r="Q116" i="5"/>
  <c r="Q132" i="5"/>
  <c r="Q111" i="5"/>
  <c r="Q127" i="5"/>
  <c r="Q106" i="5"/>
  <c r="Q114" i="5"/>
  <c r="Q84" i="5"/>
  <c r="R84" i="5" s="1"/>
  <c r="T84" i="5" s="1"/>
  <c r="Q88" i="5"/>
  <c r="Q91" i="5"/>
  <c r="Q94" i="5"/>
  <c r="Q97" i="5"/>
  <c r="Q109" i="5"/>
  <c r="Q125" i="5"/>
  <c r="Q112" i="5"/>
  <c r="Q128" i="5"/>
  <c r="Q107" i="5"/>
  <c r="Q123" i="5"/>
  <c r="Q122" i="5"/>
  <c r="Q130" i="5"/>
  <c r="Q102" i="5"/>
  <c r="Q87" i="5"/>
  <c r="Q90" i="5"/>
  <c r="Q96" i="5"/>
  <c r="Q105" i="5"/>
  <c r="Q121" i="5"/>
  <c r="Q137" i="5"/>
  <c r="Q108" i="5"/>
  <c r="Q124" i="5"/>
  <c r="Q103" i="5"/>
  <c r="Q119" i="5"/>
  <c r="Q138" i="5"/>
  <c r="Q110" i="5"/>
  <c r="Q118" i="5"/>
  <c r="Q62" i="4"/>
  <c r="Q66" i="4"/>
  <c r="Q70" i="4"/>
  <c r="Q61" i="4"/>
  <c r="Q65" i="4"/>
  <c r="Q69" i="4"/>
  <c r="Q64" i="4"/>
  <c r="Q68" i="4"/>
  <c r="Q63" i="4"/>
  <c r="Q67" i="4"/>
  <c r="Q152" i="6"/>
  <c r="Q158" i="6"/>
  <c r="Q149" i="6"/>
  <c r="Q147" i="6"/>
  <c r="Q164" i="6"/>
  <c r="Q148" i="6"/>
  <c r="Q154" i="6"/>
  <c r="Q145" i="6"/>
  <c r="Q161" i="6"/>
  <c r="Q159" i="6"/>
  <c r="Q160" i="6"/>
  <c r="Q150" i="6"/>
  <c r="Q163" i="6"/>
  <c r="Q157" i="6"/>
  <c r="Q155" i="6"/>
  <c r="Q156" i="6"/>
  <c r="Q146" i="6"/>
  <c r="Q162" i="6"/>
  <c r="Q153" i="6"/>
  <c r="Q151" i="6"/>
  <c r="Q155" i="5"/>
  <c r="Q159" i="5"/>
  <c r="Q163" i="5"/>
  <c r="Q171" i="5"/>
  <c r="Q187" i="5"/>
  <c r="Q203" i="5"/>
  <c r="Q178" i="5"/>
  <c r="Q194" i="5"/>
  <c r="Q181" i="5"/>
  <c r="Q197" i="5"/>
  <c r="Q180" i="5"/>
  <c r="Q196" i="5"/>
  <c r="Q154" i="5"/>
  <c r="Q158" i="5"/>
  <c r="Q162" i="5"/>
  <c r="Q166" i="5"/>
  <c r="Q167" i="5"/>
  <c r="Q183" i="5"/>
  <c r="Q199" i="5"/>
  <c r="Q174" i="5"/>
  <c r="Q190" i="5"/>
  <c r="Q206" i="5"/>
  <c r="Q177" i="5"/>
  <c r="Q193" i="5"/>
  <c r="Q176" i="5"/>
  <c r="Q192" i="5"/>
  <c r="Q153" i="5"/>
  <c r="Q157" i="5"/>
  <c r="Q161" i="5"/>
  <c r="Q165" i="5"/>
  <c r="Q179" i="5"/>
  <c r="Q195" i="5"/>
  <c r="Q170" i="5"/>
  <c r="Q186" i="5"/>
  <c r="Q202" i="5"/>
  <c r="Q173" i="5"/>
  <c r="Q189" i="5"/>
  <c r="Q205" i="5"/>
  <c r="Q172" i="5"/>
  <c r="Q188" i="5"/>
  <c r="Q152" i="5"/>
  <c r="Q156" i="5"/>
  <c r="Q160" i="5"/>
  <c r="Q164" i="5"/>
  <c r="Q204" i="5"/>
  <c r="Q175" i="5"/>
  <c r="Q191" i="5"/>
  <c r="Q182" i="5"/>
  <c r="Q198" i="5"/>
  <c r="Q169" i="5"/>
  <c r="Q185" i="5"/>
  <c r="Q201" i="5"/>
  <c r="Q168" i="5"/>
  <c r="Q184" i="5"/>
  <c r="Q200" i="5"/>
  <c r="Q85" i="4"/>
  <c r="Q88" i="4"/>
  <c r="Q89" i="4"/>
  <c r="Q90" i="4"/>
  <c r="Q91" i="4"/>
  <c r="Q87" i="4"/>
  <c r="R338" i="5"/>
  <c r="P338" i="5"/>
  <c r="T315" i="5"/>
  <c r="J315" i="5"/>
  <c r="P315" i="5"/>
  <c r="U237" i="5"/>
  <c r="V237" i="5" s="1"/>
  <c r="G304" i="5"/>
  <c r="U304" i="5" s="1"/>
  <c r="V304" i="5" s="1"/>
  <c r="M221" i="5"/>
  <c r="M263" i="5"/>
  <c r="S319" i="5"/>
  <c r="M319" i="5"/>
  <c r="AA329" i="5"/>
  <c r="AB329" i="5" s="1"/>
  <c r="AC329" i="5"/>
  <c r="AD329" i="5" s="1"/>
  <c r="AE329" i="5" s="1"/>
  <c r="S330" i="5"/>
  <c r="U169" i="5"/>
  <c r="V169" i="5" s="1"/>
  <c r="G234" i="5"/>
  <c r="G301" i="5" s="1"/>
  <c r="U301" i="5" s="1"/>
  <c r="V301" i="5" s="1"/>
  <c r="I329" i="5"/>
  <c r="O329" i="5" s="1"/>
  <c r="O262" i="5"/>
  <c r="P301" i="5"/>
  <c r="J301" i="5"/>
  <c r="M315" i="5"/>
  <c r="H243" i="5"/>
  <c r="AA176" i="5"/>
  <c r="AB176" i="5" s="1"/>
  <c r="AC176" i="5"/>
  <c r="AD176" i="5" s="1"/>
  <c r="AE176" i="5" s="1"/>
  <c r="S250" i="5"/>
  <c r="L317" i="5"/>
  <c r="S317" i="5" s="1"/>
  <c r="P195" i="5"/>
  <c r="J195" i="5"/>
  <c r="R195" i="5"/>
  <c r="T195" i="5"/>
  <c r="E262" i="5"/>
  <c r="R246" i="5"/>
  <c r="J246" i="5"/>
  <c r="P270" i="5"/>
  <c r="T270" i="5"/>
  <c r="R270" i="5"/>
  <c r="E337" i="5"/>
  <c r="J270" i="5"/>
  <c r="E321" i="5"/>
  <c r="J254" i="5"/>
  <c r="U222" i="5"/>
  <c r="V222" i="5" s="1"/>
  <c r="G289" i="5"/>
  <c r="U289" i="5" s="1"/>
  <c r="V289" i="5" s="1"/>
  <c r="I340" i="5"/>
  <c r="O340" i="5" s="1"/>
  <c r="O273" i="5"/>
  <c r="G238" i="5"/>
  <c r="U171" i="5"/>
  <c r="V171" i="5" s="1"/>
  <c r="S248" i="5"/>
  <c r="M248" i="5"/>
  <c r="L253" i="5"/>
  <c r="M186" i="5"/>
  <c r="S186" i="5"/>
  <c r="AA316" i="5"/>
  <c r="AB316" i="5" s="1"/>
  <c r="AC316" i="5"/>
  <c r="AD316" i="5" s="1"/>
  <c r="AE316" i="5" s="1"/>
  <c r="O237" i="5"/>
  <c r="I304" i="5"/>
  <c r="O304" i="5" s="1"/>
  <c r="R319" i="5"/>
  <c r="P319" i="5"/>
  <c r="J319" i="5"/>
  <c r="T319" i="5"/>
  <c r="AE264" i="5"/>
  <c r="K331" i="5"/>
  <c r="M331" i="5" s="1"/>
  <c r="S176" i="5"/>
  <c r="L243" i="5"/>
  <c r="M243" i="5" s="1"/>
  <c r="AC184" i="5"/>
  <c r="AD184" i="5" s="1"/>
  <c r="AE184" i="5" s="1"/>
  <c r="AA184" i="5"/>
  <c r="AB184" i="5" s="1"/>
  <c r="H251" i="5"/>
  <c r="H259" i="5"/>
  <c r="AA192" i="5"/>
  <c r="AB192" i="5" s="1"/>
  <c r="U179" i="5"/>
  <c r="V179" i="5" s="1"/>
  <c r="G246" i="5"/>
  <c r="H315" i="5"/>
  <c r="AC248" i="5"/>
  <c r="AD248" i="5" s="1"/>
  <c r="AE248" i="5" s="1"/>
  <c r="AA248" i="5"/>
  <c r="AB248" i="5" s="1"/>
  <c r="S331" i="5"/>
  <c r="I265" i="5"/>
  <c r="O198" i="5"/>
  <c r="U232" i="5"/>
  <c r="V232" i="5" s="1"/>
  <c r="G299" i="5"/>
  <c r="U299" i="5" s="1"/>
  <c r="V299" i="5" s="1"/>
  <c r="K303" i="5"/>
  <c r="M303" i="5" s="1"/>
  <c r="AE236" i="5"/>
  <c r="H263" i="5"/>
  <c r="AC196" i="5"/>
  <c r="AD196" i="5" s="1"/>
  <c r="AE196" i="5" s="1"/>
  <c r="AA196" i="5"/>
  <c r="AB196" i="5" s="1"/>
  <c r="AC337" i="5"/>
  <c r="AD337" i="5" s="1"/>
  <c r="AA337" i="5"/>
  <c r="AB337" i="5" s="1"/>
  <c r="S302" i="5"/>
  <c r="M302" i="5"/>
  <c r="M236" i="5"/>
  <c r="T297" i="5"/>
  <c r="J263" i="5"/>
  <c r="P263" i="5"/>
  <c r="E330" i="5"/>
  <c r="T263" i="5"/>
  <c r="R263" i="5"/>
  <c r="J244" i="5"/>
  <c r="P244" i="5"/>
  <c r="E311" i="5"/>
  <c r="T244" i="5"/>
  <c r="R244" i="5"/>
  <c r="I312" i="5"/>
  <c r="O312" i="5" s="1"/>
  <c r="O245" i="5"/>
  <c r="M321" i="5"/>
  <c r="P313" i="5"/>
  <c r="R313" i="5"/>
  <c r="J313" i="5"/>
  <c r="T313" i="5"/>
  <c r="AC303" i="5"/>
  <c r="AD303" i="5" s="1"/>
  <c r="AE303" i="5" s="1"/>
  <c r="AA303" i="5"/>
  <c r="AB303" i="5" s="1"/>
  <c r="U119" i="6"/>
  <c r="V119" i="6" s="1"/>
  <c r="G151" i="6"/>
  <c r="U151" i="6" s="1"/>
  <c r="V151" i="6" s="1"/>
  <c r="G339" i="5"/>
  <c r="U339" i="5" s="1"/>
  <c r="V339" i="5" s="1"/>
  <c r="U272" i="5"/>
  <c r="V272" i="5" s="1"/>
  <c r="AA338" i="5"/>
  <c r="AB338" i="5" s="1"/>
  <c r="AC338" i="5"/>
  <c r="AD338" i="5" s="1"/>
  <c r="U266" i="5"/>
  <c r="V266" i="5" s="1"/>
  <c r="G333" i="5"/>
  <c r="U333" i="5" s="1"/>
  <c r="V333" i="5" s="1"/>
  <c r="K274" i="5"/>
  <c r="AE241" i="5"/>
  <c r="G202" i="14"/>
  <c r="F168" i="14" s="1"/>
  <c r="U195" i="5"/>
  <c r="V195" i="5" s="1"/>
  <c r="G262" i="5"/>
  <c r="U86" i="4"/>
  <c r="V86" i="4" s="1"/>
  <c r="G108" i="4"/>
  <c r="U108" i="4" s="1"/>
  <c r="V108" i="4" s="1"/>
  <c r="AC331" i="5"/>
  <c r="AD331" i="5" s="1"/>
  <c r="AA331" i="5"/>
  <c r="AB331" i="5" s="1"/>
  <c r="F26" i="10"/>
  <c r="F29" i="10" s="1"/>
  <c r="U236" i="5"/>
  <c r="V236" i="5" s="1"/>
  <c r="G303" i="5"/>
  <c r="U303" i="5" s="1"/>
  <c r="V303" i="5" s="1"/>
  <c r="G240" i="5"/>
  <c r="U173" i="5"/>
  <c r="V173" i="5" s="1"/>
  <c r="G115" i="6"/>
  <c r="U83" i="6"/>
  <c r="V83" i="6" s="1"/>
  <c r="U219" i="5"/>
  <c r="V219" i="5" s="1"/>
  <c r="H79" i="14"/>
  <c r="H82" i="14" s="1"/>
  <c r="J159" i="7"/>
  <c r="G148" i="14" s="1"/>
  <c r="G20" i="13"/>
  <c r="M172" i="5"/>
  <c r="I14" i="3"/>
  <c r="H14" i="3" s="1"/>
  <c r="F8" i="14"/>
  <c r="F8" i="12"/>
  <c r="J20" i="2"/>
  <c r="J77" i="2" s="1"/>
  <c r="K9" i="3"/>
  <c r="I8" i="11"/>
  <c r="F9" i="13"/>
  <c r="U231" i="5"/>
  <c r="V231" i="5" s="1"/>
  <c r="G298" i="5"/>
  <c r="U298" i="5" s="1"/>
  <c r="V298" i="5" s="1"/>
  <c r="I308" i="5"/>
  <c r="O308" i="5" s="1"/>
  <c r="O241" i="5"/>
  <c r="AA304" i="5"/>
  <c r="AB304" i="5" s="1"/>
  <c r="AC304" i="5"/>
  <c r="AD304" i="5" s="1"/>
  <c r="AE304" i="5" s="1"/>
  <c r="O243" i="5"/>
  <c r="I310" i="5"/>
  <c r="O310" i="5" s="1"/>
  <c r="L312" i="5"/>
  <c r="S312" i="5" s="1"/>
  <c r="S245" i="5"/>
  <c r="AA266" i="5"/>
  <c r="AB266" i="5" s="1"/>
  <c r="AC266" i="5"/>
  <c r="AD266" i="5" s="1"/>
  <c r="AE266" i="5" s="1"/>
  <c r="H333" i="5"/>
  <c r="I85" i="16"/>
  <c r="J85" i="4"/>
  <c r="O233" i="5"/>
  <c r="AA327" i="5"/>
  <c r="AB327" i="5" s="1"/>
  <c r="AC327" i="5"/>
  <c r="AD327" i="5" s="1"/>
  <c r="AE327" i="5" s="1"/>
  <c r="T265" i="5"/>
  <c r="R265" i="5"/>
  <c r="J265" i="5"/>
  <c r="P265" i="5"/>
  <c r="E332" i="5"/>
  <c r="J235" i="5"/>
  <c r="P235" i="5"/>
  <c r="E302" i="5"/>
  <c r="T235" i="5"/>
  <c r="R235" i="5"/>
  <c r="O300" i="5"/>
  <c r="I33" i="2"/>
  <c r="J33" i="2" s="1"/>
  <c r="AA269" i="5"/>
  <c r="AB269" i="5" s="1"/>
  <c r="AC269" i="5"/>
  <c r="AD269" i="5" s="1"/>
  <c r="AE269" i="5" s="1"/>
  <c r="H336" i="5"/>
  <c r="K326" i="5"/>
  <c r="M259" i="5"/>
  <c r="U203" i="5"/>
  <c r="V203" i="5" s="1"/>
  <c r="G270" i="5"/>
  <c r="U265" i="5"/>
  <c r="V265" i="5" s="1"/>
  <c r="G332" i="5"/>
  <c r="U332" i="5" s="1"/>
  <c r="V332" i="5" s="1"/>
  <c r="U100" i="6"/>
  <c r="V100" i="6" s="1"/>
  <c r="G132" i="6"/>
  <c r="AA235" i="5"/>
  <c r="AB235" i="5" s="1"/>
  <c r="H302" i="5"/>
  <c r="AC235" i="5"/>
  <c r="AD235" i="5" s="1"/>
  <c r="AE235" i="5" s="1"/>
  <c r="S335" i="5"/>
  <c r="M335" i="5"/>
  <c r="M68" i="4"/>
  <c r="L90" i="4"/>
  <c r="I161" i="6"/>
  <c r="O161" i="6" s="1"/>
  <c r="S129" i="6"/>
  <c r="U242" i="5"/>
  <c r="V242" i="5" s="1"/>
  <c r="G309" i="5"/>
  <c r="U309" i="5" s="1"/>
  <c r="V309" i="5" s="1"/>
  <c r="M48" i="4"/>
  <c r="S223" i="5"/>
  <c r="U71" i="4"/>
  <c r="AE267" i="5"/>
  <c r="M139" i="5"/>
  <c r="R269" i="5"/>
  <c r="P269" i="5"/>
  <c r="J269" i="5"/>
  <c r="T269" i="5"/>
  <c r="E336" i="5"/>
  <c r="AA244" i="5"/>
  <c r="AB244" i="5" s="1"/>
  <c r="AC244" i="5"/>
  <c r="AD244" i="5" s="1"/>
  <c r="AE244" i="5" s="1"/>
  <c r="H311" i="5"/>
  <c r="U258" i="5"/>
  <c r="V258" i="5" s="1"/>
  <c r="G325" i="5"/>
  <c r="U325" i="5" s="1"/>
  <c r="V325" i="5" s="1"/>
  <c r="T267" i="5"/>
  <c r="R267" i="5"/>
  <c r="J267" i="5"/>
  <c r="P267" i="5"/>
  <c r="E334" i="5"/>
  <c r="M122" i="6"/>
  <c r="L154" i="6"/>
  <c r="M89" i="4"/>
  <c r="L93" i="4"/>
  <c r="L111" i="4"/>
  <c r="S111" i="4" s="1"/>
  <c r="F40" i="10"/>
  <c r="F50" i="10" s="1"/>
  <c r="G24" i="11" s="1"/>
  <c r="G27" i="11" s="1"/>
  <c r="G29" i="11" s="1"/>
  <c r="G42" i="11" s="1"/>
  <c r="H92" i="7"/>
  <c r="H96" i="7" s="1"/>
  <c r="H159" i="7" s="1"/>
  <c r="J318" i="5"/>
  <c r="T318" i="5"/>
  <c r="P318" i="5"/>
  <c r="R318" i="5"/>
  <c r="U254" i="5"/>
  <c r="V254" i="5" s="1"/>
  <c r="G321" i="5"/>
  <c r="U321" i="5" s="1"/>
  <c r="V321" i="5" s="1"/>
  <c r="M316" i="5"/>
  <c r="S316" i="5"/>
  <c r="S262" i="5"/>
  <c r="M262" i="5"/>
  <c r="L329" i="5"/>
  <c r="P258" i="5"/>
  <c r="R258" i="5"/>
  <c r="T258" i="5"/>
  <c r="E325" i="5"/>
  <c r="J258" i="5"/>
  <c r="O242" i="5"/>
  <c r="I309" i="5"/>
  <c r="O309" i="5" s="1"/>
  <c r="R256" i="5"/>
  <c r="E323" i="5"/>
  <c r="G161" i="6"/>
  <c r="U161" i="6" s="1"/>
  <c r="V161" i="6" s="1"/>
  <c r="U129" i="6"/>
  <c r="V129" i="6" s="1"/>
  <c r="S251" i="5"/>
  <c r="M251" i="5"/>
  <c r="L318" i="5"/>
  <c r="I339" i="5"/>
  <c r="O339" i="5" s="1"/>
  <c r="O272" i="5"/>
  <c r="U89" i="4"/>
  <c r="G111" i="4"/>
  <c r="U111" i="4" s="1"/>
  <c r="P242" i="5"/>
  <c r="R242" i="5"/>
  <c r="T242" i="5"/>
  <c r="J242" i="5"/>
  <c r="E309" i="5"/>
  <c r="G335" i="5"/>
  <c r="U335" i="5" s="1"/>
  <c r="V335" i="5" s="1"/>
  <c r="U268" i="5"/>
  <c r="V268" i="5" s="1"/>
  <c r="M260" i="5"/>
  <c r="L327" i="5"/>
  <c r="S260" i="5"/>
  <c r="L304" i="5"/>
  <c r="S304" i="5" s="1"/>
  <c r="S237" i="5"/>
  <c r="M317" i="5"/>
  <c r="H289" i="5"/>
  <c r="AA289" i="5" s="1"/>
  <c r="AB289" i="5" s="1"/>
  <c r="AC289" i="5" s="1"/>
  <c r="AD289" i="5" s="1"/>
  <c r="AE289" i="5" s="1"/>
  <c r="AA222" i="5"/>
  <c r="AB222" i="5" s="1"/>
  <c r="AC222" i="5" s="1"/>
  <c r="AD222" i="5" s="1"/>
  <c r="AE222" i="5" s="1"/>
  <c r="R304" i="5"/>
  <c r="J304" i="5"/>
  <c r="T304" i="5"/>
  <c r="P304" i="5"/>
  <c r="R239" i="5"/>
  <c r="T239" i="5"/>
  <c r="E306" i="5"/>
  <c r="J239" i="5"/>
  <c r="P239" i="5"/>
  <c r="I153" i="6"/>
  <c r="O153" i="6" s="1"/>
  <c r="K333" i="5"/>
  <c r="AA245" i="5"/>
  <c r="AB245" i="5" s="1"/>
  <c r="AC245" i="5"/>
  <c r="AD245" i="5" s="1"/>
  <c r="AE245" i="5" s="1"/>
  <c r="H312" i="5"/>
  <c r="O244" i="5"/>
  <c r="I311" i="5"/>
  <c r="O311" i="5" s="1"/>
  <c r="E312" i="5"/>
  <c r="P245" i="5"/>
  <c r="T245" i="5"/>
  <c r="J245" i="5"/>
  <c r="R245" i="5"/>
  <c r="O248" i="5"/>
  <c r="I315" i="5"/>
  <c r="O315" i="5" s="1"/>
  <c r="S334" i="5"/>
  <c r="M334" i="5"/>
  <c r="L158" i="6"/>
  <c r="M158" i="6" s="1"/>
  <c r="M126" i="6"/>
  <c r="I313" i="5"/>
  <c r="O313" i="5" s="1"/>
  <c r="O246" i="5"/>
  <c r="U88" i="6"/>
  <c r="V88" i="6" s="1"/>
  <c r="G120" i="6"/>
  <c r="G83" i="16"/>
  <c r="G56" i="14"/>
  <c r="L328" i="5"/>
  <c r="S261" i="5"/>
  <c r="M261" i="5"/>
  <c r="O254" i="5"/>
  <c r="I321" i="5"/>
  <c r="O321" i="5" s="1"/>
  <c r="S115" i="6"/>
  <c r="M115" i="6"/>
  <c r="L147" i="6"/>
  <c r="S132" i="6"/>
  <c r="L164" i="6"/>
  <c r="M132" i="6"/>
  <c r="K324" i="5"/>
  <c r="M324" i="5" s="1"/>
  <c r="M257" i="5"/>
  <c r="R339" i="5"/>
  <c r="T339" i="5"/>
  <c r="P339" i="5"/>
  <c r="J339" i="5"/>
  <c r="M238" i="5"/>
  <c r="L305" i="5"/>
  <c r="S238" i="5"/>
  <c r="O68" i="6"/>
  <c r="J233" i="5"/>
  <c r="M68" i="6"/>
  <c r="J259" i="5"/>
  <c r="R259" i="5"/>
  <c r="P259" i="5"/>
  <c r="E326" i="5"/>
  <c r="T259" i="5"/>
  <c r="K310" i="5"/>
  <c r="AC254" i="5"/>
  <c r="AD254" i="5" s="1"/>
  <c r="AE254" i="5" s="1"/>
  <c r="AA254" i="5"/>
  <c r="AB254" i="5" s="1"/>
  <c r="H321" i="5"/>
  <c r="I301" i="5"/>
  <c r="O301" i="5" s="1"/>
  <c r="O234" i="5"/>
  <c r="AC239" i="5"/>
  <c r="AD239" i="5" s="1"/>
  <c r="AE239" i="5" s="1"/>
  <c r="H306" i="5"/>
  <c r="AA239" i="5"/>
  <c r="AB239" i="5" s="1"/>
  <c r="AC257" i="5"/>
  <c r="AD257" i="5" s="1"/>
  <c r="AE257" i="5" s="1"/>
  <c r="H324" i="5"/>
  <c r="AA257" i="5"/>
  <c r="AB257" i="5" s="1"/>
  <c r="I322" i="5"/>
  <c r="O322" i="5" s="1"/>
  <c r="O255" i="5"/>
  <c r="M128" i="6"/>
  <c r="S128" i="6"/>
  <c r="L160" i="6"/>
  <c r="M246" i="5"/>
  <c r="L313" i="5"/>
  <c r="S246" i="5"/>
  <c r="K308" i="5"/>
  <c r="M241" i="5"/>
  <c r="AA252" i="5"/>
  <c r="AB252" i="5" s="1"/>
  <c r="H319" i="5"/>
  <c r="AC252" i="5"/>
  <c r="AD252" i="5" s="1"/>
  <c r="AE252" i="5" s="1"/>
  <c r="S244" i="5"/>
  <c r="L311" i="5"/>
  <c r="M244" i="5"/>
  <c r="K307" i="5"/>
  <c r="M240" i="5"/>
  <c r="I324" i="5"/>
  <c r="O324" i="5" s="1"/>
  <c r="O257" i="5"/>
  <c r="AB14" i="9"/>
  <c r="J27" i="10" s="1"/>
  <c r="AB61" i="9"/>
  <c r="AB21" i="9"/>
  <c r="AB134" i="9"/>
  <c r="AB98" i="9"/>
  <c r="AB68" i="9"/>
  <c r="AB19" i="9"/>
  <c r="AB112" i="9"/>
  <c r="AB137" i="9"/>
  <c r="AB130" i="9"/>
  <c r="AB87" i="9"/>
  <c r="AB70" i="9"/>
  <c r="AB73" i="9"/>
  <c r="AB17" i="9"/>
  <c r="AB15" i="9"/>
  <c r="AB120" i="9"/>
  <c r="AB55" i="9"/>
  <c r="AB121" i="9"/>
  <c r="AB138" i="9"/>
  <c r="AB20" i="9"/>
  <c r="AB114" i="9"/>
  <c r="AB66" i="9"/>
  <c r="AB135" i="9"/>
  <c r="AB132" i="9"/>
  <c r="AB79" i="9"/>
  <c r="AB35" i="9"/>
  <c r="AB107" i="9"/>
  <c r="AB28" i="9"/>
  <c r="AB84" i="9"/>
  <c r="AB119" i="9"/>
  <c r="AB111" i="9"/>
  <c r="AB60" i="9"/>
  <c r="AB78" i="9"/>
  <c r="AB69" i="9"/>
  <c r="AB90" i="9"/>
  <c r="AB108" i="9"/>
  <c r="AB141" i="9"/>
  <c r="AB81" i="9"/>
  <c r="AB48" i="9"/>
  <c r="AB133" i="9"/>
  <c r="AB62" i="9"/>
  <c r="AB85" i="9"/>
  <c r="AB113" i="9"/>
  <c r="AB42" i="9"/>
  <c r="AB127" i="9"/>
  <c r="AB23" i="9"/>
  <c r="AB50" i="9"/>
  <c r="AB59" i="9"/>
  <c r="AB106" i="9"/>
  <c r="AB92" i="9"/>
  <c r="AB136" i="9"/>
  <c r="AB43" i="9"/>
  <c r="AB126" i="9"/>
  <c r="AB64" i="9"/>
  <c r="AB33" i="9"/>
  <c r="AB77" i="9"/>
  <c r="AB74" i="9"/>
  <c r="AB31" i="9"/>
  <c r="AB40" i="9"/>
  <c r="AB110" i="9"/>
  <c r="AB51" i="9"/>
  <c r="AB124" i="9"/>
  <c r="AB123" i="9"/>
  <c r="AB75" i="9"/>
  <c r="AB117" i="9"/>
  <c r="AB82" i="9"/>
  <c r="AB131" i="9"/>
  <c r="AB25" i="9"/>
  <c r="AB105" i="9"/>
  <c r="AB22" i="9"/>
  <c r="AB36" i="9"/>
  <c r="AB122" i="9"/>
  <c r="AB97" i="9"/>
  <c r="AB47" i="9"/>
  <c r="AB101" i="9"/>
  <c r="AB24" i="9"/>
  <c r="AB72" i="9"/>
  <c r="AB67" i="9"/>
  <c r="AB18" i="9"/>
  <c r="AB125" i="9"/>
  <c r="AB86" i="9"/>
  <c r="AB58" i="9"/>
  <c r="AB29" i="9"/>
  <c r="AB63" i="9"/>
  <c r="AB44" i="9"/>
  <c r="AB115" i="9"/>
  <c r="AB103" i="9"/>
  <c r="AB32" i="9"/>
  <c r="AB65" i="9"/>
  <c r="AB118" i="9"/>
  <c r="AB16" i="9"/>
  <c r="AB53" i="9"/>
  <c r="AB52" i="9"/>
  <c r="AB49" i="9"/>
  <c r="AB83" i="9"/>
  <c r="AB34" i="9"/>
  <c r="AB37" i="9"/>
  <c r="AB56" i="9"/>
  <c r="AB76" i="9"/>
  <c r="AB71" i="9"/>
  <c r="AB91" i="9"/>
  <c r="AB30" i="9"/>
  <c r="AB139" i="9"/>
  <c r="AB45" i="9"/>
  <c r="AB88" i="9"/>
  <c r="AB96" i="9"/>
  <c r="AB102" i="9"/>
  <c r="AB89" i="9"/>
  <c r="AB54" i="9"/>
  <c r="AB46" i="9"/>
  <c r="AB140" i="9"/>
  <c r="AB26" i="9"/>
  <c r="AB27" i="9"/>
  <c r="AB94" i="9"/>
  <c r="AB109" i="9"/>
  <c r="AB57" i="9"/>
  <c r="AB99" i="9"/>
  <c r="AB41" i="9"/>
  <c r="AB128" i="9"/>
  <c r="AB93" i="9"/>
  <c r="AB38" i="9"/>
  <c r="AB95" i="9"/>
  <c r="AB116" i="9"/>
  <c r="AB80" i="9"/>
  <c r="AB100" i="9"/>
  <c r="AB104" i="9"/>
  <c r="AB39" i="9"/>
  <c r="AB129" i="9"/>
  <c r="J236" i="5"/>
  <c r="P236" i="5"/>
  <c r="R236" i="5"/>
  <c r="T236" i="5"/>
  <c r="E303" i="5"/>
  <c r="K340" i="5"/>
  <c r="M340" i="5" s="1"/>
  <c r="M273" i="5"/>
  <c r="AC240" i="5"/>
  <c r="AD240" i="5" s="1"/>
  <c r="AE240" i="5" s="1"/>
  <c r="H307" i="5"/>
  <c r="AA240" i="5"/>
  <c r="AB240" i="5" s="1"/>
  <c r="AC258" i="5"/>
  <c r="AD258" i="5" s="1"/>
  <c r="AE258" i="5" s="1"/>
  <c r="AA258" i="5"/>
  <c r="AB258" i="5" s="1"/>
  <c r="H325" i="5"/>
  <c r="I333" i="5"/>
  <c r="O333" i="5" s="1"/>
  <c r="O266" i="5"/>
  <c r="K309" i="5"/>
  <c r="M242" i="5"/>
  <c r="K339" i="5"/>
  <c r="M272" i="5"/>
  <c r="S303" i="5"/>
  <c r="R238" i="5"/>
  <c r="J238" i="5"/>
  <c r="E305" i="5"/>
  <c r="T238" i="5"/>
  <c r="P238" i="5"/>
  <c r="E331" i="5"/>
  <c r="T264" i="5"/>
  <c r="R264" i="5"/>
  <c r="P264" i="5"/>
  <c r="J264" i="5"/>
  <c r="L333" i="5"/>
  <c r="S266" i="5"/>
  <c r="M266" i="5"/>
  <c r="AA234" i="5"/>
  <c r="AB234" i="5" s="1"/>
  <c r="H301" i="5"/>
  <c r="AC234" i="5"/>
  <c r="AD234" i="5" s="1"/>
  <c r="AE234" i="5" s="1"/>
  <c r="T266" i="5"/>
  <c r="J266" i="5"/>
  <c r="R266" i="5"/>
  <c r="P266" i="5"/>
  <c r="E333" i="5"/>
  <c r="K337" i="5"/>
  <c r="M270" i="5"/>
  <c r="AC273" i="5"/>
  <c r="AD273" i="5" s="1"/>
  <c r="AE273" i="5" s="1"/>
  <c r="H340" i="5"/>
  <c r="AA273" i="5"/>
  <c r="AB273" i="5" s="1"/>
  <c r="G306" i="5"/>
  <c r="U306" i="5" s="1"/>
  <c r="V306" i="5" s="1"/>
  <c r="U239" i="5"/>
  <c r="V239" i="5" s="1"/>
  <c r="I320" i="5"/>
  <c r="O320" i="5" s="1"/>
  <c r="O253" i="5"/>
  <c r="J14" i="3"/>
  <c r="J17" i="3" s="1"/>
  <c r="AE242" i="5"/>
  <c r="AE270" i="5"/>
  <c r="J93" i="6"/>
  <c r="E125" i="6"/>
  <c r="J37" i="10"/>
  <c r="K325" i="5"/>
  <c r="M325" i="5" s="1"/>
  <c r="M258" i="5"/>
  <c r="P327" i="5"/>
  <c r="T327" i="5"/>
  <c r="J327" i="5"/>
  <c r="R327" i="5"/>
  <c r="AC253" i="5"/>
  <c r="AD253" i="5" s="1"/>
  <c r="AE253" i="5" s="1"/>
  <c r="AA253" i="5"/>
  <c r="AB253" i="5" s="1"/>
  <c r="H320" i="5"/>
  <c r="O259" i="5"/>
  <c r="I326" i="5"/>
  <c r="O326" i="5" s="1"/>
  <c r="P119" i="6"/>
  <c r="E151" i="6"/>
  <c r="R119" i="6"/>
  <c r="J119" i="6"/>
  <c r="K291" i="5"/>
  <c r="M224" i="5"/>
  <c r="K338" i="5"/>
  <c r="M271" i="5"/>
  <c r="AA238" i="5"/>
  <c r="AB238" i="5" s="1"/>
  <c r="H305" i="5"/>
  <c r="AC238" i="5"/>
  <c r="AD238" i="5" s="1"/>
  <c r="AE238" i="5" s="1"/>
  <c r="AE271" i="5"/>
  <c r="H56" i="14"/>
  <c r="H83" i="16"/>
  <c r="H81" i="16"/>
  <c r="H43" i="14"/>
  <c r="I84" i="16"/>
  <c r="I62" i="14"/>
  <c r="I82" i="16"/>
  <c r="I50" i="14"/>
  <c r="H82" i="16"/>
  <c r="H50" i="14"/>
  <c r="F66" i="16"/>
  <c r="L286" i="5"/>
  <c r="M286" i="5" s="1"/>
  <c r="M219" i="5"/>
  <c r="J219" i="5"/>
  <c r="O152" i="5"/>
  <c r="V84" i="6"/>
  <c r="M131" i="6"/>
  <c r="L163" i="6"/>
  <c r="S131" i="6"/>
  <c r="L153" i="6"/>
  <c r="M121" i="6"/>
  <c r="L133" i="6"/>
  <c r="K149" i="6"/>
  <c r="M149" i="6" s="1"/>
  <c r="M117" i="6"/>
  <c r="K156" i="6"/>
  <c r="M156" i="6" s="1"/>
  <c r="M124" i="6"/>
  <c r="K150" i="6"/>
  <c r="M150" i="6" s="1"/>
  <c r="M118" i="6"/>
  <c r="E153" i="6"/>
  <c r="J121" i="6"/>
  <c r="P121" i="6"/>
  <c r="R121" i="6" s="1"/>
  <c r="V157" i="5"/>
  <c r="U207" i="5"/>
  <c r="H292" i="5"/>
  <c r="AA225" i="5"/>
  <c r="AB225" i="5" s="1"/>
  <c r="AC225" i="5" s="1"/>
  <c r="AD225" i="5" s="1"/>
  <c r="AE225" i="5" s="1"/>
  <c r="O220" i="5"/>
  <c r="I287" i="5"/>
  <c r="O287" i="5" s="1"/>
  <c r="M232" i="5"/>
  <c r="L299" i="5"/>
  <c r="M299" i="5" s="1"/>
  <c r="L300" i="5"/>
  <c r="M300" i="5" s="1"/>
  <c r="M233" i="5"/>
  <c r="P139" i="5"/>
  <c r="L290" i="5"/>
  <c r="M223" i="5"/>
  <c r="M231" i="5"/>
  <c r="L298" i="5"/>
  <c r="M298" i="5" s="1"/>
  <c r="K292" i="5"/>
  <c r="M292" i="5" s="1"/>
  <c r="M225" i="5"/>
  <c r="R297" i="5"/>
  <c r="J297" i="5"/>
  <c r="G291" i="5"/>
  <c r="U291" i="5" s="1"/>
  <c r="U224" i="5"/>
  <c r="AC227" i="5"/>
  <c r="AD227" i="5" s="1"/>
  <c r="AE227" i="5" s="1"/>
  <c r="AA227" i="5"/>
  <c r="AB227" i="5" s="1"/>
  <c r="H294" i="5"/>
  <c r="U48" i="4"/>
  <c r="J146" i="3"/>
  <c r="I15" i="11" s="1"/>
  <c r="G24" i="16" s="1"/>
  <c r="K92" i="3"/>
  <c r="L84" i="3"/>
  <c r="H77" i="16"/>
  <c r="H20" i="14"/>
  <c r="I77" i="16"/>
  <c r="I20" i="14"/>
  <c r="J150" i="3"/>
  <c r="I18" i="11" s="1"/>
  <c r="G27" i="16" s="1"/>
  <c r="K78" i="3"/>
  <c r="L73" i="3"/>
  <c r="L78" i="3" s="1"/>
  <c r="K156" i="3"/>
  <c r="J22" i="11" s="1"/>
  <c r="H29" i="16" s="1"/>
  <c r="K147" i="3"/>
  <c r="J17" i="11" s="1"/>
  <c r="H26" i="16" s="1"/>
  <c r="J150" i="6"/>
  <c r="R96" i="6"/>
  <c r="T96" i="6" s="1"/>
  <c r="R117" i="6"/>
  <c r="T117" i="6" s="1"/>
  <c r="J127" i="6"/>
  <c r="R63" i="6"/>
  <c r="T63" i="6" s="1"/>
  <c r="R40" i="4"/>
  <c r="T40" i="4" s="1"/>
  <c r="P300" i="5"/>
  <c r="P294" i="5"/>
  <c r="O155" i="5"/>
  <c r="J222" i="5"/>
  <c r="R54" i="6"/>
  <c r="T54" i="6" s="1"/>
  <c r="O84" i="4"/>
  <c r="J106" i="4"/>
  <c r="O106" i="4" s="1"/>
  <c r="S30" i="6"/>
  <c r="P30" i="6"/>
  <c r="R30" i="6" s="1"/>
  <c r="T30" i="6" s="1"/>
  <c r="O36" i="6"/>
  <c r="T58" i="6"/>
  <c r="R58" i="6"/>
  <c r="R38" i="4"/>
  <c r="T38" i="4" s="1"/>
  <c r="T87" i="6"/>
  <c r="R87" i="6"/>
  <c r="R161" i="5"/>
  <c r="T161" i="5" s="1"/>
  <c r="P223" i="5"/>
  <c r="T123" i="6"/>
  <c r="J298" i="5"/>
  <c r="O298" i="5" s="1"/>
  <c r="O231" i="5"/>
  <c r="J107" i="4"/>
  <c r="O107" i="4" s="1"/>
  <c r="O85" i="4"/>
  <c r="O159" i="5"/>
  <c r="J226" i="5"/>
  <c r="J146" i="6"/>
  <c r="P113" i="6"/>
  <c r="R113" i="6" s="1"/>
  <c r="S113" i="6"/>
  <c r="J292" i="5"/>
  <c r="O292" i="5" s="1"/>
  <c r="O225" i="5"/>
  <c r="T82" i="6"/>
  <c r="R82" i="6"/>
  <c r="R87" i="4"/>
  <c r="T87" i="4" s="1"/>
  <c r="T91" i="5"/>
  <c r="R91" i="5"/>
  <c r="T93" i="6"/>
  <c r="R93" i="6"/>
  <c r="T98" i="5"/>
  <c r="R98" i="5"/>
  <c r="T228" i="5"/>
  <c r="T16" i="5"/>
  <c r="S60" i="6"/>
  <c r="S68" i="6" s="1"/>
  <c r="V60" i="6"/>
  <c r="V68" i="6" s="1"/>
  <c r="P124" i="6"/>
  <c r="S124" i="6"/>
  <c r="P158" i="6"/>
  <c r="S233" i="5"/>
  <c r="P233" i="5"/>
  <c r="R233" i="5" s="1"/>
  <c r="T233" i="5" s="1"/>
  <c r="R85" i="6"/>
  <c r="T85" i="6"/>
  <c r="T291" i="5"/>
  <c r="P60" i="6"/>
  <c r="P68" i="6" s="1"/>
  <c r="T45" i="4"/>
  <c r="T88" i="4"/>
  <c r="S71" i="5"/>
  <c r="T17" i="5"/>
  <c r="S88" i="6"/>
  <c r="P88" i="6"/>
  <c r="R98" i="6"/>
  <c r="T98" i="6" s="1"/>
  <c r="R255" i="5"/>
  <c r="P255" i="5"/>
  <c r="J255" i="5"/>
  <c r="E322" i="5"/>
  <c r="T255" i="5"/>
  <c r="V91" i="5"/>
  <c r="V139" i="5" s="1"/>
  <c r="U139" i="5"/>
  <c r="M189" i="5"/>
  <c r="S189" i="5"/>
  <c r="L256" i="5"/>
  <c r="R249" i="5"/>
  <c r="J249" i="5"/>
  <c r="P249" i="5"/>
  <c r="E316" i="5"/>
  <c r="T249" i="5"/>
  <c r="T66" i="4"/>
  <c r="R66" i="4"/>
  <c r="R49" i="6"/>
  <c r="T49" i="6" s="1"/>
  <c r="V159" i="6"/>
  <c r="R39" i="4"/>
  <c r="T39" i="4" s="1"/>
  <c r="P48" i="4"/>
  <c r="T165" i="5"/>
  <c r="R165" i="5"/>
  <c r="J55" i="10"/>
  <c r="R87" i="5"/>
  <c r="T87" i="5" s="1"/>
  <c r="H56" i="10"/>
  <c r="R108" i="4"/>
  <c r="T108" i="4" s="1"/>
  <c r="T21" i="6"/>
  <c r="S26" i="4"/>
  <c r="T16" i="4"/>
  <c r="T26" i="4" s="1"/>
  <c r="H108" i="3" s="1"/>
  <c r="F67" i="16"/>
  <c r="R61" i="6"/>
  <c r="T61" i="6" s="1"/>
  <c r="T65" i="6"/>
  <c r="R65" i="6"/>
  <c r="R93" i="5"/>
  <c r="T93" i="5" s="1"/>
  <c r="S154" i="5"/>
  <c r="P154" i="5"/>
  <c r="V154" i="5"/>
  <c r="R57" i="6"/>
  <c r="T57" i="6" s="1"/>
  <c r="R97" i="5"/>
  <c r="T97" i="5" s="1"/>
  <c r="S152" i="6"/>
  <c r="P152" i="6"/>
  <c r="R65" i="4"/>
  <c r="T65" i="4" s="1"/>
  <c r="R48" i="6"/>
  <c r="R63" i="4"/>
  <c r="T63" i="4" s="1"/>
  <c r="T148" i="6"/>
  <c r="R148" i="6"/>
  <c r="R294" i="5"/>
  <c r="T294" i="5" s="1"/>
  <c r="R147" i="6"/>
  <c r="T147" i="6" s="1"/>
  <c r="L255" i="5"/>
  <c r="M188" i="5"/>
  <c r="S188" i="5"/>
  <c r="L207" i="5"/>
  <c r="J247" i="5"/>
  <c r="P247" i="5"/>
  <c r="R247" i="5"/>
  <c r="E314" i="5"/>
  <c r="T247" i="5"/>
  <c r="J288" i="5"/>
  <c r="O288" i="5" s="1"/>
  <c r="O221" i="5"/>
  <c r="R164" i="5"/>
  <c r="T164" i="5"/>
  <c r="R163" i="5"/>
  <c r="T163" i="5"/>
  <c r="R92" i="4"/>
  <c r="T92" i="4" s="1"/>
  <c r="I17" i="3"/>
  <c r="V69" i="4"/>
  <c r="S69" i="4"/>
  <c r="S71" i="4" s="1"/>
  <c r="P69" i="4"/>
  <c r="O71" i="4"/>
  <c r="R94" i="6"/>
  <c r="T94" i="6" s="1"/>
  <c r="S120" i="6"/>
  <c r="P120" i="6"/>
  <c r="R145" i="6"/>
  <c r="T145" i="6" s="1"/>
  <c r="R151" i="6"/>
  <c r="T151" i="6" s="1"/>
  <c r="S48" i="4"/>
  <c r="R273" i="5"/>
  <c r="P273" i="5"/>
  <c r="J273" i="5"/>
  <c r="E340" i="5"/>
  <c r="T273" i="5"/>
  <c r="K129" i="6"/>
  <c r="K101" i="6"/>
  <c r="M97" i="6"/>
  <c r="F169" i="14"/>
  <c r="F68" i="16"/>
  <c r="J253" i="5"/>
  <c r="R253" i="5"/>
  <c r="P253" i="5"/>
  <c r="T253" i="5"/>
  <c r="E320" i="5"/>
  <c r="E299" i="5"/>
  <c r="J232" i="5"/>
  <c r="O232" i="5" s="1"/>
  <c r="S232" i="5" s="1"/>
  <c r="R47" i="4"/>
  <c r="T47" i="4" s="1"/>
  <c r="R290" i="5"/>
  <c r="T290" i="5" s="1"/>
  <c r="V127" i="6"/>
  <c r="R41" i="4"/>
  <c r="T41" i="4" s="1"/>
  <c r="R158" i="5"/>
  <c r="T158" i="5" s="1"/>
  <c r="O91" i="4"/>
  <c r="J113" i="4"/>
  <c r="O113" i="4" s="1"/>
  <c r="R126" i="6"/>
  <c r="T126" i="6" s="1"/>
  <c r="R43" i="4"/>
  <c r="T43" i="4" s="1"/>
  <c r="R89" i="4"/>
  <c r="T89" i="4" s="1"/>
  <c r="R162" i="6"/>
  <c r="T162" i="6" s="1"/>
  <c r="R160" i="6"/>
  <c r="T160" i="6" s="1"/>
  <c r="R105" i="4"/>
  <c r="T105" i="4" s="1"/>
  <c r="R154" i="6"/>
  <c r="T154" i="6" s="1"/>
  <c r="R112" i="4"/>
  <c r="T112" i="4" s="1"/>
  <c r="R114" i="4"/>
  <c r="T114" i="4" s="1"/>
  <c r="S36" i="6"/>
  <c r="T86" i="5"/>
  <c r="S139" i="5"/>
  <c r="T113" i="6" l="1"/>
  <c r="K175" i="19"/>
  <c r="J176" i="19"/>
  <c r="E177" i="19"/>
  <c r="V71" i="4"/>
  <c r="F93" i="14"/>
  <c r="AE331" i="5"/>
  <c r="F46" i="16"/>
  <c r="H55" i="2"/>
  <c r="H62" i="2" s="1"/>
  <c r="I84" i="2"/>
  <c r="I56" i="2" s="1"/>
  <c r="U264" i="5"/>
  <c r="V264" i="5" s="1"/>
  <c r="G331" i="5"/>
  <c r="U331" i="5" s="1"/>
  <c r="V331" i="5" s="1"/>
  <c r="AE37" i="20"/>
  <c r="AR37" i="20"/>
  <c r="P37" i="20"/>
  <c r="I19" i="3"/>
  <c r="M307" i="5"/>
  <c r="I43" i="14"/>
  <c r="L40" i="3"/>
  <c r="L46" i="3" s="1"/>
  <c r="M301" i="5"/>
  <c r="S301" i="5"/>
  <c r="F175" i="19"/>
  <c r="O12" i="20"/>
  <c r="AQ12" i="20"/>
  <c r="AD12" i="20"/>
  <c r="L27" i="7"/>
  <c r="I99" i="14"/>
  <c r="AD13" i="20"/>
  <c r="O13" i="20"/>
  <c r="AQ13" i="20"/>
  <c r="I157" i="6"/>
  <c r="O157" i="6" s="1"/>
  <c r="O125" i="6"/>
  <c r="O119" i="6"/>
  <c r="I151" i="6"/>
  <c r="O151" i="6" s="1"/>
  <c r="I160" i="6"/>
  <c r="O160" i="6" s="1"/>
  <c r="O128" i="6"/>
  <c r="I152" i="6"/>
  <c r="O152" i="6" s="1"/>
  <c r="O120" i="6"/>
  <c r="I146" i="6"/>
  <c r="O146" i="6" s="1"/>
  <c r="O114" i="6"/>
  <c r="O132" i="6"/>
  <c r="I164" i="6"/>
  <c r="O164" i="6" s="1"/>
  <c r="I156" i="6"/>
  <c r="O156" i="6" s="1"/>
  <c r="O124" i="6"/>
  <c r="I147" i="6"/>
  <c r="O147" i="6" s="1"/>
  <c r="O115" i="6"/>
  <c r="O127" i="6"/>
  <c r="I159" i="6"/>
  <c r="O159" i="6" s="1"/>
  <c r="O123" i="6"/>
  <c r="I155" i="6"/>
  <c r="O155" i="6" s="1"/>
  <c r="I149" i="6"/>
  <c r="O149" i="6" s="1"/>
  <c r="O117" i="6"/>
  <c r="O130" i="6"/>
  <c r="I162" i="6"/>
  <c r="O162" i="6" s="1"/>
  <c r="I158" i="6"/>
  <c r="O158" i="6" s="1"/>
  <c r="O126" i="6"/>
  <c r="I150" i="6"/>
  <c r="O150" i="6" s="1"/>
  <c r="O118" i="6"/>
  <c r="I154" i="6"/>
  <c r="O154" i="6" s="1"/>
  <c r="O122" i="6"/>
  <c r="I38" i="12"/>
  <c r="I41" i="12" s="1"/>
  <c r="J16" i="8"/>
  <c r="J19" i="8" s="1"/>
  <c r="G40" i="16"/>
  <c r="G29" i="13"/>
  <c r="F84" i="16"/>
  <c r="F62" i="14"/>
  <c r="K93" i="7"/>
  <c r="I40" i="10"/>
  <c r="I50" i="10" s="1"/>
  <c r="J24" i="11" s="1"/>
  <c r="H30" i="16" s="1"/>
  <c r="H52" i="2"/>
  <c r="I20" i="3" s="1"/>
  <c r="O101" i="6"/>
  <c r="V12" i="9"/>
  <c r="I22" i="3"/>
  <c r="I18" i="3"/>
  <c r="J9" i="7"/>
  <c r="H44" i="2"/>
  <c r="I43" i="2"/>
  <c r="K8" i="7"/>
  <c r="I15" i="14"/>
  <c r="K38" i="11"/>
  <c r="I33" i="16"/>
  <c r="L87" i="3"/>
  <c r="L92" i="3" s="1"/>
  <c r="I90" i="2"/>
  <c r="I87" i="2"/>
  <c r="I91" i="2" s="1"/>
  <c r="I88" i="2" s="1"/>
  <c r="I32" i="2" s="1"/>
  <c r="I31" i="2" s="1"/>
  <c r="G93" i="14" s="1"/>
  <c r="K129" i="2"/>
  <c r="K126" i="2"/>
  <c r="K130" i="2" s="1"/>
  <c r="K127" i="2" s="1"/>
  <c r="G195" i="14"/>
  <c r="G32" i="16"/>
  <c r="AF14" i="20"/>
  <c r="AS14" i="20"/>
  <c r="Q14" i="20"/>
  <c r="G37" i="10"/>
  <c r="S12" i="9"/>
  <c r="Y98" i="9"/>
  <c r="Y47" i="9"/>
  <c r="Y60" i="9"/>
  <c r="Y59" i="9"/>
  <c r="Y107" i="9"/>
  <c r="Y32" i="9"/>
  <c r="Y30" i="9"/>
  <c r="Y137" i="9"/>
  <c r="Y65" i="9"/>
  <c r="Y89" i="9"/>
  <c r="Y102" i="9"/>
  <c r="Y67" i="9"/>
  <c r="Y134" i="9"/>
  <c r="Y131" i="9"/>
  <c r="Y61" i="9"/>
  <c r="Y118" i="9"/>
  <c r="Y113" i="9"/>
  <c r="Y33" i="9"/>
  <c r="Y39" i="9"/>
  <c r="Y79" i="9"/>
  <c r="Y109" i="9"/>
  <c r="Y52" i="9"/>
  <c r="Y41" i="9"/>
  <c r="Y78" i="9"/>
  <c r="Y92" i="9"/>
  <c r="Y44" i="9"/>
  <c r="Y66" i="9"/>
  <c r="Y88" i="9"/>
  <c r="Y82" i="9"/>
  <c r="Y46" i="9"/>
  <c r="Y73" i="9"/>
  <c r="Y71" i="9"/>
  <c r="Y21" i="9"/>
  <c r="Y121" i="9"/>
  <c r="Y111" i="9"/>
  <c r="Y27" i="9"/>
  <c r="Y38" i="9"/>
  <c r="Y99" i="9"/>
  <c r="Y56" i="9"/>
  <c r="Y114" i="9"/>
  <c r="Y128" i="9"/>
  <c r="Y112" i="9"/>
  <c r="Y127" i="9"/>
  <c r="Y37" i="9"/>
  <c r="Y18" i="9"/>
  <c r="Y100" i="9"/>
  <c r="Y25" i="9"/>
  <c r="Y138" i="9"/>
  <c r="Y68" i="9"/>
  <c r="Y50" i="9"/>
  <c r="Y28" i="9"/>
  <c r="Y95" i="9"/>
  <c r="Y94" i="9"/>
  <c r="Y83" i="9"/>
  <c r="Y48" i="9"/>
  <c r="Y135" i="9"/>
  <c r="Y36" i="9"/>
  <c r="Y53" i="9"/>
  <c r="Y96" i="9"/>
  <c r="Y141" i="9"/>
  <c r="Y74" i="9"/>
  <c r="Y93" i="9"/>
  <c r="Y140" i="9"/>
  <c r="Y123" i="9"/>
  <c r="Y132" i="9"/>
  <c r="Y122" i="9"/>
  <c r="Y19" i="9"/>
  <c r="Y34" i="9"/>
  <c r="Y81" i="9"/>
  <c r="Y22" i="9"/>
  <c r="Y97" i="9"/>
  <c r="Y29" i="9"/>
  <c r="Y136" i="9"/>
  <c r="Y119" i="9"/>
  <c r="Y117" i="9"/>
  <c r="Y64" i="9"/>
  <c r="Y43" i="9"/>
  <c r="Y125" i="9"/>
  <c r="Y31" i="9"/>
  <c r="Y126" i="9"/>
  <c r="Y42" i="9"/>
  <c r="Y108" i="9"/>
  <c r="Y101" i="9"/>
  <c r="Y16" i="9"/>
  <c r="Y14" i="9"/>
  <c r="G27" i="10" s="1"/>
  <c r="Y20" i="9"/>
  <c r="Y26" i="9"/>
  <c r="Y35" i="9"/>
  <c r="Y110" i="9"/>
  <c r="Y77" i="9"/>
  <c r="Y54" i="9"/>
  <c r="Y45" i="9"/>
  <c r="Y90" i="9"/>
  <c r="Y55" i="9"/>
  <c r="Y103" i="9"/>
  <c r="Y63" i="9"/>
  <c r="Y106" i="9"/>
  <c r="Y75" i="9"/>
  <c r="Y129" i="9"/>
  <c r="Y80" i="9"/>
  <c r="Y69" i="9"/>
  <c r="Y51" i="9"/>
  <c r="Y86" i="9"/>
  <c r="Y124" i="9"/>
  <c r="Y15" i="9"/>
  <c r="Y133" i="9"/>
  <c r="Y120" i="9"/>
  <c r="Y84" i="9"/>
  <c r="Y72" i="9"/>
  <c r="Y130" i="9"/>
  <c r="Y104" i="9"/>
  <c r="Y87" i="9"/>
  <c r="Y57" i="9"/>
  <c r="Y58" i="9"/>
  <c r="Y139" i="9"/>
  <c r="Y116" i="9"/>
  <c r="Y91" i="9"/>
  <c r="Y49" i="9"/>
  <c r="Y23" i="9"/>
  <c r="Y17" i="9"/>
  <c r="Y105" i="9"/>
  <c r="Y85" i="9"/>
  <c r="Y70" i="9"/>
  <c r="Y76" i="9"/>
  <c r="Y115" i="9"/>
  <c r="Y40" i="9"/>
  <c r="Y24" i="9"/>
  <c r="Y62" i="9"/>
  <c r="U12" i="9"/>
  <c r="AD41" i="20"/>
  <c r="O41" i="20"/>
  <c r="AQ41" i="20"/>
  <c r="J57" i="2"/>
  <c r="J64" i="2" s="1"/>
  <c r="J85" i="2"/>
  <c r="J82" i="2"/>
  <c r="J83" i="2"/>
  <c r="J86" i="2"/>
  <c r="K26" i="3"/>
  <c r="J104" i="2"/>
  <c r="J101" i="2" s="1"/>
  <c r="I72" i="14"/>
  <c r="AR19" i="20"/>
  <c r="AE19" i="20"/>
  <c r="P19" i="20"/>
  <c r="Z12" i="9"/>
  <c r="G89" i="16"/>
  <c r="G100" i="14"/>
  <c r="K176" i="7"/>
  <c r="J24" i="3"/>
  <c r="AA125" i="9"/>
  <c r="AA128" i="9"/>
  <c r="AA33" i="9"/>
  <c r="AA72" i="9"/>
  <c r="AA102" i="9"/>
  <c r="AA83" i="9"/>
  <c r="AA64" i="9"/>
  <c r="AA37" i="9"/>
  <c r="AA97" i="9"/>
  <c r="AA34" i="9"/>
  <c r="AA77" i="9"/>
  <c r="AA19" i="9"/>
  <c r="AA108" i="9"/>
  <c r="AA113" i="9"/>
  <c r="AA84" i="9"/>
  <c r="AA132" i="9"/>
  <c r="AA66" i="9"/>
  <c r="AA23" i="9"/>
  <c r="AA32" i="9"/>
  <c r="AA49" i="9"/>
  <c r="AA89" i="9"/>
  <c r="AA63" i="9"/>
  <c r="AA134" i="9"/>
  <c r="AA24" i="9"/>
  <c r="AA110" i="9"/>
  <c r="AA17" i="9"/>
  <c r="AA91" i="9"/>
  <c r="AA21" i="9"/>
  <c r="AA69" i="9"/>
  <c r="AA112" i="9"/>
  <c r="AA109" i="9"/>
  <c r="AA20" i="9"/>
  <c r="AA117" i="9"/>
  <c r="AA138" i="9"/>
  <c r="AA116" i="9"/>
  <c r="AA107" i="9"/>
  <c r="AA115" i="9"/>
  <c r="AA88" i="9"/>
  <c r="AA78" i="9"/>
  <c r="AA76" i="9"/>
  <c r="AA99" i="9"/>
  <c r="AA85" i="9"/>
  <c r="AA40" i="9"/>
  <c r="AA118" i="9"/>
  <c r="AA46" i="9"/>
  <c r="AA133" i="9"/>
  <c r="AA139" i="9"/>
  <c r="AA129" i="9"/>
  <c r="AA26" i="9"/>
  <c r="AA140" i="9"/>
  <c r="AA127" i="9"/>
  <c r="AA104" i="9"/>
  <c r="AA41" i="9"/>
  <c r="AA73" i="9"/>
  <c r="AA86" i="9"/>
  <c r="AA35" i="9"/>
  <c r="AA126" i="9"/>
  <c r="AA28" i="9"/>
  <c r="AA93" i="9"/>
  <c r="AA120" i="9"/>
  <c r="AA61" i="9"/>
  <c r="AA62" i="9"/>
  <c r="AA75" i="9"/>
  <c r="AA130" i="9"/>
  <c r="AA54" i="9"/>
  <c r="AA71" i="9"/>
  <c r="AA52" i="9"/>
  <c r="AA106" i="9"/>
  <c r="AA39" i="9"/>
  <c r="AA15" i="9"/>
  <c r="AA74" i="9"/>
  <c r="AA98" i="9"/>
  <c r="AA51" i="9"/>
  <c r="AA45" i="9"/>
  <c r="AA53" i="9"/>
  <c r="AA122" i="9"/>
  <c r="AA27" i="9"/>
  <c r="AA96" i="9"/>
  <c r="AA111" i="9"/>
  <c r="AA68" i="9"/>
  <c r="AA100" i="9"/>
  <c r="AA22" i="9"/>
  <c r="AA123" i="9"/>
  <c r="AA50" i="9"/>
  <c r="AA119" i="9"/>
  <c r="AA67" i="9"/>
  <c r="AA80" i="9"/>
  <c r="AA47" i="9"/>
  <c r="AA114" i="9"/>
  <c r="AA81" i="9"/>
  <c r="AA131" i="9"/>
  <c r="AA137" i="9"/>
  <c r="AA29" i="9"/>
  <c r="AA55" i="9"/>
  <c r="AA87" i="9"/>
  <c r="AA30" i="9"/>
  <c r="AA101" i="9"/>
  <c r="AA14" i="9"/>
  <c r="I27" i="10" s="1"/>
  <c r="AA31" i="9"/>
  <c r="AA56" i="9"/>
  <c r="AA65" i="9"/>
  <c r="AA95" i="9"/>
  <c r="AA70" i="9"/>
  <c r="AA103" i="9"/>
  <c r="AA18" i="9"/>
  <c r="AA92" i="9"/>
  <c r="AA58" i="9"/>
  <c r="AA141" i="9"/>
  <c r="AA105" i="9"/>
  <c r="AA82" i="9"/>
  <c r="AA124" i="9"/>
  <c r="AA16" i="9"/>
  <c r="AA136" i="9"/>
  <c r="AA60" i="9"/>
  <c r="AA57" i="9"/>
  <c r="AA94" i="9"/>
  <c r="AA38" i="9"/>
  <c r="AA90" i="9"/>
  <c r="AA36" i="9"/>
  <c r="AA44" i="9"/>
  <c r="AA59" i="9"/>
  <c r="AA121" i="9"/>
  <c r="AA42" i="9"/>
  <c r="AA79" i="9"/>
  <c r="AA135" i="9"/>
  <c r="AA43" i="9"/>
  <c r="AA25" i="9"/>
  <c r="AA48" i="9"/>
  <c r="J176" i="7"/>
  <c r="K82" i="2"/>
  <c r="K85" i="2"/>
  <c r="L26" i="3"/>
  <c r="K86" i="2"/>
  <c r="K57" i="2"/>
  <c r="K64" i="2" s="1"/>
  <c r="K83" i="2"/>
  <c r="K104" i="2"/>
  <c r="K101" i="2" s="1"/>
  <c r="T36" i="6"/>
  <c r="H110" i="3" s="1"/>
  <c r="R36" i="6"/>
  <c r="K14" i="3"/>
  <c r="K18" i="3" s="1"/>
  <c r="AN43" i="20"/>
  <c r="K43" i="20" s="1"/>
  <c r="U234" i="5"/>
  <c r="V234" i="5" s="1"/>
  <c r="V101" i="6"/>
  <c r="G204" i="14"/>
  <c r="AA42" i="20"/>
  <c r="K42" i="20" s="1"/>
  <c r="S158" i="6"/>
  <c r="U101" i="6"/>
  <c r="F58" i="10"/>
  <c r="E178" i="19"/>
  <c r="F177" i="19"/>
  <c r="AQ38" i="20"/>
  <c r="O38" i="20"/>
  <c r="AD38" i="20"/>
  <c r="O35" i="20"/>
  <c r="AQ35" i="20"/>
  <c r="AD35" i="20"/>
  <c r="AD36" i="20"/>
  <c r="AQ36" i="20"/>
  <c r="O36" i="20"/>
  <c r="N33" i="20"/>
  <c r="AC33" i="20"/>
  <c r="AP33" i="20"/>
  <c r="AB39" i="20"/>
  <c r="AO39" i="20"/>
  <c r="M39" i="20"/>
  <c r="AE32" i="20"/>
  <c r="P32" i="20"/>
  <c r="AR32" i="20"/>
  <c r="AB34" i="20"/>
  <c r="AO34" i="20"/>
  <c r="M34" i="20"/>
  <c r="N21" i="20"/>
  <c r="AC21" i="20"/>
  <c r="AP21" i="20"/>
  <c r="R17" i="20"/>
  <c r="AT17" i="20"/>
  <c r="AG17" i="20"/>
  <c r="AP18" i="20"/>
  <c r="AC18" i="20"/>
  <c r="N18" i="20"/>
  <c r="AO20" i="20"/>
  <c r="AO24" i="20" s="1"/>
  <c r="L24" i="20" s="1"/>
  <c r="AB20" i="20"/>
  <c r="AB23" i="20" s="1"/>
  <c r="L23" i="20" s="1"/>
  <c r="M20" i="20"/>
  <c r="G110" i="4"/>
  <c r="U110" i="4" s="1"/>
  <c r="V110" i="4" s="1"/>
  <c r="U88" i="4"/>
  <c r="V88" i="4" s="1"/>
  <c r="G154" i="6"/>
  <c r="U154" i="6" s="1"/>
  <c r="V154" i="6" s="1"/>
  <c r="U122" i="6"/>
  <c r="V122" i="6" s="1"/>
  <c r="G326" i="5"/>
  <c r="U326" i="5" s="1"/>
  <c r="V326" i="5" s="1"/>
  <c r="U259" i="5"/>
  <c r="V259" i="5" s="1"/>
  <c r="G296" i="5"/>
  <c r="U296" i="5" s="1"/>
  <c r="V296" i="5" s="1"/>
  <c r="U229" i="5"/>
  <c r="V229" i="5" s="1"/>
  <c r="AP22" i="20"/>
  <c r="AC22" i="20"/>
  <c r="N22" i="20"/>
  <c r="G42" i="16"/>
  <c r="G26" i="13"/>
  <c r="G27" i="13" s="1"/>
  <c r="G125" i="14"/>
  <c r="G126" i="14" s="1"/>
  <c r="G53" i="13" s="1"/>
  <c r="S40" i="20"/>
  <c r="AU40" i="20"/>
  <c r="AH40" i="20"/>
  <c r="AT15" i="20"/>
  <c r="AG15" i="20"/>
  <c r="R15" i="20"/>
  <c r="AP16" i="20"/>
  <c r="AC16" i="20"/>
  <c r="N16" i="20"/>
  <c r="H18" i="3"/>
  <c r="H17" i="3"/>
  <c r="H22" i="3"/>
  <c r="U241" i="5"/>
  <c r="V241" i="5" s="1"/>
  <c r="G308" i="5"/>
  <c r="U308" i="5" s="1"/>
  <c r="V308" i="5" s="1"/>
  <c r="J21" i="12"/>
  <c r="I25" i="13" s="1"/>
  <c r="J47" i="12"/>
  <c r="J54" i="12" s="1"/>
  <c r="I54" i="12"/>
  <c r="H19" i="3"/>
  <c r="J20" i="12"/>
  <c r="I24" i="13" s="1"/>
  <c r="AB31" i="20"/>
  <c r="AO31" i="20"/>
  <c r="M31" i="20"/>
  <c r="G300" i="5"/>
  <c r="U300" i="5" s="1"/>
  <c r="V300" i="5" s="1"/>
  <c r="U233" i="5"/>
  <c r="V233" i="5" s="1"/>
  <c r="L159" i="3"/>
  <c r="I65" i="16" s="1"/>
  <c r="K150" i="3"/>
  <c r="J18" i="11" s="1"/>
  <c r="H27" i="16" s="1"/>
  <c r="K18" i="7"/>
  <c r="K16" i="7"/>
  <c r="L33" i="3"/>
  <c r="I23" i="14"/>
  <c r="I172" i="14"/>
  <c r="I47" i="16"/>
  <c r="L36" i="3"/>
  <c r="L21" i="3"/>
  <c r="L35" i="3"/>
  <c r="I184" i="14"/>
  <c r="L32" i="3"/>
  <c r="K36" i="2"/>
  <c r="I75" i="14"/>
  <c r="I97" i="14"/>
  <c r="I171" i="14"/>
  <c r="H15" i="7"/>
  <c r="H20" i="7" s="1"/>
  <c r="H30" i="7" s="1"/>
  <c r="H35" i="7" s="1"/>
  <c r="J26" i="10"/>
  <c r="J29" i="10" s="1"/>
  <c r="K341" i="5"/>
  <c r="G313" i="5"/>
  <c r="U313" i="5" s="1"/>
  <c r="V313" i="5" s="1"/>
  <c r="U246" i="5"/>
  <c r="V246" i="5" s="1"/>
  <c r="AA251" i="5"/>
  <c r="AB251" i="5" s="1"/>
  <c r="AC251" i="5"/>
  <c r="AD251" i="5" s="1"/>
  <c r="AE251" i="5" s="1"/>
  <c r="H318" i="5"/>
  <c r="AC243" i="5"/>
  <c r="AD243" i="5" s="1"/>
  <c r="AE243" i="5" s="1"/>
  <c r="AA243" i="5"/>
  <c r="AB243" i="5" s="1"/>
  <c r="H310" i="5"/>
  <c r="O265" i="5"/>
  <c r="I332" i="5"/>
  <c r="O332" i="5" s="1"/>
  <c r="AC259" i="5"/>
  <c r="AD259" i="5" s="1"/>
  <c r="AE259" i="5" s="1"/>
  <c r="H326" i="5"/>
  <c r="AA259" i="5"/>
  <c r="AB259" i="5" s="1"/>
  <c r="L310" i="5"/>
  <c r="S310" i="5" s="1"/>
  <c r="S243" i="5"/>
  <c r="J321" i="5"/>
  <c r="T321" i="5"/>
  <c r="R321" i="5"/>
  <c r="P321" i="5"/>
  <c r="E329" i="5"/>
  <c r="J262" i="5"/>
  <c r="P262" i="5"/>
  <c r="R262" i="5"/>
  <c r="T262" i="5"/>
  <c r="AC263" i="5"/>
  <c r="AD263" i="5" s="1"/>
  <c r="AE263" i="5" s="1"/>
  <c r="AA263" i="5"/>
  <c r="AB263" i="5" s="1"/>
  <c r="H330" i="5"/>
  <c r="AC315" i="5"/>
  <c r="AD315" i="5" s="1"/>
  <c r="AE315" i="5" s="1"/>
  <c r="AA315" i="5"/>
  <c r="AB315" i="5" s="1"/>
  <c r="L320" i="5"/>
  <c r="S253" i="5"/>
  <c r="M253" i="5"/>
  <c r="U238" i="5"/>
  <c r="V238" i="5" s="1"/>
  <c r="G305" i="5"/>
  <c r="U305" i="5" s="1"/>
  <c r="V305" i="5" s="1"/>
  <c r="J337" i="5"/>
  <c r="P337" i="5"/>
  <c r="R337" i="5"/>
  <c r="T337" i="5"/>
  <c r="M312" i="5"/>
  <c r="P330" i="5"/>
  <c r="R330" i="5"/>
  <c r="T330" i="5"/>
  <c r="J330" i="5"/>
  <c r="T311" i="5"/>
  <c r="R311" i="5"/>
  <c r="J311" i="5"/>
  <c r="P311" i="5"/>
  <c r="J22" i="3"/>
  <c r="H83" i="14"/>
  <c r="H87" i="16"/>
  <c r="U115" i="6"/>
  <c r="V115" i="6" s="1"/>
  <c r="G147" i="6"/>
  <c r="U147" i="6" s="1"/>
  <c r="V147" i="6" s="1"/>
  <c r="U262" i="5"/>
  <c r="V262" i="5" s="1"/>
  <c r="G329" i="5"/>
  <c r="U329" i="5" s="1"/>
  <c r="V329" i="5" s="1"/>
  <c r="G307" i="5"/>
  <c r="U307" i="5" s="1"/>
  <c r="V307" i="5" s="1"/>
  <c r="U240" i="5"/>
  <c r="V240" i="5" s="1"/>
  <c r="J18" i="3"/>
  <c r="I4" i="19"/>
  <c r="K20" i="2"/>
  <c r="K77" i="2" s="1"/>
  <c r="L9" i="3"/>
  <c r="F179" i="14"/>
  <c r="F89" i="14"/>
  <c r="F112" i="14" s="1"/>
  <c r="F143" i="14"/>
  <c r="J8" i="11"/>
  <c r="G9" i="13"/>
  <c r="H8" i="12"/>
  <c r="G8" i="14" s="1"/>
  <c r="U132" i="6"/>
  <c r="V132" i="6" s="1"/>
  <c r="G164" i="6"/>
  <c r="U164" i="6" s="1"/>
  <c r="V164" i="6" s="1"/>
  <c r="U270" i="5"/>
  <c r="V270" i="5" s="1"/>
  <c r="G337" i="5"/>
  <c r="U337" i="5" s="1"/>
  <c r="V337" i="5" s="1"/>
  <c r="AC336" i="5"/>
  <c r="AD336" i="5" s="1"/>
  <c r="AE336" i="5" s="1"/>
  <c r="AA336" i="5"/>
  <c r="AB336" i="5" s="1"/>
  <c r="T302" i="5"/>
  <c r="P302" i="5"/>
  <c r="R302" i="5"/>
  <c r="J302" i="5"/>
  <c r="M326" i="5"/>
  <c r="J332" i="5"/>
  <c r="R332" i="5"/>
  <c r="P332" i="5"/>
  <c r="T332" i="5"/>
  <c r="M71" i="4"/>
  <c r="H201" i="14"/>
  <c r="AC302" i="5"/>
  <c r="AD302" i="5" s="1"/>
  <c r="AE302" i="5" s="1"/>
  <c r="AA302" i="5"/>
  <c r="AB302" i="5" s="1"/>
  <c r="L112" i="4"/>
  <c r="L115" i="4" s="1"/>
  <c r="M90" i="4"/>
  <c r="M93" i="4" s="1"/>
  <c r="S90" i="4"/>
  <c r="AA333" i="5"/>
  <c r="AB333" i="5" s="1"/>
  <c r="AC333" i="5"/>
  <c r="AD333" i="5" s="1"/>
  <c r="AE333" i="5" s="1"/>
  <c r="V89" i="4"/>
  <c r="V93" i="4" s="1"/>
  <c r="U93" i="4"/>
  <c r="M154" i="6"/>
  <c r="S154" i="6"/>
  <c r="R336" i="5"/>
  <c r="J336" i="5"/>
  <c r="P336" i="5"/>
  <c r="T336" i="5"/>
  <c r="R306" i="5"/>
  <c r="T306" i="5"/>
  <c r="P306" i="5"/>
  <c r="J306" i="5"/>
  <c r="V111" i="4"/>
  <c r="P323" i="5"/>
  <c r="R323" i="5"/>
  <c r="T323" i="5"/>
  <c r="J323" i="5"/>
  <c r="F61" i="10"/>
  <c r="F15" i="12" s="1"/>
  <c r="F17" i="12" s="1"/>
  <c r="F25" i="12" s="1"/>
  <c r="G15" i="10"/>
  <c r="M111" i="4"/>
  <c r="T312" i="5"/>
  <c r="R312" i="5"/>
  <c r="P312" i="5"/>
  <c r="J312" i="5"/>
  <c r="S327" i="5"/>
  <c r="M327" i="5"/>
  <c r="P309" i="5"/>
  <c r="J309" i="5"/>
  <c r="T309" i="5"/>
  <c r="R309" i="5"/>
  <c r="J325" i="5"/>
  <c r="R325" i="5"/>
  <c r="T325" i="5"/>
  <c r="P325" i="5"/>
  <c r="S329" i="5"/>
  <c r="M329" i="5"/>
  <c r="P334" i="5"/>
  <c r="R334" i="5"/>
  <c r="J334" i="5"/>
  <c r="T334" i="5"/>
  <c r="M304" i="5"/>
  <c r="AA312" i="5"/>
  <c r="AB312" i="5" s="1"/>
  <c r="AC312" i="5"/>
  <c r="AD312" i="5" s="1"/>
  <c r="AE312" i="5" s="1"/>
  <c r="S318" i="5"/>
  <c r="M318" i="5"/>
  <c r="AC311" i="5"/>
  <c r="AD311" i="5" s="1"/>
  <c r="AE311" i="5" s="1"/>
  <c r="AA311" i="5"/>
  <c r="AB311" i="5" s="1"/>
  <c r="K33" i="2"/>
  <c r="M337" i="5"/>
  <c r="AE337" i="5"/>
  <c r="AC301" i="5"/>
  <c r="AD301" i="5" s="1"/>
  <c r="AE301" i="5" s="1"/>
  <c r="AA301" i="5"/>
  <c r="AB301" i="5" s="1"/>
  <c r="M333" i="5"/>
  <c r="S333" i="5"/>
  <c r="P305" i="5"/>
  <c r="R305" i="5"/>
  <c r="T305" i="5"/>
  <c r="J305" i="5"/>
  <c r="AE309" i="5"/>
  <c r="M309" i="5"/>
  <c r="M313" i="5"/>
  <c r="S313" i="5"/>
  <c r="AA324" i="5"/>
  <c r="AB324" i="5" s="1"/>
  <c r="AC324" i="5"/>
  <c r="AD324" i="5" s="1"/>
  <c r="AE324" i="5" s="1"/>
  <c r="M310" i="5"/>
  <c r="S328" i="5"/>
  <c r="M328" i="5"/>
  <c r="M291" i="5"/>
  <c r="AE291" i="5"/>
  <c r="E157" i="6"/>
  <c r="J125" i="6"/>
  <c r="P125" i="6" s="1"/>
  <c r="R125" i="6"/>
  <c r="T125" i="6" s="1"/>
  <c r="AA325" i="5"/>
  <c r="AB325" i="5" s="1"/>
  <c r="AC325" i="5"/>
  <c r="AD325" i="5" s="1"/>
  <c r="AE325" i="5" s="1"/>
  <c r="S311" i="5"/>
  <c r="M311" i="5"/>
  <c r="AC319" i="5"/>
  <c r="AD319" i="5" s="1"/>
  <c r="AE319" i="5" s="1"/>
  <c r="AA319" i="5"/>
  <c r="AB319" i="5" s="1"/>
  <c r="AC306" i="5"/>
  <c r="AD306" i="5" s="1"/>
  <c r="AE306" i="5" s="1"/>
  <c r="AA306" i="5"/>
  <c r="AB306" i="5" s="1"/>
  <c r="AC321" i="5"/>
  <c r="AD321" i="5" s="1"/>
  <c r="AE321" i="5" s="1"/>
  <c r="AA321" i="5"/>
  <c r="AB321" i="5" s="1"/>
  <c r="S164" i="6"/>
  <c r="M164" i="6"/>
  <c r="G152" i="6"/>
  <c r="U152" i="6" s="1"/>
  <c r="U120" i="6"/>
  <c r="AC305" i="5"/>
  <c r="AD305" i="5" s="1"/>
  <c r="AE305" i="5" s="1"/>
  <c r="AA305" i="5"/>
  <c r="AB305" i="5" s="1"/>
  <c r="J151" i="6"/>
  <c r="P151" i="6"/>
  <c r="AC320" i="5"/>
  <c r="AD320" i="5" s="1"/>
  <c r="AE320" i="5" s="1"/>
  <c r="AA320" i="5"/>
  <c r="AB320" i="5" s="1"/>
  <c r="J40" i="10"/>
  <c r="J50" i="10" s="1"/>
  <c r="K24" i="11" s="1"/>
  <c r="L92" i="7"/>
  <c r="AE339" i="5"/>
  <c r="M339" i="5"/>
  <c r="M308" i="5"/>
  <c r="AE308" i="5"/>
  <c r="M160" i="6"/>
  <c r="S160" i="6"/>
  <c r="R326" i="5"/>
  <c r="P326" i="5"/>
  <c r="T326" i="5"/>
  <c r="J326" i="5"/>
  <c r="S305" i="5"/>
  <c r="M305" i="5"/>
  <c r="O207" i="5"/>
  <c r="M338" i="5"/>
  <c r="AE338" i="5"/>
  <c r="AC340" i="5"/>
  <c r="AD340" i="5" s="1"/>
  <c r="AE340" i="5" s="1"/>
  <c r="AA340" i="5"/>
  <c r="AB340" i="5" s="1"/>
  <c r="R333" i="5"/>
  <c r="J333" i="5"/>
  <c r="T333" i="5"/>
  <c r="P333" i="5"/>
  <c r="T331" i="5"/>
  <c r="R331" i="5"/>
  <c r="P331" i="5"/>
  <c r="J331" i="5"/>
  <c r="AC307" i="5"/>
  <c r="AD307" i="5" s="1"/>
  <c r="AE307" i="5" s="1"/>
  <c r="AA307" i="5"/>
  <c r="AB307" i="5" s="1"/>
  <c r="T303" i="5"/>
  <c r="R303" i="5"/>
  <c r="J303" i="5"/>
  <c r="P303" i="5"/>
  <c r="M147" i="6"/>
  <c r="S147" i="6"/>
  <c r="S300" i="5"/>
  <c r="AB12" i="9"/>
  <c r="J286" i="5"/>
  <c r="O286" i="5" s="1"/>
  <c r="O219" i="5"/>
  <c r="S152" i="5"/>
  <c r="P152" i="5"/>
  <c r="R152" i="5" s="1"/>
  <c r="M153" i="6"/>
  <c r="L165" i="6"/>
  <c r="R153" i="6"/>
  <c r="T153" i="6" s="1"/>
  <c r="P153" i="6"/>
  <c r="J153" i="6"/>
  <c r="S153" i="6" s="1"/>
  <c r="M163" i="6"/>
  <c r="S163" i="6"/>
  <c r="V291" i="5"/>
  <c r="M290" i="5"/>
  <c r="S290" i="5"/>
  <c r="AA294" i="5"/>
  <c r="AB294" i="5" s="1"/>
  <c r="AC294" i="5" s="1"/>
  <c r="AD294" i="5" s="1"/>
  <c r="AE294" i="5" s="1"/>
  <c r="V224" i="5"/>
  <c r="AC292" i="5"/>
  <c r="AD292" i="5" s="1"/>
  <c r="AE292" i="5" s="1"/>
  <c r="AA292" i="5"/>
  <c r="AB292" i="5" s="1"/>
  <c r="L146" i="3"/>
  <c r="K15" i="11" s="1"/>
  <c r="I24" i="16" s="1"/>
  <c r="L147" i="3"/>
  <c r="K17" i="11" s="1"/>
  <c r="I26" i="16" s="1"/>
  <c r="K146" i="3"/>
  <c r="J15" i="11" s="1"/>
  <c r="H24" i="16" s="1"/>
  <c r="R60" i="6"/>
  <c r="T60" i="6" s="1"/>
  <c r="T158" i="6"/>
  <c r="R158" i="6"/>
  <c r="S292" i="5"/>
  <c r="P292" i="5"/>
  <c r="R292" i="5" s="1"/>
  <c r="T292" i="5" s="1"/>
  <c r="S146" i="6"/>
  <c r="P146" i="6"/>
  <c r="R146" i="6" s="1"/>
  <c r="S107" i="4"/>
  <c r="P107" i="4"/>
  <c r="R223" i="5"/>
  <c r="T223" i="5" s="1"/>
  <c r="J159" i="6"/>
  <c r="R139" i="5"/>
  <c r="P36" i="6"/>
  <c r="T124" i="6"/>
  <c r="R124" i="6"/>
  <c r="P225" i="5"/>
  <c r="S225" i="5"/>
  <c r="P114" i="6"/>
  <c r="S114" i="6"/>
  <c r="P85" i="4"/>
  <c r="S85" i="4"/>
  <c r="S118" i="6"/>
  <c r="P118" i="6"/>
  <c r="T71" i="5"/>
  <c r="H109" i="3" s="1"/>
  <c r="H111" i="3" s="1"/>
  <c r="V159" i="5"/>
  <c r="S159" i="5"/>
  <c r="P159" i="5"/>
  <c r="R159" i="5" s="1"/>
  <c r="T159" i="5" s="1"/>
  <c r="S298" i="5"/>
  <c r="P298" i="5"/>
  <c r="S84" i="4"/>
  <c r="P84" i="4"/>
  <c r="S155" i="5"/>
  <c r="V155" i="5"/>
  <c r="P155" i="5"/>
  <c r="P150" i="6"/>
  <c r="R150" i="6" s="1"/>
  <c r="T150" i="6" s="1"/>
  <c r="S150" i="6"/>
  <c r="V207" i="5"/>
  <c r="O226" i="5"/>
  <c r="J293" i="5"/>
  <c r="O293" i="5" s="1"/>
  <c r="S231" i="5"/>
  <c r="P231" i="5"/>
  <c r="S106" i="4"/>
  <c r="P106" i="4"/>
  <c r="O222" i="5"/>
  <c r="J289" i="5"/>
  <c r="O289" i="5" s="1"/>
  <c r="R300" i="5"/>
  <c r="T300" i="5" s="1"/>
  <c r="S95" i="6"/>
  <c r="S101" i="6" s="1"/>
  <c r="P95" i="6"/>
  <c r="R95" i="6" s="1"/>
  <c r="T95" i="6" s="1"/>
  <c r="T320" i="5"/>
  <c r="R320" i="5"/>
  <c r="J320" i="5"/>
  <c r="P320" i="5"/>
  <c r="P97" i="6"/>
  <c r="H203" i="14"/>
  <c r="M101" i="6"/>
  <c r="K161" i="6"/>
  <c r="M129" i="6"/>
  <c r="K133" i="6"/>
  <c r="R69" i="4"/>
  <c r="T69" i="4" s="1"/>
  <c r="T71" i="4" s="1"/>
  <c r="J108" i="3" s="1"/>
  <c r="R314" i="5"/>
  <c r="J314" i="5"/>
  <c r="P314" i="5"/>
  <c r="T314" i="5"/>
  <c r="G107" i="14"/>
  <c r="T139" i="5"/>
  <c r="I109" i="3" s="1"/>
  <c r="R48" i="4"/>
  <c r="P91" i="4"/>
  <c r="S91" i="4"/>
  <c r="O93" i="4"/>
  <c r="J299" i="5"/>
  <c r="O299" i="5" s="1"/>
  <c r="S299" i="5" s="1"/>
  <c r="M255" i="5"/>
  <c r="L274" i="5"/>
  <c r="L322" i="5"/>
  <c r="S255" i="5"/>
  <c r="R152" i="6"/>
  <c r="T152" i="6" s="1"/>
  <c r="R154" i="5"/>
  <c r="T154" i="5"/>
  <c r="P316" i="5"/>
  <c r="J316" i="5"/>
  <c r="R316" i="5"/>
  <c r="T316" i="5"/>
  <c r="M256" i="5"/>
  <c r="S256" i="5"/>
  <c r="L323" i="5"/>
  <c r="I158" i="3"/>
  <c r="F64" i="16" s="1"/>
  <c r="T88" i="6"/>
  <c r="R88" i="6"/>
  <c r="P71" i="4"/>
  <c r="S113" i="4"/>
  <c r="P113" i="4"/>
  <c r="O115" i="4"/>
  <c r="S288" i="5"/>
  <c r="P288" i="5"/>
  <c r="M207" i="5"/>
  <c r="H202" i="14"/>
  <c r="I13" i="10"/>
  <c r="T48" i="6"/>
  <c r="F108" i="14"/>
  <c r="F63" i="16" s="1"/>
  <c r="J340" i="5"/>
  <c r="T340" i="5"/>
  <c r="P340" i="5"/>
  <c r="R340" i="5"/>
  <c r="R120" i="6"/>
  <c r="S221" i="5"/>
  <c r="P221" i="5"/>
  <c r="J322" i="5"/>
  <c r="P322" i="5"/>
  <c r="R322" i="5"/>
  <c r="T322" i="5"/>
  <c r="P232" i="5"/>
  <c r="R71" i="4"/>
  <c r="T48" i="4"/>
  <c r="I108" i="3" s="1"/>
  <c r="I30" i="3" l="1"/>
  <c r="I29" i="3" s="1"/>
  <c r="K176" i="19"/>
  <c r="J177" i="19"/>
  <c r="F92" i="14"/>
  <c r="F94" i="14" s="1"/>
  <c r="AE12" i="20"/>
  <c r="AR12" i="20"/>
  <c r="P12" i="20"/>
  <c r="AS37" i="20"/>
  <c r="AF37" i="20"/>
  <c r="Q37" i="20"/>
  <c r="V341" i="5"/>
  <c r="J84" i="2"/>
  <c r="K24" i="3" s="1"/>
  <c r="V115" i="4"/>
  <c r="J19" i="3"/>
  <c r="J25" i="3"/>
  <c r="AE13" i="20"/>
  <c r="AR13" i="20"/>
  <c r="P13" i="20"/>
  <c r="K16" i="8"/>
  <c r="K19" i="8" s="1"/>
  <c r="L16" i="8" s="1"/>
  <c r="L19" i="8" s="1"/>
  <c r="M16" i="8" s="1"/>
  <c r="M19" i="8" s="1"/>
  <c r="N16" i="8" s="1"/>
  <c r="N19" i="8" s="1"/>
  <c r="O16" i="8" s="1"/>
  <c r="O19" i="8" s="1"/>
  <c r="F26" i="8" s="1"/>
  <c r="F29" i="8" s="1"/>
  <c r="G26" i="8" s="1"/>
  <c r="G29" i="8" s="1"/>
  <c r="H26" i="8" s="1"/>
  <c r="H29" i="8" s="1"/>
  <c r="I26" i="8" s="1"/>
  <c r="I29" i="8" s="1"/>
  <c r="J26" i="8" s="1"/>
  <c r="J29" i="8" s="1"/>
  <c r="K26" i="8" s="1"/>
  <c r="K29" i="8" s="1"/>
  <c r="L26" i="8" s="1"/>
  <c r="L29" i="8" s="1"/>
  <c r="M26" i="8" s="1"/>
  <c r="M29" i="8" s="1"/>
  <c r="N26" i="8" s="1"/>
  <c r="N29" i="8" s="1"/>
  <c r="O26" i="8" s="1"/>
  <c r="O29" i="8" s="1"/>
  <c r="J38" i="12"/>
  <c r="J41" i="12" s="1"/>
  <c r="F32" i="12"/>
  <c r="F36" i="12" s="1"/>
  <c r="F56" i="12" s="1"/>
  <c r="U115" i="4"/>
  <c r="H40" i="16"/>
  <c r="H29" i="13"/>
  <c r="G59" i="10"/>
  <c r="H16" i="10" s="1"/>
  <c r="H59" i="10" s="1"/>
  <c r="I16" i="10" s="1"/>
  <c r="I59" i="10" s="1"/>
  <c r="J16" i="10" s="1"/>
  <c r="J59" i="10" s="1"/>
  <c r="G29" i="10"/>
  <c r="H59" i="14"/>
  <c r="H61" i="14" s="1"/>
  <c r="K96" i="7"/>
  <c r="K22" i="3"/>
  <c r="K84" i="2"/>
  <c r="K87" i="2"/>
  <c r="K90" i="2"/>
  <c r="I63" i="2"/>
  <c r="I52" i="2"/>
  <c r="J20" i="3" s="1"/>
  <c r="J30" i="3" s="1"/>
  <c r="J29" i="3" s="1"/>
  <c r="Q19" i="20"/>
  <c r="AS19" i="20"/>
  <c r="AF19" i="20"/>
  <c r="J87" i="2"/>
  <c r="J90" i="2"/>
  <c r="AG14" i="20"/>
  <c r="R14" i="20"/>
  <c r="AT14" i="20"/>
  <c r="H89" i="16"/>
  <c r="H100" i="14"/>
  <c r="K9" i="7"/>
  <c r="I44" i="2"/>
  <c r="I26" i="10"/>
  <c r="I29" i="10" s="1"/>
  <c r="AA12" i="9"/>
  <c r="K25" i="3"/>
  <c r="AR41" i="20"/>
  <c r="AE41" i="20"/>
  <c r="P41" i="20"/>
  <c r="Y12" i="9"/>
  <c r="I92" i="7"/>
  <c r="G40" i="10"/>
  <c r="G50" i="10" s="1"/>
  <c r="H24" i="11" s="1"/>
  <c r="I193" i="14" s="1"/>
  <c r="G46" i="16"/>
  <c r="I55" i="2"/>
  <c r="I62" i="2" s="1"/>
  <c r="J34" i="3"/>
  <c r="J37" i="3" s="1"/>
  <c r="I89" i="16"/>
  <c r="I100" i="14"/>
  <c r="I102" i="14"/>
  <c r="L8" i="7"/>
  <c r="K43" i="2" s="1"/>
  <c r="J43" i="2"/>
  <c r="H102" i="14"/>
  <c r="K17" i="3"/>
  <c r="AO43" i="20"/>
  <c r="L43" i="20" s="1"/>
  <c r="AB42" i="20"/>
  <c r="L42" i="20" s="1"/>
  <c r="F185" i="14"/>
  <c r="F166" i="14"/>
  <c r="G206" i="14"/>
  <c r="F178" i="19"/>
  <c r="E179" i="19"/>
  <c r="AC34" i="20"/>
  <c r="AP34" i="20"/>
  <c r="N34" i="20"/>
  <c r="AS32" i="20"/>
  <c r="AF32" i="20"/>
  <c r="Q32" i="20"/>
  <c r="AD33" i="20"/>
  <c r="O33" i="20"/>
  <c r="AQ33" i="20"/>
  <c r="AE35" i="20"/>
  <c r="AR35" i="20"/>
  <c r="P35" i="20"/>
  <c r="AP39" i="20"/>
  <c r="N39" i="20"/>
  <c r="AC39" i="20"/>
  <c r="AE36" i="20"/>
  <c r="AR36" i="20"/>
  <c r="P36" i="20"/>
  <c r="AR38" i="20"/>
  <c r="P38" i="20"/>
  <c r="AE38" i="20"/>
  <c r="AD21" i="20"/>
  <c r="AQ21" i="20"/>
  <c r="O21" i="20"/>
  <c r="AC20" i="20"/>
  <c r="AC23" i="20" s="1"/>
  <c r="M23" i="20" s="1"/>
  <c r="N20" i="20"/>
  <c r="AP20" i="20"/>
  <c r="AP24" i="20" s="1"/>
  <c r="M24" i="20" s="1"/>
  <c r="AQ18" i="20"/>
  <c r="O18" i="20"/>
  <c r="AD18" i="20"/>
  <c r="AU17" i="20"/>
  <c r="S17" i="20"/>
  <c r="AH17" i="20"/>
  <c r="H30" i="3"/>
  <c r="H29" i="3" s="1"/>
  <c r="AP31" i="20"/>
  <c r="N31" i="20"/>
  <c r="AC31" i="20"/>
  <c r="H125" i="14"/>
  <c r="H126" i="14" s="1"/>
  <c r="H53" i="13" s="1"/>
  <c r="H26" i="13"/>
  <c r="H27" i="13" s="1"/>
  <c r="H42" i="16"/>
  <c r="AH15" i="20"/>
  <c r="AU15" i="20"/>
  <c r="S15" i="20"/>
  <c r="AQ22" i="20"/>
  <c r="AD22" i="20"/>
  <c r="O22" i="20"/>
  <c r="I42" i="16"/>
  <c r="I125" i="14"/>
  <c r="I126" i="14" s="1"/>
  <c r="I53" i="13" s="1"/>
  <c r="I26" i="13"/>
  <c r="I27" i="13" s="1"/>
  <c r="AQ16" i="20"/>
  <c r="AD16" i="20"/>
  <c r="O16" i="20"/>
  <c r="T40" i="20"/>
  <c r="G40" i="20" s="1"/>
  <c r="AI40" i="20"/>
  <c r="AV40" i="20"/>
  <c r="I153" i="3"/>
  <c r="F33" i="14" s="1"/>
  <c r="L150" i="3"/>
  <c r="K18" i="11" s="1"/>
  <c r="I27" i="16" s="1"/>
  <c r="L16" i="7"/>
  <c r="L18" i="7"/>
  <c r="I73" i="16"/>
  <c r="I37" i="13"/>
  <c r="I41" i="13" s="1"/>
  <c r="L14" i="3"/>
  <c r="L18" i="3" s="1"/>
  <c r="AC318" i="5"/>
  <c r="AD318" i="5" s="1"/>
  <c r="AE318" i="5" s="1"/>
  <c r="AA318" i="5"/>
  <c r="AB318" i="5" s="1"/>
  <c r="S320" i="5"/>
  <c r="M320" i="5"/>
  <c r="AA330" i="5"/>
  <c r="AB330" i="5" s="1"/>
  <c r="AC330" i="5"/>
  <c r="AD330" i="5" s="1"/>
  <c r="AE330" i="5" s="1"/>
  <c r="T329" i="5"/>
  <c r="J329" i="5"/>
  <c r="R329" i="5"/>
  <c r="P329" i="5"/>
  <c r="AA326" i="5"/>
  <c r="AB326" i="5" s="1"/>
  <c r="AC326" i="5"/>
  <c r="AD326" i="5" s="1"/>
  <c r="AE326" i="5" s="1"/>
  <c r="AC310" i="5"/>
  <c r="AD310" i="5" s="1"/>
  <c r="AE310" i="5" s="1"/>
  <c r="AA310" i="5"/>
  <c r="AB310" i="5" s="1"/>
  <c r="O274" i="5"/>
  <c r="S207" i="5"/>
  <c r="G108" i="14" s="1"/>
  <c r="G63" i="16" s="1"/>
  <c r="S93" i="4"/>
  <c r="V274" i="5"/>
  <c r="U341" i="5"/>
  <c r="U274" i="5"/>
  <c r="G143" i="14"/>
  <c r="G89" i="14"/>
  <c r="G112" i="14" s="1"/>
  <c r="G179" i="14"/>
  <c r="I8" i="12"/>
  <c r="H8" i="14" s="1"/>
  <c r="H9" i="13"/>
  <c r="K8" i="11"/>
  <c r="M112" i="4"/>
  <c r="M115" i="4" s="1"/>
  <c r="J201" i="14" s="1"/>
  <c r="S112" i="4"/>
  <c r="S115" i="4" s="1"/>
  <c r="G66" i="16"/>
  <c r="G167" i="14"/>
  <c r="I201" i="14"/>
  <c r="H167" i="14" s="1"/>
  <c r="I167" i="14" s="1"/>
  <c r="G58" i="10"/>
  <c r="G18" i="10"/>
  <c r="H44" i="7"/>
  <c r="V152" i="6"/>
  <c r="V165" i="6" s="1"/>
  <c r="U165" i="6"/>
  <c r="P207" i="5"/>
  <c r="I30" i="16"/>
  <c r="V120" i="6"/>
  <c r="V133" i="6" s="1"/>
  <c r="U133" i="6"/>
  <c r="T152" i="5"/>
  <c r="P286" i="5"/>
  <c r="R286" i="5" s="1"/>
  <c r="S286" i="5"/>
  <c r="I79" i="14"/>
  <c r="I82" i="14" s="1"/>
  <c r="L96" i="7"/>
  <c r="I53" i="14"/>
  <c r="I55" i="14" s="1"/>
  <c r="J157" i="6"/>
  <c r="S157" i="6" s="1"/>
  <c r="P157" i="6"/>
  <c r="R157" i="6" s="1"/>
  <c r="T157" i="6" s="1"/>
  <c r="P219" i="5"/>
  <c r="R219" i="5" s="1"/>
  <c r="S219" i="5"/>
  <c r="J158" i="3"/>
  <c r="G64" i="16" s="1"/>
  <c r="R68" i="6"/>
  <c r="S222" i="5"/>
  <c r="P222" i="5"/>
  <c r="R222" i="5" s="1"/>
  <c r="T222" i="5" s="1"/>
  <c r="R155" i="5"/>
  <c r="R207" i="5" s="1"/>
  <c r="T155" i="5"/>
  <c r="R85" i="4"/>
  <c r="T85" i="4"/>
  <c r="R225" i="5"/>
  <c r="T225" i="5"/>
  <c r="S127" i="6"/>
  <c r="S133" i="6" s="1"/>
  <c r="P127" i="6"/>
  <c r="O133" i="6"/>
  <c r="P289" i="5"/>
  <c r="R289" i="5" s="1"/>
  <c r="T289" i="5" s="1"/>
  <c r="S289" i="5"/>
  <c r="R231" i="5"/>
  <c r="T231" i="5" s="1"/>
  <c r="T84" i="4"/>
  <c r="R84" i="4"/>
  <c r="R118" i="6"/>
  <c r="T118" i="6"/>
  <c r="P159" i="6"/>
  <c r="S159" i="6"/>
  <c r="R107" i="4"/>
  <c r="T107" i="4"/>
  <c r="P226" i="5"/>
  <c r="R226" i="5" s="1"/>
  <c r="T226" i="5" s="1"/>
  <c r="S226" i="5"/>
  <c r="R114" i="6"/>
  <c r="T114" i="6" s="1"/>
  <c r="P299" i="5"/>
  <c r="R299" i="5" s="1"/>
  <c r="R106" i="4"/>
  <c r="T106" i="4" s="1"/>
  <c r="S293" i="5"/>
  <c r="P293" i="5"/>
  <c r="R298" i="5"/>
  <c r="T298" i="5" s="1"/>
  <c r="T68" i="6"/>
  <c r="I110" i="3" s="1"/>
  <c r="I111" i="3" s="1"/>
  <c r="I155" i="3" s="1"/>
  <c r="O341" i="5"/>
  <c r="P101" i="6"/>
  <c r="T146" i="6"/>
  <c r="G168" i="14"/>
  <c r="G67" i="16"/>
  <c r="H204" i="14"/>
  <c r="T113" i="4"/>
  <c r="R113" i="4"/>
  <c r="P115" i="4"/>
  <c r="I202" i="14"/>
  <c r="H67" i="16" s="1"/>
  <c r="M274" i="5"/>
  <c r="I56" i="10"/>
  <c r="R91" i="4"/>
  <c r="P93" i="4"/>
  <c r="K165" i="6"/>
  <c r="M161" i="6"/>
  <c r="T299" i="5"/>
  <c r="H107" i="14"/>
  <c r="R232" i="5"/>
  <c r="T232" i="5" s="1"/>
  <c r="R288" i="5"/>
  <c r="M322" i="5"/>
  <c r="S322" i="5"/>
  <c r="L341" i="5"/>
  <c r="I107" i="14" s="1"/>
  <c r="P129" i="6"/>
  <c r="M133" i="6"/>
  <c r="I203" i="14"/>
  <c r="H68" i="16" s="1"/>
  <c r="R97" i="6"/>
  <c r="T97" i="6" s="1"/>
  <c r="T101" i="6" s="1"/>
  <c r="J110" i="3" s="1"/>
  <c r="J152" i="3"/>
  <c r="H129" i="3"/>
  <c r="T221" i="5"/>
  <c r="R221" i="5"/>
  <c r="M323" i="5"/>
  <c r="S323" i="5"/>
  <c r="G169" i="14"/>
  <c r="G68" i="16"/>
  <c r="I152" i="3"/>
  <c r="T120" i="6"/>
  <c r="J178" i="19" l="1"/>
  <c r="K177" i="19"/>
  <c r="AS12" i="20"/>
  <c r="AF12" i="20"/>
  <c r="Q12" i="20"/>
  <c r="J56" i="2"/>
  <c r="J52" i="2" s="1"/>
  <c r="K20" i="3" s="1"/>
  <c r="J91" i="2"/>
  <c r="J88" i="2" s="1"/>
  <c r="J32" i="2" s="1"/>
  <c r="J31" i="2" s="1"/>
  <c r="K19" i="3" s="1"/>
  <c r="AS13" i="20"/>
  <c r="AF13" i="20"/>
  <c r="Q13" i="20"/>
  <c r="R37" i="20"/>
  <c r="AG37" i="20"/>
  <c r="AT37" i="20"/>
  <c r="J49" i="3"/>
  <c r="J54" i="3" s="1"/>
  <c r="J63" i="3" s="1"/>
  <c r="J66" i="3" s="1"/>
  <c r="G92" i="14"/>
  <c r="G94" i="14" s="1"/>
  <c r="K91" i="2"/>
  <c r="K88" i="2" s="1"/>
  <c r="K32" i="2" s="1"/>
  <c r="K31" i="2" s="1"/>
  <c r="L19" i="3" s="1"/>
  <c r="I29" i="13"/>
  <c r="I40" i="16"/>
  <c r="F73" i="16"/>
  <c r="F37" i="13"/>
  <c r="F41" i="13" s="1"/>
  <c r="H84" i="16"/>
  <c r="H62" i="14"/>
  <c r="K159" i="7"/>
  <c r="H148" i="14" s="1"/>
  <c r="J183" i="7"/>
  <c r="J186" i="7" s="1"/>
  <c r="H20" i="13"/>
  <c r="H103" i="14"/>
  <c r="H88" i="16"/>
  <c r="I88" i="16"/>
  <c r="I103" i="14"/>
  <c r="F193" i="14"/>
  <c r="G193" i="14"/>
  <c r="F30" i="16"/>
  <c r="H193" i="14"/>
  <c r="J63" i="2"/>
  <c r="J44" i="2"/>
  <c r="L9" i="7"/>
  <c r="K44" i="2" s="1"/>
  <c r="R19" i="20"/>
  <c r="AT19" i="20"/>
  <c r="AG19" i="20"/>
  <c r="K56" i="2"/>
  <c r="L25" i="3"/>
  <c r="L24" i="3"/>
  <c r="I96" i="7"/>
  <c r="F79" i="14"/>
  <c r="F82" i="14" s="1"/>
  <c r="F53" i="14"/>
  <c r="F55" i="14" s="1"/>
  <c r="AF41" i="20"/>
  <c r="Q41" i="20"/>
  <c r="AS41" i="20"/>
  <c r="H73" i="16"/>
  <c r="H37" i="13"/>
  <c r="H41" i="13" s="1"/>
  <c r="AH14" i="20"/>
  <c r="S14" i="20"/>
  <c r="AU14" i="20"/>
  <c r="J55" i="2"/>
  <c r="J62" i="2" s="1"/>
  <c r="K34" i="3"/>
  <c r="K37" i="3" s="1"/>
  <c r="H93" i="14"/>
  <c r="AP43" i="20"/>
  <c r="M43" i="20" s="1"/>
  <c r="S165" i="6"/>
  <c r="AC42" i="20"/>
  <c r="M42" i="20" s="1"/>
  <c r="E180" i="19"/>
  <c r="F179" i="19"/>
  <c r="AQ34" i="20"/>
  <c r="O34" i="20"/>
  <c r="AD34" i="20"/>
  <c r="AF38" i="20"/>
  <c r="AS38" i="20"/>
  <c r="Q38" i="20"/>
  <c r="AS36" i="20"/>
  <c r="AF36" i="20"/>
  <c r="Q36" i="20"/>
  <c r="O39" i="20"/>
  <c r="AD39" i="20"/>
  <c r="AQ39" i="20"/>
  <c r="AF35" i="20"/>
  <c r="AS35" i="20"/>
  <c r="Q35" i="20"/>
  <c r="P33" i="20"/>
  <c r="AE33" i="20"/>
  <c r="AR33" i="20"/>
  <c r="AG32" i="20"/>
  <c r="AT32" i="20"/>
  <c r="R32" i="20"/>
  <c r="AI17" i="20"/>
  <c r="T17" i="20"/>
  <c r="G17" i="20" s="1"/>
  <c r="AV17" i="20"/>
  <c r="AD20" i="20"/>
  <c r="AD23" i="20" s="1"/>
  <c r="N23" i="20" s="1"/>
  <c r="O20" i="20"/>
  <c r="AQ20" i="20"/>
  <c r="AQ24" i="20" s="1"/>
  <c r="N24" i="20" s="1"/>
  <c r="AR21" i="20"/>
  <c r="P21" i="20"/>
  <c r="AE21" i="20"/>
  <c r="P18" i="20"/>
  <c r="AE18" i="20"/>
  <c r="AR18" i="20"/>
  <c r="O165" i="6"/>
  <c r="AJ40" i="20"/>
  <c r="AW40" i="20"/>
  <c r="P16" i="20"/>
  <c r="AE16" i="20"/>
  <c r="AR16" i="20"/>
  <c r="AD31" i="20"/>
  <c r="AQ31" i="20"/>
  <c r="O31" i="20"/>
  <c r="AE22" i="20"/>
  <c r="AR22" i="20"/>
  <c r="P22" i="20"/>
  <c r="AV15" i="20"/>
  <c r="AI15" i="20"/>
  <c r="T15" i="20"/>
  <c r="F163" i="14"/>
  <c r="T207" i="5"/>
  <c r="J109" i="3" s="1"/>
  <c r="J153" i="3" s="1"/>
  <c r="G163" i="14" s="1"/>
  <c r="L22" i="3"/>
  <c r="L17" i="3"/>
  <c r="R93" i="4"/>
  <c r="K158" i="3"/>
  <c r="H64" i="16" s="1"/>
  <c r="R101" i="6"/>
  <c r="L158" i="3"/>
  <c r="I64" i="16" s="1"/>
  <c r="T286" i="5"/>
  <c r="P274" i="5"/>
  <c r="I66" i="16"/>
  <c r="J8" i="12"/>
  <c r="I8" i="14" s="1"/>
  <c r="I9" i="13"/>
  <c r="H89" i="14"/>
  <c r="H112" i="14" s="1"/>
  <c r="H179" i="14"/>
  <c r="H143" i="14"/>
  <c r="P341" i="5"/>
  <c r="H66" i="16"/>
  <c r="H15" i="10"/>
  <c r="G61" i="10"/>
  <c r="G15" i="12" s="1"/>
  <c r="T219" i="5"/>
  <c r="T274" i="5" s="1"/>
  <c r="K109" i="3" s="1"/>
  <c r="I87" i="16"/>
  <c r="I83" i="14"/>
  <c r="L183" i="7"/>
  <c r="L186" i="7" s="1"/>
  <c r="L159" i="7"/>
  <c r="I148" i="14" s="1"/>
  <c r="K183" i="7"/>
  <c r="K186" i="7" s="1"/>
  <c r="I20" i="13"/>
  <c r="I56" i="14"/>
  <c r="I83" i="16"/>
  <c r="R274" i="5"/>
  <c r="S274" i="5"/>
  <c r="H108" i="14" s="1"/>
  <c r="H63" i="16" s="1"/>
  <c r="I154" i="3"/>
  <c r="F164" i="14" s="1"/>
  <c r="S341" i="5"/>
  <c r="R159" i="6"/>
  <c r="T159" i="6" s="1"/>
  <c r="T91" i="4"/>
  <c r="T93" i="4" s="1"/>
  <c r="K108" i="3" s="1"/>
  <c r="K152" i="3" s="1"/>
  <c r="H162" i="14" s="1"/>
  <c r="R127" i="6"/>
  <c r="T127" i="6" s="1"/>
  <c r="T115" i="4"/>
  <c r="L108" i="3" s="1"/>
  <c r="R293" i="5"/>
  <c r="R341" i="5" s="1"/>
  <c r="T288" i="5"/>
  <c r="R115" i="4"/>
  <c r="J154" i="3"/>
  <c r="M165" i="6"/>
  <c r="J203" i="14" s="1"/>
  <c r="I68" i="16" s="1"/>
  <c r="P161" i="6"/>
  <c r="H168" i="14"/>
  <c r="I168" i="14" s="1"/>
  <c r="I204" i="14"/>
  <c r="H21" i="11"/>
  <c r="F150" i="14"/>
  <c r="T129" i="6"/>
  <c r="R129" i="6"/>
  <c r="P133" i="6"/>
  <c r="I129" i="3"/>
  <c r="I161" i="3" s="1"/>
  <c r="M341" i="5"/>
  <c r="J202" i="14" s="1"/>
  <c r="F32" i="14"/>
  <c r="F159" i="14"/>
  <c r="F162" i="14"/>
  <c r="G162" i="14"/>
  <c r="G32" i="14"/>
  <c r="H169" i="14"/>
  <c r="I169" i="14" s="1"/>
  <c r="J13" i="10"/>
  <c r="H206" i="14"/>
  <c r="G166" i="14"/>
  <c r="G185" i="14"/>
  <c r="F160" i="14"/>
  <c r="J179" i="19" l="1"/>
  <c r="K178" i="19"/>
  <c r="H92" i="14"/>
  <c r="H94" i="14" s="1"/>
  <c r="I93" i="14"/>
  <c r="H46" i="16"/>
  <c r="AT13" i="20"/>
  <c r="R13" i="20"/>
  <c r="AG13" i="20"/>
  <c r="R12" i="20"/>
  <c r="AG12" i="20"/>
  <c r="AT12" i="20"/>
  <c r="S37" i="20"/>
  <c r="AH37" i="20"/>
  <c r="AU37" i="20"/>
  <c r="L34" i="3"/>
  <c r="L37" i="3" s="1"/>
  <c r="I46" i="16"/>
  <c r="K55" i="2"/>
  <c r="K62" i="2" s="1"/>
  <c r="K30" i="3"/>
  <c r="K29" i="3" s="1"/>
  <c r="K49" i="3" s="1"/>
  <c r="K54" i="3" s="1"/>
  <c r="K63" i="3" s="1"/>
  <c r="K66" i="3" s="1"/>
  <c r="AI14" i="20"/>
  <c r="AV14" i="20"/>
  <c r="T14" i="20"/>
  <c r="G14" i="20" s="1"/>
  <c r="AG41" i="20"/>
  <c r="AT41" i="20"/>
  <c r="R41" i="20"/>
  <c r="F83" i="16"/>
  <c r="F56" i="14"/>
  <c r="I183" i="7"/>
  <c r="I186" i="7" s="1"/>
  <c r="I159" i="7"/>
  <c r="F148" i="14" s="1"/>
  <c r="F20" i="13"/>
  <c r="H183" i="7"/>
  <c r="H186" i="7" s="1"/>
  <c r="K63" i="2"/>
  <c r="K52" i="2"/>
  <c r="L20" i="3" s="1"/>
  <c r="I92" i="14" s="1"/>
  <c r="I94" i="14" s="1"/>
  <c r="F83" i="14"/>
  <c r="F87" i="16"/>
  <c r="S19" i="20"/>
  <c r="AH19" i="20"/>
  <c r="AU19" i="20"/>
  <c r="AD42" i="20"/>
  <c r="N42" i="20" s="1"/>
  <c r="F161" i="14"/>
  <c r="AQ43" i="20"/>
  <c r="N43" i="20" s="1"/>
  <c r="F180" i="19"/>
  <c r="E181" i="19"/>
  <c r="S32" i="20"/>
  <c r="AH32" i="20"/>
  <c r="AU32" i="20"/>
  <c r="AF33" i="20"/>
  <c r="AS33" i="20"/>
  <c r="Q33" i="20"/>
  <c r="AE39" i="20"/>
  <c r="P39" i="20"/>
  <c r="AR39" i="20"/>
  <c r="AR34" i="20"/>
  <c r="P34" i="20"/>
  <c r="AE34" i="20"/>
  <c r="AT35" i="20"/>
  <c r="AG35" i="20"/>
  <c r="R35" i="20"/>
  <c r="AG36" i="20"/>
  <c r="R36" i="20"/>
  <c r="AT36" i="20"/>
  <c r="R38" i="20"/>
  <c r="AT38" i="20"/>
  <c r="AG38" i="20"/>
  <c r="AS21" i="20"/>
  <c r="Q21" i="20"/>
  <c r="AF21" i="20"/>
  <c r="AR20" i="20"/>
  <c r="AR24" i="20" s="1"/>
  <c r="O24" i="20" s="1"/>
  <c r="P20" i="20"/>
  <c r="AE20" i="20"/>
  <c r="AE23" i="20" s="1"/>
  <c r="O23" i="20" s="1"/>
  <c r="AW17" i="20"/>
  <c r="AJ17" i="20"/>
  <c r="AS18" i="20"/>
  <c r="Q18" i="20"/>
  <c r="AF18" i="20"/>
  <c r="AF22" i="20"/>
  <c r="Q22" i="20"/>
  <c r="AS22" i="20"/>
  <c r="AR31" i="20"/>
  <c r="P31" i="20"/>
  <c r="AE31" i="20"/>
  <c r="Q16" i="20"/>
  <c r="AF16" i="20"/>
  <c r="AS16" i="20"/>
  <c r="AW15" i="20"/>
  <c r="AJ15" i="20"/>
  <c r="G15" i="20"/>
  <c r="R133" i="6"/>
  <c r="J111" i="3"/>
  <c r="J155" i="3" s="1"/>
  <c r="I21" i="11" s="1"/>
  <c r="G191" i="14" s="1"/>
  <c r="G33" i="14"/>
  <c r="F34" i="14"/>
  <c r="F35" i="14" s="1"/>
  <c r="J96" i="3"/>
  <c r="I89" i="14"/>
  <c r="I112" i="14" s="1"/>
  <c r="I179" i="14"/>
  <c r="I143" i="14"/>
  <c r="J204" i="14"/>
  <c r="I185" i="14" s="1"/>
  <c r="H18" i="10"/>
  <c r="H58" i="10"/>
  <c r="G17" i="12"/>
  <c r="F37" i="16" s="1"/>
  <c r="F133" i="14"/>
  <c r="I108" i="14"/>
  <c r="I63" i="16" s="1"/>
  <c r="T133" i="6"/>
  <c r="K110" i="3" s="1"/>
  <c r="K154" i="3" s="1"/>
  <c r="H34" i="14" s="1"/>
  <c r="L152" i="3"/>
  <c r="I32" i="14" s="1"/>
  <c r="H32" i="14"/>
  <c r="T293" i="5"/>
  <c r="T341" i="5" s="1"/>
  <c r="L109" i="3" s="1"/>
  <c r="L153" i="3" s="1"/>
  <c r="K153" i="3"/>
  <c r="T161" i="6"/>
  <c r="T165" i="6" s="1"/>
  <c r="L110" i="3" s="1"/>
  <c r="R161" i="6"/>
  <c r="R165" i="6" s="1"/>
  <c r="P165" i="6"/>
  <c r="G164" i="14"/>
  <c r="G161" i="14"/>
  <c r="G34" i="14"/>
  <c r="J56" i="10"/>
  <c r="F28" i="16"/>
  <c r="H23" i="11"/>
  <c r="H27" i="11" s="1"/>
  <c r="F191" i="14"/>
  <c r="F149" i="14"/>
  <c r="I206" i="14"/>
  <c r="H166" i="14"/>
  <c r="I166" i="14" s="1"/>
  <c r="H185" i="14"/>
  <c r="I67" i="16"/>
  <c r="K179" i="19" l="1"/>
  <c r="J180" i="19"/>
  <c r="S12" i="20"/>
  <c r="AH12" i="20"/>
  <c r="AU12" i="20"/>
  <c r="AV37" i="20"/>
  <c r="T37" i="20"/>
  <c r="AI37" i="20"/>
  <c r="G37" i="20"/>
  <c r="S13" i="20"/>
  <c r="AH13" i="20"/>
  <c r="AU13" i="20"/>
  <c r="K96" i="3"/>
  <c r="K160" i="3" s="1"/>
  <c r="K145" i="3"/>
  <c r="L30" i="3"/>
  <c r="L29" i="3" s="1"/>
  <c r="L49" i="3" s="1"/>
  <c r="L54" i="3" s="1"/>
  <c r="L63" i="3" s="1"/>
  <c r="L151" i="3" s="1"/>
  <c r="K49" i="11" s="1"/>
  <c r="I70" i="16" s="1"/>
  <c r="K151" i="3"/>
  <c r="J49" i="11" s="1"/>
  <c r="H70" i="16" s="1"/>
  <c r="AV19" i="20"/>
  <c r="T19" i="20"/>
  <c r="AI19" i="20"/>
  <c r="AU41" i="20"/>
  <c r="S41" i="20"/>
  <c r="AH41" i="20"/>
  <c r="AJ14" i="20"/>
  <c r="AW14" i="20"/>
  <c r="G159" i="14"/>
  <c r="K111" i="3"/>
  <c r="K155" i="3" s="1"/>
  <c r="J21" i="11" s="1"/>
  <c r="E182" i="19"/>
  <c r="F181" i="19"/>
  <c r="AU36" i="20"/>
  <c r="S36" i="20"/>
  <c r="AH36" i="20"/>
  <c r="Q39" i="20"/>
  <c r="AF39" i="20"/>
  <c r="AS39" i="20"/>
  <c r="R33" i="20"/>
  <c r="AT33" i="20"/>
  <c r="AG33" i="20"/>
  <c r="T32" i="20"/>
  <c r="G32" i="20" s="1"/>
  <c r="AI32" i="20"/>
  <c r="AV32" i="20"/>
  <c r="AE42" i="20"/>
  <c r="O42" i="20" s="1"/>
  <c r="AR43" i="20"/>
  <c r="O43" i="20" s="1"/>
  <c r="S38" i="20"/>
  <c r="AU38" i="20"/>
  <c r="AH38" i="20"/>
  <c r="AH35" i="20"/>
  <c r="S35" i="20"/>
  <c r="AU35" i="20"/>
  <c r="Q34" i="20"/>
  <c r="AF34" i="20"/>
  <c r="AS34" i="20"/>
  <c r="AS20" i="20"/>
  <c r="AS24" i="20" s="1"/>
  <c r="P24" i="20" s="1"/>
  <c r="AF20" i="20"/>
  <c r="AF23" i="20" s="1"/>
  <c r="P23" i="20" s="1"/>
  <c r="Q20" i="20"/>
  <c r="AG18" i="20"/>
  <c r="AT18" i="20"/>
  <c r="R18" i="20"/>
  <c r="AT21" i="20"/>
  <c r="R21" i="20"/>
  <c r="AG21" i="20"/>
  <c r="G35" i="14"/>
  <c r="G80" i="16" s="1"/>
  <c r="AG16" i="20"/>
  <c r="AT16" i="20"/>
  <c r="R16" i="20"/>
  <c r="AT22" i="20"/>
  <c r="R22" i="20"/>
  <c r="AG22" i="20"/>
  <c r="AF31" i="20"/>
  <c r="Q31" i="20"/>
  <c r="AS31" i="20"/>
  <c r="J129" i="3"/>
  <c r="J134" i="3" s="1"/>
  <c r="G160" i="14"/>
  <c r="G150" i="14"/>
  <c r="I162" i="14"/>
  <c r="I15" i="10"/>
  <c r="H61" i="10"/>
  <c r="H15" i="12" s="1"/>
  <c r="H164" i="14"/>
  <c r="L111" i="3"/>
  <c r="L129" i="3" s="1"/>
  <c r="F80" i="16"/>
  <c r="F36" i="14"/>
  <c r="I163" i="14"/>
  <c r="I33" i="14"/>
  <c r="H33" i="14"/>
  <c r="H35" i="14" s="1"/>
  <c r="H163" i="14"/>
  <c r="F26" i="14"/>
  <c r="F28" i="14" s="1"/>
  <c r="F190" i="14"/>
  <c r="I23" i="11"/>
  <c r="I27" i="11" s="1"/>
  <c r="G26" i="14" s="1"/>
  <c r="G28" i="14" s="1"/>
  <c r="G28" i="16"/>
  <c r="G149" i="14"/>
  <c r="L154" i="3"/>
  <c r="J181" i="19" l="1"/>
  <c r="K180" i="19"/>
  <c r="T13" i="20"/>
  <c r="AV13" i="20"/>
  <c r="AI13" i="20"/>
  <c r="G13" i="20"/>
  <c r="AW37" i="20"/>
  <c r="AJ37" i="20"/>
  <c r="AI12" i="20"/>
  <c r="AV12" i="20"/>
  <c r="T12" i="20"/>
  <c r="L66" i="3"/>
  <c r="L145" i="3" s="1"/>
  <c r="AS43" i="20"/>
  <c r="P43" i="20" s="1"/>
  <c r="AF42" i="20"/>
  <c r="P42" i="20" s="1"/>
  <c r="AV41" i="20"/>
  <c r="AI41" i="20"/>
  <c r="T41" i="20"/>
  <c r="G41" i="20" s="1"/>
  <c r="AJ19" i="20"/>
  <c r="AW19" i="20"/>
  <c r="G19" i="20"/>
  <c r="H161" i="14"/>
  <c r="J161" i="3"/>
  <c r="K129" i="3"/>
  <c r="K161" i="3" s="1"/>
  <c r="H146" i="14" s="1"/>
  <c r="H159" i="14"/>
  <c r="G36" i="14"/>
  <c r="F182" i="19"/>
  <c r="E183" i="19"/>
  <c r="R34" i="20"/>
  <c r="AT34" i="20"/>
  <c r="AG34" i="20"/>
  <c r="AI35" i="20"/>
  <c r="AV35" i="20"/>
  <c r="T35" i="20"/>
  <c r="G35" i="20" s="1"/>
  <c r="AW32" i="20"/>
  <c r="AJ32" i="20"/>
  <c r="AT39" i="20"/>
  <c r="R39" i="20"/>
  <c r="AG39" i="20"/>
  <c r="T36" i="20"/>
  <c r="G36" i="20" s="1"/>
  <c r="AV36" i="20"/>
  <c r="AI36" i="20"/>
  <c r="T38" i="20"/>
  <c r="AV38" i="20"/>
  <c r="AI38" i="20"/>
  <c r="S33" i="20"/>
  <c r="AU33" i="20"/>
  <c r="AH33" i="20"/>
  <c r="R20" i="20"/>
  <c r="AG20" i="20"/>
  <c r="AG23" i="20" s="1"/>
  <c r="Q23" i="20" s="1"/>
  <c r="AT20" i="20"/>
  <c r="AT24" i="20" s="1"/>
  <c r="Q24" i="20" s="1"/>
  <c r="AU21" i="20"/>
  <c r="AH21" i="20"/>
  <c r="S21" i="20"/>
  <c r="S18" i="20"/>
  <c r="AU18" i="20"/>
  <c r="AH18" i="20"/>
  <c r="AG31" i="20"/>
  <c r="R31" i="20"/>
  <c r="AT31" i="20"/>
  <c r="S22" i="20"/>
  <c r="AH22" i="20"/>
  <c r="AU22" i="20"/>
  <c r="AU16" i="20"/>
  <c r="AH16" i="20"/>
  <c r="S16" i="20"/>
  <c r="H150" i="14"/>
  <c r="H160" i="14"/>
  <c r="I58" i="10"/>
  <c r="I18" i="10"/>
  <c r="H17" i="12"/>
  <c r="G37" i="16" s="1"/>
  <c r="G133" i="14"/>
  <c r="L155" i="3"/>
  <c r="I160" i="14" s="1"/>
  <c r="G190" i="14"/>
  <c r="H149" i="14"/>
  <c r="H28" i="16"/>
  <c r="J23" i="11"/>
  <c r="J27" i="11" s="1"/>
  <c r="H191" i="14"/>
  <c r="G29" i="14"/>
  <c r="G79" i="16"/>
  <c r="G155" i="14"/>
  <c r="G157" i="14"/>
  <c r="G154" i="14"/>
  <c r="K134" i="3"/>
  <c r="H80" i="16"/>
  <c r="H36" i="14"/>
  <c r="I34" i="14"/>
  <c r="I35" i="14" s="1"/>
  <c r="I164" i="14"/>
  <c r="F155" i="14"/>
  <c r="F79" i="16"/>
  <c r="F29" i="14"/>
  <c r="F157" i="14"/>
  <c r="F154" i="14"/>
  <c r="F153" i="14"/>
  <c r="G153" i="14"/>
  <c r="K181" i="19" l="1"/>
  <c r="J182" i="19"/>
  <c r="AW12" i="20"/>
  <c r="G12" i="20"/>
  <c r="AJ12" i="20"/>
  <c r="AJ13" i="20"/>
  <c r="AW13" i="20"/>
  <c r="L96" i="3"/>
  <c r="L160" i="3" s="1"/>
  <c r="AW41" i="20"/>
  <c r="AJ41" i="20"/>
  <c r="L161" i="3"/>
  <c r="I159" i="14"/>
  <c r="AT43" i="20"/>
  <c r="Q43" i="20" s="1"/>
  <c r="AG42" i="20"/>
  <c r="Q42" i="20" s="1"/>
  <c r="F183" i="19"/>
  <c r="E184" i="19"/>
  <c r="AJ38" i="20"/>
  <c r="AW38" i="20"/>
  <c r="AJ36" i="20"/>
  <c r="AW36" i="20"/>
  <c r="AH39" i="20"/>
  <c r="S39" i="20"/>
  <c r="AU39" i="20"/>
  <c r="S34" i="20"/>
  <c r="AH34" i="20"/>
  <c r="AU34" i="20"/>
  <c r="T33" i="20"/>
  <c r="AI33" i="20"/>
  <c r="AV33" i="20"/>
  <c r="AJ35" i="20"/>
  <c r="AW35" i="20"/>
  <c r="G38" i="20"/>
  <c r="AV21" i="20"/>
  <c r="AI21" i="20"/>
  <c r="T21" i="20"/>
  <c r="G21" i="20" s="1"/>
  <c r="AV18" i="20"/>
  <c r="AI18" i="20"/>
  <c r="T18" i="20"/>
  <c r="S20" i="20"/>
  <c r="AH20" i="20"/>
  <c r="AH23" i="20" s="1"/>
  <c r="R23" i="20" s="1"/>
  <c r="AU20" i="20"/>
  <c r="AU24" i="20" s="1"/>
  <c r="R24" i="20" s="1"/>
  <c r="AV16" i="20"/>
  <c r="T16" i="20"/>
  <c r="AI16" i="20"/>
  <c r="T22" i="20"/>
  <c r="AV22" i="20"/>
  <c r="AI22" i="20"/>
  <c r="S31" i="20"/>
  <c r="AU31" i="20"/>
  <c r="AH31" i="20"/>
  <c r="I150" i="14"/>
  <c r="K21" i="11"/>
  <c r="I149" i="14" s="1"/>
  <c r="J15" i="10"/>
  <c r="I61" i="10"/>
  <c r="I15" i="12" s="1"/>
  <c r="I161" i="14"/>
  <c r="H26" i="14"/>
  <c r="H28" i="14" s="1"/>
  <c r="H190" i="14"/>
  <c r="I80" i="16"/>
  <c r="I36" i="14"/>
  <c r="K182" i="19" l="1"/>
  <c r="J183" i="19"/>
  <c r="L134" i="3"/>
  <c r="I146" i="14"/>
  <c r="AU43" i="20"/>
  <c r="R43" i="20" s="1"/>
  <c r="AH42" i="20"/>
  <c r="R42" i="20" s="1"/>
  <c r="F184" i="19"/>
  <c r="E185" i="19"/>
  <c r="AJ33" i="20"/>
  <c r="AW33" i="20"/>
  <c r="AV34" i="20"/>
  <c r="AI34" i="20"/>
  <c r="T34" i="20"/>
  <c r="AI39" i="20"/>
  <c r="T39" i="20"/>
  <c r="AV39" i="20"/>
  <c r="G33" i="20"/>
  <c r="AV20" i="20"/>
  <c r="AV24" i="20" s="1"/>
  <c r="S24" i="20" s="1"/>
  <c r="T20" i="20"/>
  <c r="AI20" i="20"/>
  <c r="AI23" i="20" s="1"/>
  <c r="S23" i="20" s="1"/>
  <c r="G20" i="20"/>
  <c r="AJ21" i="20"/>
  <c r="AW21" i="20"/>
  <c r="AJ18" i="20"/>
  <c r="AW18" i="20"/>
  <c r="G18" i="20"/>
  <c r="AV31" i="20"/>
  <c r="T31" i="20"/>
  <c r="AI31" i="20"/>
  <c r="AJ22" i="20"/>
  <c r="AW22" i="20"/>
  <c r="G22" i="20"/>
  <c r="AW16" i="20"/>
  <c r="AJ16" i="20"/>
  <c r="G16" i="20"/>
  <c r="I28" i="16"/>
  <c r="I191" i="14"/>
  <c r="K23" i="11"/>
  <c r="K27" i="11" s="1"/>
  <c r="I26" i="14" s="1"/>
  <c r="I28" i="14" s="1"/>
  <c r="J58" i="10"/>
  <c r="J61" i="10" s="1"/>
  <c r="J15" i="12" s="1"/>
  <c r="J18" i="10"/>
  <c r="I17" i="12"/>
  <c r="H37" i="16" s="1"/>
  <c r="H133" i="14"/>
  <c r="H155" i="14"/>
  <c r="H29" i="14"/>
  <c r="H157" i="14"/>
  <c r="H79" i="16"/>
  <c r="H154" i="14"/>
  <c r="H153" i="14"/>
  <c r="J184" i="19" l="1"/>
  <c r="K183" i="19"/>
  <c r="AV43" i="20"/>
  <c r="S43" i="20" s="1"/>
  <c r="AI42" i="20"/>
  <c r="S42" i="20" s="1"/>
  <c r="E186" i="19"/>
  <c r="F185" i="19"/>
  <c r="AJ39" i="20"/>
  <c r="AW39" i="20"/>
  <c r="G39" i="20"/>
  <c r="AW34" i="20"/>
  <c r="AJ34" i="20"/>
  <c r="G34" i="20"/>
  <c r="AJ20" i="20"/>
  <c r="AJ23" i="20" s="1"/>
  <c r="T23" i="20" s="1"/>
  <c r="AW20" i="20"/>
  <c r="AW24" i="20" s="1"/>
  <c r="T24" i="20" s="1"/>
  <c r="AJ31" i="20"/>
  <c r="AW31" i="20"/>
  <c r="G31" i="20"/>
  <c r="I190" i="14"/>
  <c r="J17" i="12"/>
  <c r="I37" i="16" s="1"/>
  <c r="I133" i="14"/>
  <c r="I79" i="16"/>
  <c r="I29" i="14"/>
  <c r="I155" i="14"/>
  <c r="I157" i="14"/>
  <c r="I154" i="14"/>
  <c r="I153" i="14"/>
  <c r="J185" i="19" l="1"/>
  <c r="K184" i="19"/>
  <c r="G24" i="20"/>
  <c r="I56" i="20"/>
  <c r="J27" i="7"/>
  <c r="AW43" i="20"/>
  <c r="T43" i="20" s="1"/>
  <c r="AJ42" i="20"/>
  <c r="T42" i="20" s="1"/>
  <c r="H22" i="7"/>
  <c r="H27" i="7" s="1"/>
  <c r="H47" i="7" s="1"/>
  <c r="F186" i="19"/>
  <c r="E187" i="19"/>
  <c r="G23" i="20"/>
  <c r="G25" i="20" s="1"/>
  <c r="I55" i="20"/>
  <c r="K185" i="19" l="1"/>
  <c r="J186" i="19"/>
  <c r="G43" i="20"/>
  <c r="J56" i="20"/>
  <c r="I22" i="7" s="1"/>
  <c r="I27" i="7" s="1"/>
  <c r="J55" i="20"/>
  <c r="I157" i="3" s="1"/>
  <c r="F96" i="14" s="1"/>
  <c r="H78" i="7"/>
  <c r="H164" i="7" s="1"/>
  <c r="G102" i="14"/>
  <c r="G88" i="16" s="1"/>
  <c r="G42" i="20"/>
  <c r="H39" i="3" s="1"/>
  <c r="H46" i="3" s="1"/>
  <c r="E188" i="19"/>
  <c r="F187" i="19"/>
  <c r="I46" i="3"/>
  <c r="I49" i="3"/>
  <c r="I54" i="3" s="1"/>
  <c r="I63" i="3" s="1"/>
  <c r="J151" i="3" s="1"/>
  <c r="I49" i="11" s="1"/>
  <c r="G70" i="16" s="1"/>
  <c r="J187" i="19" l="1"/>
  <c r="K186" i="19"/>
  <c r="G97" i="14"/>
  <c r="G103" i="14"/>
  <c r="F102" i="14"/>
  <c r="F103" i="14" s="1"/>
  <c r="G44" i="20"/>
  <c r="E189" i="19"/>
  <c r="F188" i="19"/>
  <c r="I66" i="3"/>
  <c r="J145" i="3" s="1"/>
  <c r="H49" i="3"/>
  <c r="H54" i="3" s="1"/>
  <c r="H63" i="3" s="1"/>
  <c r="I151" i="3" s="1"/>
  <c r="H49" i="11" s="1"/>
  <c r="F70" i="16" s="1"/>
  <c r="J188" i="19" l="1"/>
  <c r="K187" i="19"/>
  <c r="F97" i="14"/>
  <c r="F88" i="16"/>
  <c r="E190" i="19"/>
  <c r="F189" i="19"/>
  <c r="I96" i="3"/>
  <c r="H66" i="3"/>
  <c r="I145" i="3" s="1"/>
  <c r="J189" i="19" l="1"/>
  <c r="K188" i="19"/>
  <c r="E191" i="19"/>
  <c r="F190" i="19"/>
  <c r="J160" i="3"/>
  <c r="G146" i="14" s="1"/>
  <c r="I134" i="3"/>
  <c r="H96" i="3"/>
  <c r="J190" i="19" l="1"/>
  <c r="K189" i="19"/>
  <c r="F191" i="19"/>
  <c r="E192" i="19"/>
  <c r="H134" i="3"/>
  <c r="I160" i="3"/>
  <c r="F146" i="14" s="1"/>
  <c r="J15" i="7"/>
  <c r="J20" i="7" s="1"/>
  <c r="L15" i="7"/>
  <c r="L20" i="7" s="1"/>
  <c r="I15" i="7"/>
  <c r="I20" i="7" s="1"/>
  <c r="K15" i="7"/>
  <c r="K20" i="7" s="1"/>
  <c r="K190" i="19" l="1"/>
  <c r="J191" i="19"/>
  <c r="F192" i="19"/>
  <c r="E193" i="19"/>
  <c r="I30" i="7"/>
  <c r="I35" i="7" s="1"/>
  <c r="I44" i="7" s="1"/>
  <c r="I47" i="7" s="1"/>
  <c r="J30" i="7"/>
  <c r="J35" i="7" s="1"/>
  <c r="J44" i="7" s="1"/>
  <c r="K30" i="7"/>
  <c r="K35" i="7" s="1"/>
  <c r="K44" i="7" s="1"/>
  <c r="K47" i="7" s="1"/>
  <c r="L30" i="7"/>
  <c r="L35" i="7" s="1"/>
  <c r="L44" i="7" s="1"/>
  <c r="L47" i="7" s="1"/>
  <c r="L175" i="7" s="1"/>
  <c r="J192" i="19" l="1"/>
  <c r="K191" i="19"/>
  <c r="K175" i="7"/>
  <c r="H175" i="7"/>
  <c r="H180" i="7" s="1"/>
  <c r="H188" i="7" s="1"/>
  <c r="F193" i="19"/>
  <c r="E194" i="19"/>
  <c r="L180" i="7"/>
  <c r="L188" i="7" s="1"/>
  <c r="L78" i="7"/>
  <c r="I147" i="14"/>
  <c r="K14" i="11"/>
  <c r="J50" i="11"/>
  <c r="K192" i="7"/>
  <c r="I192" i="7"/>
  <c r="H50" i="11"/>
  <c r="K50" i="11"/>
  <c r="L192" i="7"/>
  <c r="K78" i="7"/>
  <c r="K180" i="7"/>
  <c r="K188" i="7" s="1"/>
  <c r="J14" i="11"/>
  <c r="H147" i="14"/>
  <c r="I78" i="7"/>
  <c r="H14" i="11"/>
  <c r="F147" i="14"/>
  <c r="I50" i="11"/>
  <c r="J192" i="7"/>
  <c r="J47" i="7"/>
  <c r="J175" i="7" s="1"/>
  <c r="J193" i="19" l="1"/>
  <c r="K192" i="19"/>
  <c r="I175" i="7"/>
  <c r="I180" i="7" s="1"/>
  <c r="I188" i="7" s="1"/>
  <c r="F194" i="19"/>
  <c r="E195" i="19"/>
  <c r="I14" i="11"/>
  <c r="G187" i="14" s="1"/>
  <c r="J180" i="7"/>
  <c r="J188" i="7" s="1"/>
  <c r="G147" i="14"/>
  <c r="J78" i="7"/>
  <c r="F23" i="16"/>
  <c r="F187" i="14"/>
  <c r="F134" i="14"/>
  <c r="H187" i="14"/>
  <c r="H19" i="11"/>
  <c r="I187" i="14"/>
  <c r="F71" i="16"/>
  <c r="H51" i="11"/>
  <c r="J51" i="11"/>
  <c r="H71" i="16"/>
  <c r="J19" i="11"/>
  <c r="H134" i="14"/>
  <c r="H23" i="16"/>
  <c r="I71" i="16"/>
  <c r="K51" i="11"/>
  <c r="L164" i="7"/>
  <c r="I51" i="11"/>
  <c r="G71" i="16"/>
  <c r="I164" i="7"/>
  <c r="K164" i="7"/>
  <c r="I134" i="14"/>
  <c r="K19" i="11"/>
  <c r="I23" i="16"/>
  <c r="K193" i="19" l="1"/>
  <c r="J194" i="19"/>
  <c r="F195" i="19"/>
  <c r="E196" i="19"/>
  <c r="G134" i="14"/>
  <c r="G23" i="16"/>
  <c r="I19" i="11"/>
  <c r="G186" i="14" s="1"/>
  <c r="K29" i="11"/>
  <c r="I14" i="14"/>
  <c r="I16" i="14" s="1"/>
  <c r="I129" i="14"/>
  <c r="H129" i="14"/>
  <c r="H14" i="14"/>
  <c r="H16" i="14" s="1"/>
  <c r="J29" i="11"/>
  <c r="F129" i="14"/>
  <c r="I186" i="14"/>
  <c r="F14" i="14"/>
  <c r="F16" i="14" s="1"/>
  <c r="H29" i="11"/>
  <c r="F186" i="14"/>
  <c r="H186" i="14"/>
  <c r="J164" i="7"/>
  <c r="K194" i="19" l="1"/>
  <c r="J195" i="19"/>
  <c r="F196" i="19"/>
  <c r="E197" i="19"/>
  <c r="H116" i="14"/>
  <c r="H138" i="14"/>
  <c r="H76" i="16"/>
  <c r="H117" i="14"/>
  <c r="H115" i="14"/>
  <c r="H145" i="14"/>
  <c r="H17" i="14"/>
  <c r="H152" i="14"/>
  <c r="H156" i="14"/>
  <c r="H114" i="14"/>
  <c r="I29" i="11"/>
  <c r="G129" i="14"/>
  <c r="G14" i="14"/>
  <c r="G16" i="14" s="1"/>
  <c r="F116" i="14"/>
  <c r="F115" i="14"/>
  <c r="F76" i="16"/>
  <c r="F145" i="14"/>
  <c r="F138" i="14"/>
  <c r="F152" i="14"/>
  <c r="F117" i="14"/>
  <c r="F17" i="14"/>
  <c r="F156" i="14"/>
  <c r="F114" i="14"/>
  <c r="I128" i="14"/>
  <c r="I130" i="14" s="1"/>
  <c r="K42" i="11"/>
  <c r="H42" i="11"/>
  <c r="F128" i="14"/>
  <c r="F130" i="14" s="1"/>
  <c r="H128" i="14"/>
  <c r="H130" i="14" s="1"/>
  <c r="J42" i="11"/>
  <c r="I116" i="14"/>
  <c r="I145" i="14"/>
  <c r="I138" i="14"/>
  <c r="I152" i="14"/>
  <c r="I117" i="14"/>
  <c r="I76" i="16"/>
  <c r="I17" i="14"/>
  <c r="I115" i="14"/>
  <c r="I114" i="14"/>
  <c r="I156" i="14"/>
  <c r="J196" i="19" l="1"/>
  <c r="K195" i="19"/>
  <c r="E198" i="19"/>
  <c r="F197" i="19"/>
  <c r="G145" i="14"/>
  <c r="G116" i="14"/>
  <c r="G17" i="14"/>
  <c r="G152" i="14"/>
  <c r="G138" i="14"/>
  <c r="G76" i="16"/>
  <c r="G117" i="14"/>
  <c r="G115" i="14"/>
  <c r="G114" i="14"/>
  <c r="G156" i="14"/>
  <c r="I35" i="16"/>
  <c r="I18" i="13"/>
  <c r="I31" i="13" s="1"/>
  <c r="I49" i="13" s="1"/>
  <c r="G128" i="14"/>
  <c r="G130" i="14" s="1"/>
  <c r="I42" i="11"/>
  <c r="H35" i="16"/>
  <c r="H18" i="13"/>
  <c r="H31" i="13" s="1"/>
  <c r="H49" i="13" s="1"/>
  <c r="F18" i="13"/>
  <c r="F31" i="13" s="1"/>
  <c r="F49" i="13" s="1"/>
  <c r="F52" i="13" s="1"/>
  <c r="G12" i="13" s="1"/>
  <c r="F35" i="16"/>
  <c r="G32" i="12"/>
  <c r="G36" i="12" s="1"/>
  <c r="J197" i="19" l="1"/>
  <c r="K196" i="19"/>
  <c r="E199" i="19"/>
  <c r="F198" i="19"/>
  <c r="H32" i="12"/>
  <c r="H36" i="12" s="1"/>
  <c r="G56" i="12"/>
  <c r="G22" i="12" s="1"/>
  <c r="F132" i="14"/>
  <c r="F135" i="14" s="1"/>
  <c r="F39" i="16"/>
  <c r="F120" i="14"/>
  <c r="G18" i="13"/>
  <c r="G31" i="13" s="1"/>
  <c r="G49" i="13" s="1"/>
  <c r="G52" i="13" s="1"/>
  <c r="H12" i="13" s="1"/>
  <c r="G35" i="16"/>
  <c r="J198" i="19" l="1"/>
  <c r="K197" i="19"/>
  <c r="F199" i="19"/>
  <c r="E200" i="19"/>
  <c r="H52" i="13"/>
  <c r="H56" i="12"/>
  <c r="H22" i="12" s="1"/>
  <c r="G132" i="14"/>
  <c r="G135" i="14" s="1"/>
  <c r="I32" i="12"/>
  <c r="I36" i="12" s="1"/>
  <c r="G39" i="16"/>
  <c r="G120" i="14"/>
  <c r="G23" i="12"/>
  <c r="F50" i="13"/>
  <c r="K198" i="19" l="1"/>
  <c r="J199" i="19"/>
  <c r="F200" i="19"/>
  <c r="E201" i="19"/>
  <c r="I12" i="13"/>
  <c r="I52" i="13"/>
  <c r="I56" i="12"/>
  <c r="I22" i="12" s="1"/>
  <c r="J32" i="12"/>
  <c r="J36" i="12" s="1"/>
  <c r="H39" i="16"/>
  <c r="H132" i="14"/>
  <c r="H135" i="14" s="1"/>
  <c r="H120" i="14"/>
  <c r="H23" i="12"/>
  <c r="G50" i="13"/>
  <c r="F38" i="16"/>
  <c r="G25" i="12"/>
  <c r="F124" i="14"/>
  <c r="J200" i="19" l="1"/>
  <c r="K199" i="19"/>
  <c r="E202" i="19"/>
  <c r="F201" i="19"/>
  <c r="H50" i="13"/>
  <c r="I23" i="12"/>
  <c r="J56" i="12"/>
  <c r="J22" i="12" s="1"/>
  <c r="I132" i="14"/>
  <c r="I135" i="14" s="1"/>
  <c r="I39" i="16"/>
  <c r="I120" i="14"/>
  <c r="F137" i="14"/>
  <c r="F139" i="14" s="1"/>
  <c r="F121" i="14"/>
  <c r="F122" i="14" s="1"/>
  <c r="G124" i="14"/>
  <c r="G38" i="16"/>
  <c r="H25" i="12"/>
  <c r="J201" i="19" l="1"/>
  <c r="K200" i="19"/>
  <c r="E203" i="19"/>
  <c r="F202" i="19"/>
  <c r="H38" i="16"/>
  <c r="I25" i="12"/>
  <c r="H124" i="14"/>
  <c r="G137" i="14"/>
  <c r="G139" i="14" s="1"/>
  <c r="G121" i="14"/>
  <c r="G122" i="14" s="1"/>
  <c r="I50" i="13"/>
  <c r="J23" i="12"/>
  <c r="J202" i="19" l="1"/>
  <c r="K201" i="19"/>
  <c r="F203" i="19"/>
  <c r="E204" i="19"/>
  <c r="H137" i="14"/>
  <c r="H139" i="14" s="1"/>
  <c r="H121" i="14"/>
  <c r="H122" i="14" s="1"/>
  <c r="J25" i="12"/>
  <c r="I38" i="16"/>
  <c r="I124" i="14"/>
  <c r="J203" i="19" l="1"/>
  <c r="K202" i="19"/>
  <c r="F204" i="19"/>
  <c r="E205" i="19"/>
  <c r="I121" i="14"/>
  <c r="I122" i="14" s="1"/>
  <c r="I137" i="14"/>
  <c r="I139" i="14" s="1"/>
  <c r="J204" i="19" l="1"/>
  <c r="K203" i="19"/>
  <c r="E206" i="19"/>
  <c r="F205" i="19"/>
  <c r="J205" i="19" l="1"/>
  <c r="K204" i="19"/>
  <c r="E207" i="19"/>
  <c r="F206" i="19"/>
  <c r="K205" i="19" l="1"/>
  <c r="J206" i="19"/>
  <c r="F207" i="19"/>
  <c r="E208" i="19"/>
  <c r="J207" i="19" l="1"/>
  <c r="K206" i="19"/>
  <c r="F208" i="19"/>
  <c r="E209" i="19"/>
  <c r="K207" i="19" l="1"/>
  <c r="J208" i="19"/>
  <c r="E210" i="19"/>
  <c r="F209" i="19"/>
  <c r="J209" i="19" l="1"/>
  <c r="K208" i="19"/>
  <c r="E211" i="19"/>
  <c r="F210" i="19"/>
  <c r="J210" i="19" l="1"/>
  <c r="K209" i="19"/>
  <c r="F211" i="19"/>
  <c r="E212" i="19"/>
  <c r="J211" i="19" l="1"/>
  <c r="K210" i="19"/>
  <c r="F212" i="19"/>
  <c r="E213" i="19"/>
  <c r="K211" i="19" l="1"/>
  <c r="J212" i="19"/>
  <c r="E214" i="19"/>
  <c r="F213" i="19"/>
  <c r="K212" i="19" l="1"/>
  <c r="J213" i="19"/>
  <c r="F214" i="19"/>
  <c r="E215" i="19"/>
  <c r="K213" i="19" l="1"/>
  <c r="J214" i="19"/>
  <c r="E216" i="19"/>
  <c r="F216" i="19" s="1"/>
  <c r="F215" i="19"/>
  <c r="J215" i="19" l="1"/>
  <c r="K214" i="19"/>
  <c r="J216" i="19" l="1"/>
  <c r="K216" i="19" s="1"/>
  <c r="K215" i="19"/>
</calcChain>
</file>

<file path=xl/comments1.xml><?xml version="1.0" encoding="utf-8"?>
<comments xmlns="http://schemas.openxmlformats.org/spreadsheetml/2006/main">
  <authors>
    <author>ReinierG</author>
  </authors>
  <commentList>
    <comment ref="D38" authorId="0">
      <text>
        <r>
          <rPr>
            <sz val="8"/>
            <color indexed="81"/>
            <rFont val="Tahoma"/>
            <family val="2"/>
          </rPr>
          <t xml:space="preserve">
Als de school participeert in een WSNS samenwerkingsverband verband </t>
        </r>
        <r>
          <rPr>
            <b/>
            <sz val="8"/>
            <color indexed="81"/>
            <rFont val="Tahoma"/>
            <family val="2"/>
          </rPr>
          <t>zonder</t>
        </r>
        <r>
          <rPr>
            <sz val="8"/>
            <color indexed="81"/>
            <rFont val="Tahoma"/>
            <family val="2"/>
          </rPr>
          <t xml:space="preserve"> een school voor speciaal basisonderwijs (sbo), </t>
        </r>
        <r>
          <rPr>
            <b/>
            <sz val="8"/>
            <color indexed="81"/>
            <rFont val="Tahoma"/>
            <family val="2"/>
          </rPr>
          <t>alléén in  dat geval</t>
        </r>
        <r>
          <rPr>
            <sz val="8"/>
            <color indexed="81"/>
            <rFont val="Tahoma"/>
            <family val="2"/>
          </rPr>
          <t xml:space="preserve"> dient hier  'ja' ingevuld te worden. </t>
        </r>
      </text>
    </comment>
    <comment ref="F49" authorId="0">
      <text>
        <r>
          <rPr>
            <sz val="8"/>
            <color indexed="81"/>
            <rFont val="Tahoma"/>
            <family val="2"/>
          </rPr>
          <t xml:space="preserve">
Nederlandstalig onderwijs aan anderstaligen (NOAT, ook wel NT2) Vergoeding voor de kosten van Nederlands onderwijs aan anderstalige leerlingen. Leerlingen uit Suriname, Ned. Antillen en Aruba worden buiten beschouwing gelaten.</t>
        </r>
      </text>
    </comment>
    <comment ref="F54" authorId="0">
      <text>
        <r>
          <rPr>
            <sz val="8"/>
            <color indexed="81"/>
            <rFont val="Tahoma"/>
            <family val="2"/>
          </rPr>
          <t xml:space="preserve">
De berekening voor deze cellen is als volgt opgebouwd:
G = (A + B + C + D)
A= 0,0500 * ll onderbouw (4-7jr)
B= 0,0343 * ll bovenbouw
C= 1,5642 - (aantal ll * 0,0115); C kan niet&lt;0
D= 0,0179 * het schoolgewicht
(zie Besluit bekostiging WPO art. 14).</t>
        </r>
      </text>
    </comment>
    <comment ref="F61" authorId="0">
      <text>
        <r>
          <rPr>
            <sz val="8"/>
            <color indexed="81"/>
            <rFont val="Tahoma"/>
            <family val="2"/>
          </rPr>
          <t xml:space="preserve">
Het genormeerd bruto grondoppervlak is afhankelijk van het aantal groepen (G). Zie tabel brutovloeroppervlak voor het aantal m2. werkblad 'Tabellen'</t>
        </r>
      </text>
    </comment>
  </commentList>
</comments>
</file>

<file path=xl/comments10.xml><?xml version="1.0" encoding="utf-8"?>
<comments xmlns="http://schemas.openxmlformats.org/spreadsheetml/2006/main">
  <authors>
    <author>Bé Keizer</author>
  </authors>
  <commentList>
    <comment ref="D90" authorId="0">
      <text>
        <r>
          <rPr>
            <sz val="9"/>
            <color indexed="81"/>
            <rFont val="Tahoma"/>
            <family val="2"/>
          </rPr>
          <t xml:space="preserve">
Aanloopschalen a1 en a2 achterwege gelaten.</t>
        </r>
      </text>
    </comment>
  </commentList>
</comments>
</file>

<file path=xl/comments11.xml><?xml version="1.0" encoding="utf-8"?>
<comments xmlns="http://schemas.openxmlformats.org/spreadsheetml/2006/main">
  <authors>
    <author>goedhartr</author>
  </authors>
  <commentList>
    <comment ref="D39" authorId="0">
      <text>
        <r>
          <rPr>
            <sz val="8"/>
            <color indexed="81"/>
            <rFont val="Tahoma"/>
            <family val="2"/>
          </rPr>
          <t xml:space="preserve">
</t>
        </r>
        <r>
          <rPr>
            <sz val="10"/>
            <color indexed="81"/>
            <rFont val="Tahoma"/>
            <family val="2"/>
          </rPr>
          <t xml:space="preserve">voor bepaling hoogte voorziening jubliea, zie toolbox PO-Raad
</t>
        </r>
        <r>
          <rPr>
            <sz val="8"/>
            <color indexed="81"/>
            <rFont val="Tahoma"/>
            <family val="2"/>
          </rPr>
          <t xml:space="preserve">
</t>
        </r>
      </text>
    </comment>
  </commentList>
</comments>
</file>

<file path=xl/comments12.xml><?xml version="1.0" encoding="utf-8"?>
<comments xmlns="http://schemas.openxmlformats.org/spreadsheetml/2006/main">
  <authors>
    <author>Goedhart, R.</author>
    <author>ReinierG</author>
    <author>Keizer</author>
  </authors>
  <commentList>
    <comment ref="D74" authorId="0">
      <text>
        <r>
          <rPr>
            <sz val="8"/>
            <color indexed="81"/>
            <rFont val="Tahoma"/>
            <family val="2"/>
          </rPr>
          <t xml:space="preserve">
is geen verplicht kengetal volgens OCW- richtlijn jaarverslaggeving PO
</t>
        </r>
      </text>
    </comment>
    <comment ref="D77" authorId="0">
      <text>
        <r>
          <rPr>
            <sz val="8"/>
            <color indexed="81"/>
            <rFont val="Tahoma"/>
            <family val="2"/>
          </rPr>
          <t xml:space="preserve">
is geen verplicht kengetal volgens OCW- richtlijn jaarverslaggeving PO
</t>
        </r>
      </text>
    </comment>
    <comment ref="D119" authorId="1">
      <text>
        <r>
          <rPr>
            <sz val="8"/>
            <color indexed="81"/>
            <rFont val="Tahoma"/>
            <family val="2"/>
          </rPr>
          <t xml:space="preserve">
de solvabiliteit geeft aan in welke verhouding de bezittingen op de activazijde van de balans, zijn gefinancieerd met eigen- en/of vreemd vermogen.  De solvabiliteit geeft inzicht in het vermogen van de school om aan haar verplichtingen op de lange termijn te voldoen.</t>
        </r>
      </text>
    </comment>
    <comment ref="D123" authorId="1">
      <text>
        <r>
          <rPr>
            <sz val="8"/>
            <color indexed="81"/>
            <rFont val="Tahoma"/>
            <family val="2"/>
          </rPr>
          <t xml:space="preserve">
de liquiditeit geeft inzicht in het vermogen van de school om aan haar verplichtingen op de korte termijn te voldoen.</t>
        </r>
      </text>
    </comment>
    <comment ref="D127" authorId="1">
      <text>
        <r>
          <rPr>
            <sz val="8"/>
            <color indexed="81"/>
            <rFont val="Tahoma"/>
            <family val="2"/>
          </rPr>
          <t xml:space="preserve">
de rentabiliteit geeft inzicht in de relatieve omvang van het resultaat. In hoeverre gaat er meer geld uit, dan er binnenkomt (zodat de reserves interen)</t>
        </r>
      </text>
    </comment>
    <comment ref="D131" authorId="1">
      <text>
        <r>
          <rPr>
            <sz val="8"/>
            <color indexed="81"/>
            <rFont val="Tahoma"/>
            <family val="2"/>
          </rPr>
          <t xml:space="preserve">
Dit percentage geeft inzicht in de capaciteit om onvoorziene tegenvallers in de exploitatie op te vangen (Ernst&amp;Young, juli 2004). De omvang van dit percentage moet tenminste 5% zijn en is afhankelijk van: (1) kwaliteit planning &amp; controlcyclus, (2) de mate waarin risico's gezamenlijk worden gedragen (3) risico-analyse.</t>
        </r>
      </text>
    </comment>
    <comment ref="D136" authorId="2">
      <text>
        <r>
          <rPr>
            <sz val="9"/>
            <color indexed="81"/>
            <rFont val="Tahoma"/>
            <family val="2"/>
          </rPr>
          <t xml:space="preserve">
De kapitalisatiefactor geeft weer hoeveel kapitaal nodig is voor de bedrijfsvoering. Daarbij wordt het Totaal Vermogen (= Totaal Kapitaal = TK) afgezet tegen het Totaal aan Baten (TB).  Materiële vaste activa vastgelegd in Gebouwen &amp; Terreinen (G&amp;T) blijven hierbij buiten beschouwing omdat deze geacht worden eigendom te zijn van de gemeente. De bekostiging van het onderwijs is daarop gebaseerd.</t>
        </r>
      </text>
    </comment>
  </commentList>
</comments>
</file>

<file path=xl/comments13.xml><?xml version="1.0" encoding="utf-8"?>
<comments xmlns="http://schemas.openxmlformats.org/spreadsheetml/2006/main">
  <authors>
    <author>Goedhart, R.</author>
  </authors>
  <commentList>
    <comment ref="D21" authorId="0">
      <text>
        <r>
          <rPr>
            <sz val="8"/>
            <color indexed="81"/>
            <rFont val="Tahoma"/>
            <family val="2"/>
          </rPr>
          <t xml:space="preserve">
Hier wordt de datum van vandaag weergegeven. Bij het kopiëren van dit werkblad in het sommatiemodel, zal de datum in het sommatiemodel gefixeerd worden. </t>
        </r>
      </text>
    </comment>
  </commentList>
</comments>
</file>

<file path=xl/comments14.xml><?xml version="1.0" encoding="utf-8"?>
<comments xmlns="http://schemas.openxmlformats.org/spreadsheetml/2006/main">
  <authors>
    <author>Keizer</author>
  </authors>
  <commentList>
    <comment ref="D23" authorId="0">
      <text>
        <r>
          <rPr>
            <sz val="9"/>
            <color indexed="81"/>
            <rFont val="Tahoma"/>
            <family val="2"/>
          </rPr>
          <t xml:space="preserve">
Inclusief professionaliseringsbudget van </t>
        </r>
        <r>
          <rPr>
            <sz val="10"/>
            <color indexed="81"/>
            <rFont val="Tahoma"/>
            <family val="2"/>
          </rPr>
          <t>€</t>
        </r>
        <r>
          <rPr>
            <sz val="9"/>
            <color indexed="81"/>
            <rFont val="Tahoma"/>
            <family val="2"/>
          </rPr>
          <t xml:space="preserve"> 2170.
</t>
        </r>
      </text>
    </comment>
    <comment ref="E23" authorId="0">
      <text>
        <r>
          <rPr>
            <sz val="9"/>
            <color indexed="81"/>
            <rFont val="Tahoma"/>
            <family val="2"/>
          </rPr>
          <t xml:space="preserve">
Inclusief professionaliseringsbudget van </t>
        </r>
        <r>
          <rPr>
            <sz val="10"/>
            <color indexed="81"/>
            <rFont val="Tahoma"/>
            <family val="2"/>
          </rPr>
          <t>€</t>
        </r>
        <r>
          <rPr>
            <sz val="9"/>
            <color indexed="81"/>
            <rFont val="Tahoma"/>
            <family val="2"/>
          </rPr>
          <t xml:space="preserve"> 2170.
</t>
        </r>
      </text>
    </comment>
    <comment ref="D26" authorId="0">
      <text>
        <r>
          <rPr>
            <sz val="9"/>
            <color indexed="81"/>
            <rFont val="Tahoma"/>
            <family val="2"/>
          </rPr>
          <t xml:space="preserve">
Inclusief extra opslag </t>
        </r>
        <r>
          <rPr>
            <sz val="10"/>
            <color indexed="81"/>
            <rFont val="Tahoma"/>
            <family val="2"/>
          </rPr>
          <t xml:space="preserve">€ </t>
        </r>
        <r>
          <rPr>
            <sz val="9"/>
            <color indexed="81"/>
            <rFont val="Tahoma"/>
            <family val="2"/>
          </rPr>
          <t xml:space="preserve">2.442. </t>
        </r>
      </text>
    </comment>
    <comment ref="E26" authorId="0">
      <text>
        <r>
          <rPr>
            <sz val="9"/>
            <color indexed="81"/>
            <rFont val="Tahoma"/>
            <family val="2"/>
          </rPr>
          <t xml:space="preserve">
Inclusief extra opslag </t>
        </r>
        <r>
          <rPr>
            <sz val="10"/>
            <color indexed="81"/>
            <rFont val="Tahoma"/>
            <family val="2"/>
          </rPr>
          <t xml:space="preserve">€ </t>
        </r>
        <r>
          <rPr>
            <sz val="9"/>
            <color indexed="81"/>
            <rFont val="Tahoma"/>
            <family val="2"/>
          </rPr>
          <t xml:space="preserve">2.442. </t>
        </r>
      </text>
    </comment>
    <comment ref="A61" authorId="0">
      <text>
        <r>
          <rPr>
            <sz val="9"/>
            <color indexed="81"/>
            <rFont val="Tahoma"/>
            <family val="2"/>
          </rPr>
          <t xml:space="preserve">
Regeling Stcrt. Nr 32656 d.d. 22 nov 2013. Lumpsumtoekenning P+M.</t>
        </r>
      </text>
    </comment>
    <comment ref="A62" authorId="0">
      <text>
        <r>
          <rPr>
            <sz val="9"/>
            <color indexed="81"/>
            <rFont val="Tahoma"/>
            <family val="2"/>
          </rPr>
          <t xml:space="preserve">
Regeling Stcrt. Nr 29508 d.d. 24 okt. 2013. 
Pers. Bekostiging 13-14</t>
        </r>
      </text>
    </comment>
    <comment ref="C64" authorId="0">
      <text>
        <r>
          <rPr>
            <sz val="9"/>
            <color indexed="81"/>
            <rFont val="Tahoma"/>
            <family val="2"/>
          </rPr>
          <t xml:space="preserve">
Verhoging min. loon per 1-1-14 is verwerkt.</t>
        </r>
      </text>
    </comment>
    <comment ref="B114" authorId="0">
      <text>
        <r>
          <rPr>
            <sz val="8"/>
            <color indexed="81"/>
            <rFont val="Tahoma"/>
            <family val="2"/>
          </rPr>
          <t xml:space="preserve">
Dit budget is bedoeld om de functie van schoolleider op een kleine school (aantal leerlingen 1 okt  T-1  &lt; 195 ll) aantrekkelijker te maken. </t>
        </r>
      </text>
    </comment>
  </commentList>
</comments>
</file>

<file path=xl/comments2.xml><?xml version="1.0" encoding="utf-8"?>
<comments xmlns="http://schemas.openxmlformats.org/spreadsheetml/2006/main">
  <authors>
    <author>Goedhart, R.</author>
    <author>Keizer</author>
  </authors>
  <commentList>
    <comment ref="E20" authorId="0">
      <text>
        <r>
          <rPr>
            <b/>
            <sz val="8"/>
            <color indexed="81"/>
            <rFont val="Tahoma"/>
            <family val="2"/>
          </rPr>
          <t xml:space="preserve">
</t>
        </r>
        <r>
          <rPr>
            <sz val="8"/>
            <color indexed="81"/>
            <rFont val="Tahoma"/>
            <family val="2"/>
          </rPr>
          <t>zie artikel 33 Regeling bekostiging.</t>
        </r>
      </text>
    </comment>
    <comment ref="E21" authorId="0">
      <text>
        <r>
          <rPr>
            <b/>
            <sz val="8"/>
            <color indexed="81"/>
            <rFont val="Tahoma"/>
            <family val="2"/>
          </rPr>
          <t xml:space="preserve">
</t>
        </r>
        <r>
          <rPr>
            <sz val="8"/>
            <color indexed="81"/>
            <rFont val="Tahoma"/>
            <family val="2"/>
          </rPr>
          <t>zie artikel 33 Regeling bekostiging.</t>
        </r>
      </text>
    </comment>
    <comment ref="E22" authorId="1">
      <text>
        <r>
          <rPr>
            <sz val="9"/>
            <color indexed="81"/>
            <rFont val="Tahoma"/>
            <family val="2"/>
          </rPr>
          <t xml:space="preserve">
Betreft bijzondere bekostiging cf. art. 36 Regeling bekostiging personeel. 
Deze bekostiging komt </t>
        </r>
        <r>
          <rPr>
            <u/>
            <sz val="9"/>
            <color indexed="81"/>
            <rFont val="Tahoma"/>
            <family val="2"/>
          </rPr>
          <t>bovenop</t>
        </r>
        <r>
          <rPr>
            <sz val="9"/>
            <color indexed="81"/>
            <rFont val="Tahoma"/>
            <family val="2"/>
          </rPr>
          <t xml:space="preserve"> de rugzakbekostiging voor zmlk hierboven.</t>
        </r>
      </text>
    </comment>
  </commentList>
</comments>
</file>

<file path=xl/comments3.xml><?xml version="1.0" encoding="utf-8"?>
<comments xmlns="http://schemas.openxmlformats.org/spreadsheetml/2006/main">
  <authors>
    <author>Goedhart, R.</author>
    <author>Keizer</author>
  </authors>
  <commentList>
    <comment ref="D14" authorId="0">
      <text>
        <r>
          <rPr>
            <sz val="8"/>
            <color indexed="81"/>
            <rFont val="Tahoma"/>
            <family val="2"/>
          </rPr>
          <t xml:space="preserve">Noteer de GGL zoals vermeld op de beschikking. Anders doet het model een voorstel op basis van het ingevulde OP- bestand
</t>
        </r>
      </text>
    </comment>
    <comment ref="I39" authorId="1">
      <text>
        <r>
          <rPr>
            <sz val="9"/>
            <color indexed="81"/>
            <rFont val="Tahoma"/>
            <family val="2"/>
          </rPr>
          <t xml:space="preserve">
De zorgbekostiging loopt nu in principe via het SWV, zie hieronder.</t>
        </r>
      </text>
    </comment>
    <comment ref="J39" authorId="1">
      <text>
        <r>
          <rPr>
            <sz val="9"/>
            <color indexed="81"/>
            <rFont val="Tahoma"/>
            <family val="2"/>
          </rPr>
          <t xml:space="preserve">
De zorgbekostiging loopt nu in principe via het SWV, zie hieronder.</t>
        </r>
      </text>
    </comment>
    <comment ref="K39" authorId="1">
      <text>
        <r>
          <rPr>
            <sz val="9"/>
            <color indexed="81"/>
            <rFont val="Tahoma"/>
            <family val="2"/>
          </rPr>
          <t xml:space="preserve">
De zorgbekostiging loopt nu in principe via het SWV, zie hieronder.</t>
        </r>
      </text>
    </comment>
    <comment ref="L39" authorId="1">
      <text>
        <r>
          <rPr>
            <sz val="9"/>
            <color indexed="81"/>
            <rFont val="Tahoma"/>
            <family val="2"/>
          </rPr>
          <t xml:space="preserve">
De zorgbekostiging loopt nu in principe via het SWV, zie hieronder.</t>
        </r>
      </text>
    </comment>
    <comment ref="D107" authorId="0">
      <text>
        <r>
          <rPr>
            <sz val="8"/>
            <color indexed="81"/>
            <rFont val="Tahoma"/>
            <family val="2"/>
          </rPr>
          <t xml:space="preserve">
wordt berekend in de werkbladen dir, op en oop
</t>
        </r>
      </text>
    </comment>
  </commentList>
</comments>
</file>

<file path=xl/comments4.xml><?xml version="1.0" encoding="utf-8"?>
<comments xmlns="http://schemas.openxmlformats.org/spreadsheetml/2006/main">
  <authors>
    <author>Keizer</author>
    <author>Goedhart, R.</author>
  </authors>
  <commentList>
    <comment ref="L13" authorId="0">
      <text>
        <r>
          <rPr>
            <sz val="9"/>
            <color indexed="81"/>
            <rFont val="Tahoma"/>
            <family val="2"/>
          </rPr>
          <t xml:space="preserve">
Opgave van WTF BAPO is positief getal en dat wordt in mindering gebracht op reguliere WTF</t>
        </r>
      </text>
    </comment>
    <comment ref="Q14" authorId="1">
      <text>
        <r>
          <rPr>
            <sz val="8"/>
            <color indexed="81"/>
            <rFont val="Tahoma"/>
            <family val="2"/>
          </rPr>
          <t xml:space="preserve">
dit percentage is gebaseerd op het landelijk gemiddelde en kan aangepast worden in het werkblad tab, maar ook per werknemer in kolom Q.
</t>
        </r>
      </text>
    </comment>
    <comment ref="L35" authorId="0">
      <text>
        <r>
          <rPr>
            <sz val="9"/>
            <color indexed="81"/>
            <rFont val="Tahoma"/>
            <family val="2"/>
          </rPr>
          <t xml:space="preserve">
Opgave van WTF BAPO is positief getal en dat wordt in mindering gebracht op reguliere WTF</t>
        </r>
      </text>
    </comment>
    <comment ref="Q36" authorId="1">
      <text>
        <r>
          <rPr>
            <sz val="8"/>
            <color indexed="81"/>
            <rFont val="Tahoma"/>
            <family val="2"/>
          </rPr>
          <t xml:space="preserve">
dit percentage is gebaseerd op het landelijk gemiddelde en kan aangepast worden in het werkblad tab
</t>
        </r>
      </text>
    </comment>
    <comment ref="L58" authorId="0">
      <text>
        <r>
          <rPr>
            <sz val="9"/>
            <color indexed="81"/>
            <rFont val="Tahoma"/>
            <family val="2"/>
          </rPr>
          <t xml:space="preserve">
Opgave van WTF BAPO is positief getal en dat wordt in mindering gebracht op reguliere WTF</t>
        </r>
      </text>
    </comment>
    <comment ref="Q59" authorId="1">
      <text>
        <r>
          <rPr>
            <sz val="8"/>
            <color indexed="81"/>
            <rFont val="Tahoma"/>
            <family val="2"/>
          </rPr>
          <t xml:space="preserve">
dit percentage is gebaseerd op het landelijk gemiddelde en kan aangepast worden in het werkblad tab
</t>
        </r>
      </text>
    </comment>
    <comment ref="L80" authorId="0">
      <text>
        <r>
          <rPr>
            <sz val="9"/>
            <color indexed="81"/>
            <rFont val="Tahoma"/>
            <family val="2"/>
          </rPr>
          <t xml:space="preserve">
Opgave van WTF BAPO is positief getal en dat wordt in mindering gebracht op reguliere WTF</t>
        </r>
      </text>
    </comment>
    <comment ref="Q81" authorId="1">
      <text>
        <r>
          <rPr>
            <sz val="8"/>
            <color indexed="81"/>
            <rFont val="Tahoma"/>
            <family val="2"/>
          </rPr>
          <t xml:space="preserve">
dit percentage is gebaseerd op het landelijk gemiddelde en kan aangepast worden in het werkblad tab
</t>
        </r>
      </text>
    </comment>
    <comment ref="L102" authorId="0">
      <text>
        <r>
          <rPr>
            <sz val="9"/>
            <color indexed="81"/>
            <rFont val="Tahoma"/>
            <family val="2"/>
          </rPr>
          <t xml:space="preserve">
Opgave van WTF BAPO is positief getal en dat wordt in mindering gebracht op reguliere WTF</t>
        </r>
      </text>
    </comment>
    <comment ref="Q103" authorId="1">
      <text>
        <r>
          <rPr>
            <sz val="8"/>
            <color indexed="81"/>
            <rFont val="Tahoma"/>
            <family val="2"/>
          </rPr>
          <t xml:space="preserve">
dit percentage is gebaseerd op het landelijk gemiddelde en kan aangepast worden in het werkblad tab
</t>
        </r>
      </text>
    </comment>
  </commentList>
</comments>
</file>

<file path=xl/comments5.xml><?xml version="1.0" encoding="utf-8"?>
<comments xmlns="http://schemas.openxmlformats.org/spreadsheetml/2006/main">
  <authors>
    <author>Bé Keizer</author>
    <author>Keizer</author>
    <author>Goedhart, R.</author>
  </authors>
  <commentList>
    <comment ref="J13" authorId="0">
      <text>
        <r>
          <rPr>
            <b/>
            <sz val="9"/>
            <color indexed="81"/>
            <rFont val="Tahoma"/>
            <family val="2"/>
          </rPr>
          <t xml:space="preserve">
Let op: de trede-aanduiding mag voor leerkrachten niet hoger zijn dan 15 omdat per 1 januari 2011 dat het maximum is! </t>
        </r>
      </text>
    </comment>
    <comment ref="L13" authorId="1">
      <text>
        <r>
          <rPr>
            <sz val="9"/>
            <color indexed="81"/>
            <rFont val="Tahoma"/>
            <family val="2"/>
          </rPr>
          <t xml:space="preserve">
Opgave van WTF BAPO is positief getal en dat wordt in mindering gebracht op reguliere WTF
</t>
        </r>
      </text>
    </comment>
    <comment ref="Q14" authorId="2">
      <text>
        <r>
          <rPr>
            <sz val="8"/>
            <color indexed="81"/>
            <rFont val="Tahoma"/>
            <family val="2"/>
          </rPr>
          <t xml:space="preserve">
dit percentage is gebaseerd op het landelijk gemiddelde en kan aangepast worden in het werkblad tab, maar ook per werknemer in kolom Q.
</t>
        </r>
      </text>
    </comment>
    <comment ref="L81" authorId="1">
      <text>
        <r>
          <rPr>
            <sz val="9"/>
            <color indexed="81"/>
            <rFont val="Tahoma"/>
            <family val="2"/>
          </rPr>
          <t xml:space="preserve">
Opgave van WTF BAPO is positief getal en dat wordt in mindering gebracht op reguliere WTF
</t>
        </r>
      </text>
    </comment>
    <comment ref="Q82" authorId="2">
      <text>
        <r>
          <rPr>
            <sz val="8"/>
            <color indexed="81"/>
            <rFont val="Tahoma"/>
            <family val="2"/>
          </rPr>
          <t xml:space="preserve">
dit percentage is gebaseerd op het landelijk gemiddelde en kan aangepast worden in het werkblad tab, maar ook per werknemer in kolom Q.
</t>
        </r>
      </text>
    </comment>
    <comment ref="L149" authorId="1">
      <text>
        <r>
          <rPr>
            <sz val="9"/>
            <color indexed="81"/>
            <rFont val="Tahoma"/>
            <family val="2"/>
          </rPr>
          <t xml:space="preserve">
Opgave van WTF BAPO is positief getal en dat wordt in mindering gebracht op reguliere WTF
</t>
        </r>
      </text>
    </comment>
    <comment ref="Q150" authorId="2">
      <text>
        <r>
          <rPr>
            <sz val="8"/>
            <color indexed="81"/>
            <rFont val="Tahoma"/>
            <family val="2"/>
          </rPr>
          <t xml:space="preserve">
dit percentage is gebaseerd op het landelijk gemiddelde en kan aangepast worden in het werkblad tab, maar ook per werknemer in kolom Q.
</t>
        </r>
      </text>
    </comment>
    <comment ref="L216" authorId="1">
      <text>
        <r>
          <rPr>
            <sz val="9"/>
            <color indexed="81"/>
            <rFont val="Tahoma"/>
            <family val="2"/>
          </rPr>
          <t xml:space="preserve">
Opgave van WTF BAPO is positief getal en dat wordt in mindering gebracht op reguliere WTF
</t>
        </r>
      </text>
    </comment>
    <comment ref="Q217" authorId="2">
      <text>
        <r>
          <rPr>
            <sz val="8"/>
            <color indexed="81"/>
            <rFont val="Tahoma"/>
            <family val="2"/>
          </rPr>
          <t xml:space="preserve">
dit percentage is gebaseerd op het landelijk gemiddelde en kan aangepast worden in het werkblad tab, maar ook per werknemer in kolom Q.
</t>
        </r>
      </text>
    </comment>
    <comment ref="L283" authorId="1">
      <text>
        <r>
          <rPr>
            <sz val="9"/>
            <color indexed="81"/>
            <rFont val="Tahoma"/>
            <family val="2"/>
          </rPr>
          <t xml:space="preserve">
Opgave van WTF BAPO is positief getal en dat wordt in mindering gebracht op reguliere WTF
</t>
        </r>
      </text>
    </comment>
    <comment ref="Q284" authorId="2">
      <text>
        <r>
          <rPr>
            <sz val="8"/>
            <color indexed="81"/>
            <rFont val="Tahoma"/>
            <family val="2"/>
          </rPr>
          <t xml:space="preserve">
dit percentage is gebaseerd op het landelijk gemiddelde en kan aangepast worden in het werkblad tab, maar ook per werknemer in kolom Q.
</t>
        </r>
      </text>
    </comment>
  </commentList>
</comments>
</file>

<file path=xl/comments6.xml><?xml version="1.0" encoding="utf-8"?>
<comments xmlns="http://schemas.openxmlformats.org/spreadsheetml/2006/main">
  <authors>
    <author>Keizer</author>
    <author>Goedhart, R.</author>
  </authors>
  <commentList>
    <comment ref="L13" authorId="0">
      <text>
        <r>
          <rPr>
            <sz val="9"/>
            <color indexed="81"/>
            <rFont val="Tahoma"/>
            <family val="2"/>
          </rPr>
          <t xml:space="preserve">
Opgave van WTF BAPO is positief getal en dat wordt in mindering gebracht op reguliere WTF
</t>
        </r>
      </text>
    </comment>
    <comment ref="Q14" authorId="1">
      <text>
        <r>
          <rPr>
            <sz val="8"/>
            <color indexed="81"/>
            <rFont val="Tahoma"/>
            <family val="2"/>
          </rPr>
          <t xml:space="preserve">
dit percentage is gebaseerd op het landelijk gemiddelde en kan aangepast worden in het werkblad tab, maar ook per werknemer in kolom Q.
</t>
        </r>
      </text>
    </comment>
    <comment ref="L45" authorId="0">
      <text>
        <r>
          <rPr>
            <sz val="9"/>
            <color indexed="81"/>
            <rFont val="Tahoma"/>
            <family val="2"/>
          </rPr>
          <t xml:space="preserve">
Opgave van WTF BAPO is positief getal en dat wordt in mindering gebracht op reguliere WTF
</t>
        </r>
      </text>
    </comment>
    <comment ref="Q46" authorId="1">
      <text>
        <r>
          <rPr>
            <sz val="8"/>
            <color indexed="81"/>
            <rFont val="Tahoma"/>
            <family val="2"/>
          </rPr>
          <t xml:space="preserve">
dit percentage is gebaseerd op het landelijk gemiddelde en kan aangepast worden in het werkblad tab, maar ook per werknemer in kolom Q.
</t>
        </r>
      </text>
    </comment>
    <comment ref="L78" authorId="0">
      <text>
        <r>
          <rPr>
            <sz val="9"/>
            <color indexed="81"/>
            <rFont val="Tahoma"/>
            <family val="2"/>
          </rPr>
          <t xml:space="preserve">
Opgave van WTF BAPO is positief getal en dat wordt in mindering gebracht op reguliere WTF
</t>
        </r>
      </text>
    </comment>
    <comment ref="Q79" authorId="1">
      <text>
        <r>
          <rPr>
            <sz val="8"/>
            <color indexed="81"/>
            <rFont val="Tahoma"/>
            <family val="2"/>
          </rPr>
          <t xml:space="preserve">
dit percentage is gebaseerd op het landelijk gemiddelde en kan aangepast worden in het werkblad tab, maar ook per werknemer in kolom Q.
</t>
        </r>
      </text>
    </comment>
    <comment ref="L110" authorId="0">
      <text>
        <r>
          <rPr>
            <sz val="9"/>
            <color indexed="81"/>
            <rFont val="Tahoma"/>
            <family val="2"/>
          </rPr>
          <t xml:space="preserve">
Opgave van WTF BAPO is positief getal en dat wordt in mindering gebracht op reguliere WTF
</t>
        </r>
      </text>
    </comment>
    <comment ref="Q111" authorId="1">
      <text>
        <r>
          <rPr>
            <sz val="8"/>
            <color indexed="81"/>
            <rFont val="Tahoma"/>
            <family val="2"/>
          </rPr>
          <t xml:space="preserve">
dit percentage is gebaseerd op het landelijk gemiddelde en kan aangepast worden in het werkblad tab, maar ook per werknemer in kolom Q.
</t>
        </r>
      </text>
    </comment>
    <comment ref="L142" authorId="0">
      <text>
        <r>
          <rPr>
            <sz val="9"/>
            <color indexed="81"/>
            <rFont val="Tahoma"/>
            <family val="2"/>
          </rPr>
          <t xml:space="preserve">
Opgave van WTF BAPO is positief getal en dat wordt in mindering gebracht op reguliere WTF
</t>
        </r>
      </text>
    </comment>
    <comment ref="Q143" authorId="1">
      <text>
        <r>
          <rPr>
            <sz val="8"/>
            <color indexed="81"/>
            <rFont val="Tahoma"/>
            <family val="2"/>
          </rPr>
          <t xml:space="preserve">
dit percentage is gebaseerd op het landelijk gemiddelde en kan aangepast worden in het werkblad tab, maar ook per werknemer in kolom Q.
</t>
        </r>
      </text>
    </comment>
  </commentList>
</comments>
</file>

<file path=xl/comments7.xml><?xml version="1.0" encoding="utf-8"?>
<comments xmlns="http://schemas.openxmlformats.org/spreadsheetml/2006/main">
  <authors>
    <author>Keizer</author>
    <author>Goedhart, R.</author>
    <author xml:space="preserve"> </author>
    <author>Bé Keizer</author>
  </authors>
  <commentList>
    <comment ref="D22" authorId="0">
      <text>
        <r>
          <rPr>
            <sz val="9"/>
            <color indexed="81"/>
            <rFont val="Tahoma"/>
            <family val="2"/>
          </rPr>
          <t xml:space="preserve">
Invoering passend onderwijs per 1-8-2014 betekent dat deze ondersteuningsbekostiging  dan door het samenwerkingsverband wordt toegekend, zie hieronder.</t>
        </r>
      </text>
    </comment>
    <comment ref="D28" authorId="1">
      <text>
        <r>
          <rPr>
            <sz val="10"/>
            <color indexed="81"/>
            <rFont val="Tahoma"/>
            <family val="2"/>
          </rPr>
          <t xml:space="preserve">
Hierbij wordt gedoeld op op de overdracht van middelen van school naar bestuur of omgekeerd. Overdrachten naar c.q. van scholen binnen het eigen bestuur, kunnen ook via dit onderdeel verlopen. Hierbij vervult het bestuur een doorsluisfunctie. 
Overdrachten van c.q. naar scholen buiten het eigen bestuur, moeten worden opgenomen als een bate (zie: overige baten) c.q als een last (bijvoorbeeld op te nemen onder lasten personeelsbeleid).</t>
        </r>
        <r>
          <rPr>
            <sz val="8"/>
            <color indexed="81"/>
            <rFont val="Tahoma"/>
            <family val="2"/>
          </rPr>
          <t xml:space="preserve">
</t>
        </r>
      </text>
    </comment>
    <comment ref="D30" authorId="2">
      <text>
        <r>
          <rPr>
            <sz val="10"/>
            <color indexed="81"/>
            <rFont val="Tahoma"/>
            <family val="2"/>
          </rPr>
          <t xml:space="preserve">
voor bepaling percentage zie www.poraad.nl/toolbox:  Londo bas (cel N59).</t>
        </r>
        <r>
          <rPr>
            <sz val="8"/>
            <color indexed="81"/>
            <rFont val="Tahoma"/>
            <family val="2"/>
          </rPr>
          <t xml:space="preserve">
</t>
        </r>
      </text>
    </comment>
    <comment ref="D87" authorId="1">
      <text>
        <r>
          <rPr>
            <sz val="8"/>
            <color indexed="81"/>
            <rFont val="Tahoma"/>
            <family val="2"/>
          </rPr>
          <t xml:space="preserve">
wordt berekend in werkblad mip en act
</t>
        </r>
      </text>
    </comment>
    <comment ref="D102" authorId="1">
      <text>
        <r>
          <rPr>
            <sz val="8"/>
            <color indexed="81"/>
            <rFont val="Tahoma"/>
            <family val="2"/>
          </rPr>
          <t xml:space="preserve">wordt ontleend aan het werkblad mop
</t>
        </r>
      </text>
    </comment>
    <comment ref="L173" authorId="3">
      <text>
        <r>
          <rPr>
            <sz val="9"/>
            <color indexed="81"/>
            <rFont val="Tahoma"/>
            <family val="2"/>
          </rPr>
          <t xml:space="preserve">
Omdat de gegevens van het laatste kalenderjaar  ontbreken zijn de bedragen van dit schooljaar gelijk gesteld aan het laatst beschikbare kalenderjaar.</t>
        </r>
      </text>
    </comment>
  </commentList>
</comments>
</file>

<file path=xl/comments8.xml><?xml version="1.0" encoding="utf-8"?>
<comments xmlns="http://schemas.openxmlformats.org/spreadsheetml/2006/main">
  <authors>
    <author>Goedhart, R.</author>
  </authors>
  <commentList>
    <comment ref="E8" authorId="0">
      <text>
        <r>
          <rPr>
            <sz val="8"/>
            <color indexed="81"/>
            <rFont val="Tahoma"/>
            <family val="2"/>
          </rPr>
          <t xml:space="preserve">
hoeft niet te worden ingevuld</t>
        </r>
      </text>
    </comment>
    <comment ref="F8" authorId="0">
      <text>
        <r>
          <rPr>
            <sz val="8"/>
            <color indexed="81"/>
            <rFont val="Tahoma"/>
            <family val="2"/>
          </rPr>
          <t xml:space="preserve">
hoeft niet te worden ingevuld</t>
        </r>
      </text>
    </comment>
  </commentList>
</comments>
</file>

<file path=xl/comments9.xml><?xml version="1.0" encoding="utf-8"?>
<comments xmlns="http://schemas.openxmlformats.org/spreadsheetml/2006/main">
  <authors>
    <author>Goedhart, R.</author>
  </authors>
  <commentList>
    <comment ref="D41" authorId="0">
      <text>
        <r>
          <rPr>
            <sz val="8"/>
            <color indexed="81"/>
            <rFont val="Tahoma"/>
            <family val="2"/>
          </rPr>
          <t xml:space="preserve">
Slechts invullen indien u een eerste waardering/ nul-meting/ inventarisatie heeft uitgevoerd in het kader van de startbalans.
Deze afschrijvingsbedragen kan u halen van uw nul-meting/ overzicht eerste waardering.
</t>
        </r>
      </text>
    </comment>
  </commentList>
</comments>
</file>

<file path=xl/sharedStrings.xml><?xml version="1.0" encoding="utf-8"?>
<sst xmlns="http://schemas.openxmlformats.org/spreadsheetml/2006/main" count="1705" uniqueCount="790">
  <si>
    <t>werkgevers lasten</t>
  </si>
  <si>
    <t>euro's</t>
  </si>
  <si>
    <t>2016/17</t>
  </si>
  <si>
    <t>Bapo (in fte)</t>
  </si>
  <si>
    <t>leerlinggebonden financiering (rugzakje / kalenderjaar)</t>
  </si>
  <si>
    <t xml:space="preserve">Ook kan opgave gedaan worden van dotatie aan de personeelsvoorziening voor o.a. jubilea, die afzonderlijk is opgenomen. </t>
  </si>
  <si>
    <t>totale lasten</t>
  </si>
  <si>
    <t>personele lasten</t>
  </si>
  <si>
    <t>administratie</t>
  </si>
  <si>
    <t>schoonmaak</t>
  </si>
  <si>
    <t>inventaris en apparatuur</t>
  </si>
  <si>
    <t>leermiddelen</t>
  </si>
  <si>
    <t>huisvesting</t>
  </si>
  <si>
    <t>energie en water (niet verplicht)</t>
  </si>
  <si>
    <t>budget naar bestuur (personeel)</t>
  </si>
  <si>
    <t>budget naar bestuur (materieel)</t>
  </si>
  <si>
    <t>Naam school</t>
  </si>
  <si>
    <t>Brinnummer</t>
  </si>
  <si>
    <t>Datum laatste wijziging</t>
  </si>
  <si>
    <t>toeslag management kleine school (y&lt;200 lln)</t>
  </si>
  <si>
    <t xml:space="preserve">aantal leerlingen onderbouw </t>
  </si>
  <si>
    <t xml:space="preserve">aantal leerlingen bovenbouw </t>
  </si>
  <si>
    <t>aantal gewichtsleerlingen</t>
  </si>
  <si>
    <t>aantal leerlingen bas</t>
  </si>
  <si>
    <t>aantal leerlingen sbo</t>
  </si>
  <si>
    <t>nevenvestiging</t>
  </si>
  <si>
    <t>FTE directie</t>
  </si>
  <si>
    <t>Personele bekostiging</t>
  </si>
  <si>
    <t>Overige subsidies OCW</t>
  </si>
  <si>
    <t>baten werk in opdracht van derden</t>
  </si>
  <si>
    <t>Minus: Overdrachten bestuur</t>
  </si>
  <si>
    <t xml:space="preserve">Overdracht naar bestuur </t>
  </si>
  <si>
    <t>o.b.v. percentage rijksbijdragen/ personele bekostiging</t>
  </si>
  <si>
    <t>Overdracht van bestuur</t>
  </si>
  <si>
    <t>saldo overdrachten</t>
  </si>
  <si>
    <t>FTE onderwijzend personeel</t>
  </si>
  <si>
    <r>
      <t xml:space="preserve">SWV </t>
    </r>
    <r>
      <rPr>
        <b/>
        <sz val="10"/>
        <rFont val="Calibri"/>
        <family val="2"/>
      </rPr>
      <t xml:space="preserve">zonder </t>
    </r>
    <r>
      <rPr>
        <sz val="10"/>
        <rFont val="Calibri"/>
        <family val="2"/>
      </rPr>
      <t>SBO (ja / nee)</t>
    </r>
  </si>
  <si>
    <t>Baten</t>
  </si>
  <si>
    <t xml:space="preserve">Saldo baten en lasten </t>
  </si>
  <si>
    <t xml:space="preserve">of een (vestiging van een) school in een zogenaamd Impulsgebied staat. </t>
  </si>
  <si>
    <t xml:space="preserve">Automatisch wordt op basis van de opgegeven viercijferige postcode bepaald of de vestiging in een impulsgebied ligt. </t>
  </si>
  <si>
    <t xml:space="preserve">Is er sprake van een impulsgebied, dan ontvangt de school een extra bedrag voor elke leerling met een gewicht van 0,3 of 1,2. </t>
  </si>
  <si>
    <t xml:space="preserve">De kosten van BAPO worden apart berekend en weergegeven, evenals de gratificatie voor jubilea. De BAPO kosten worden niet langer ten laste </t>
  </si>
  <si>
    <t>gebracht van de voorziening BAPO, maar vallen nu onder de loonkosten.</t>
  </si>
  <si>
    <t>rijksbijdragen/  totale baten</t>
  </si>
  <si>
    <t>overige overheidsbijdragen/ totale baten</t>
  </si>
  <si>
    <t>overige baten/  totale baten</t>
  </si>
  <si>
    <t>investeringen/  totale baten</t>
  </si>
  <si>
    <t>Kapitalisatiefactor</t>
  </si>
  <si>
    <t>totaal vermogen</t>
  </si>
  <si>
    <t>Kengetallen PO</t>
  </si>
  <si>
    <t>poraad</t>
  </si>
  <si>
    <t>bekostiging impulsgebieden</t>
  </si>
  <si>
    <t>aanvullende bekostiging schoolleider 1</t>
  </si>
  <si>
    <t>aanvullende bekostiging schoolleider 2</t>
  </si>
  <si>
    <t>NOAT</t>
  </si>
  <si>
    <t>SWV zonder sbo: zorgbudget materieel (2% ll.)</t>
  </si>
  <si>
    <t>Normatieve Rijksbijdrage OCW</t>
  </si>
  <si>
    <t>a</t>
  </si>
  <si>
    <t>b</t>
  </si>
  <si>
    <t>c</t>
  </si>
  <si>
    <t>d</t>
  </si>
  <si>
    <t>e</t>
  </si>
  <si>
    <t>f</t>
  </si>
  <si>
    <t>h</t>
  </si>
  <si>
    <t>g</t>
  </si>
  <si>
    <t>artikel 7</t>
  </si>
  <si>
    <t>artikel 8</t>
  </si>
  <si>
    <t>artikel 33</t>
  </si>
  <si>
    <t>artikel 9</t>
  </si>
  <si>
    <t>artikel 2 t/m 6</t>
  </si>
  <si>
    <t>1. Selecteer lichtgeel gearceerde gebied in dit werkblad</t>
  </si>
  <si>
    <t xml:space="preserve">- ga in linkerbovenhoek staan van het lichtgeel gearceerde gebied waarin selectie van deze school geplakt moet worden </t>
  </si>
  <si>
    <t>Sinds het schooljaar 09-10 geldt een aanvullende regeling voor de bekostiging van het onderwijsachterstandenbeleid. Daarvoor is het van belang</t>
  </si>
  <si>
    <t>Deze baten worden berekend conform de laatst bekende gegevens van de regeling budget PB.</t>
  </si>
  <si>
    <t>eenheden</t>
  </si>
  <si>
    <t>aantal /</t>
  </si>
  <si>
    <t>versie</t>
  </si>
  <si>
    <t>Het model is beveiligd met het wachtwoord:</t>
  </si>
  <si>
    <t>Voorziening Jubilea</t>
  </si>
  <si>
    <t>Desgewenst kunt u het model dus aanpassen, maar kennis van Excel is dan wel vereist.</t>
  </si>
  <si>
    <t>SOMMATIEGEGEVENS</t>
  </si>
  <si>
    <t>2. Open sommatietiemodel</t>
  </si>
  <si>
    <t>De invoer bij de aangegeven cellen spreekt voor zich. Voor een juiste begroting moeten de witte cellen worden ingevuld.</t>
  </si>
  <si>
    <t xml:space="preserve">In de gele cellen doet het model middels een formule een voorstel (veelal uitgaand van een situatie van krimp noch groei). Deze </t>
  </si>
  <si>
    <t>cellen zijn echter overschrijfbaar / niet beveiligd. De overige cellen zijn beveiligd met een wachtwoord.</t>
  </si>
  <si>
    <t>Hierna de kanttekeningen bij die invoer waar dat nodig is.</t>
  </si>
  <si>
    <t>De invoer van de leerlinggegevens vergt een prognose voor de jaren daarna.</t>
  </si>
  <si>
    <t>- meubilair</t>
  </si>
  <si>
    <t>- ICT</t>
  </si>
  <si>
    <t xml:space="preserve">Een nauwkeurige opgave van het verwachte leerlingenaantal zorgt voor een zo deugdelijk mogelijke begroting van de inkomsten. </t>
  </si>
  <si>
    <t>In verband met de berekening van het budget materiële instandhouding (Londo) wordt ook gevraagd om opgave van het aantal leerlingen NOAT.</t>
  </si>
  <si>
    <t>dove kinderen</t>
  </si>
  <si>
    <t>slechthorende kinderen</t>
  </si>
  <si>
    <t>lichamelijk gehandicapte kinderen</t>
  </si>
  <si>
    <t>langdurig zieke kinderen met een lichamelijke handicap</t>
  </si>
  <si>
    <t>meervoudig gehandicapte leerlingen</t>
  </si>
  <si>
    <t>cluster 4</t>
  </si>
  <si>
    <t>Schoolgewicht voor toepassing art. 27 lid 3</t>
  </si>
  <si>
    <t>Rugzakken</t>
  </si>
  <si>
    <t>dotatie aan de voorziening jubileum</t>
  </si>
  <si>
    <t>personeel</t>
  </si>
  <si>
    <t>kinderen met ernstige spraakmoeilijkheden</t>
  </si>
  <si>
    <t>materieel</t>
  </si>
  <si>
    <t xml:space="preserve">Materieel </t>
  </si>
  <si>
    <t>Salaristabel</t>
  </si>
  <si>
    <t>leerlinggebonden financiering (rugzakje)</t>
  </si>
  <si>
    <t>mutatie Liquide middelen (balans)</t>
  </si>
  <si>
    <t>School zonder nevenvestiging</t>
  </si>
  <si>
    <t>In een heel enkel geval heeft een samenwerkingsverband WSNS geen SBO. Alleen in dat geval 'ja' invullen.</t>
  </si>
  <si>
    <t xml:space="preserve">werktijdfactor dan 0,0000. Ook is het van belang dat er een naam ingevuld wordt (geldt ook bij op en oop), anders worden de berekeningen in die  </t>
  </si>
  <si>
    <t>regel niet uitgevoerd.</t>
  </si>
  <si>
    <t>grootboeknr.</t>
  </si>
  <si>
    <t>VOORZIENING GROOT ONDERHOUD</t>
  </si>
  <si>
    <t>ACTIVAOVERZICHT</t>
  </si>
  <si>
    <t>Procedure</t>
  </si>
  <si>
    <t>In dit werkblad worden de afschrijvingen bepaald die ten laste van de (materiële) exploitatie van de school worden gebracht.</t>
  </si>
  <si>
    <t>Stand voorziening onderhoud per 01-01</t>
  </si>
  <si>
    <t>Zichtbaar te maken met Opmaak/Blad/Zichtbaar maken.</t>
  </si>
  <si>
    <t>1. Basisgegevens (geg)</t>
  </si>
  <si>
    <t>Algemeen</t>
  </si>
  <si>
    <t>1.1 Leerlinggebonden financiering (rugzak)</t>
  </si>
  <si>
    <t>De leerlinggebonden financiering vindt plaats op basis van de T-systematiek: per de eerste van de maand volgend op de datum van inschrijving.</t>
  </si>
  <si>
    <t xml:space="preserve">Daarom kan het aantal leerlingen van maand tot maand verschillen. In dit werkblad wordt opgave gevraagd van het aantal leerlingen per </t>
  </si>
  <si>
    <t xml:space="preserve">geindiceerde schoolsoort per maand. </t>
  </si>
  <si>
    <t xml:space="preserve">In dit werkblad is tevens opgenomen de opgave van het aantal leerlingen dat op analoge wijze bekostigd wordt voor het blinden- resp. het </t>
  </si>
  <si>
    <t>slechtzienden onderwijs, terwijl ook de aparte regeling voor zmlk-leerlingen in groep 3 t/m 8 van de basisschool hier is opgenomen.</t>
  </si>
  <si>
    <t>2. Personeel (pers)</t>
  </si>
  <si>
    <t xml:space="preserve">gebracht. Dit bedrag wordt via het werkblad "som" overgebracht in het sommatiemodel en ten gunste van de exploitatie van </t>
  </si>
  <si>
    <t>het bestuurskantoor gebracht.</t>
  </si>
  <si>
    <t>Bij overige subsidies OCW kunt u de betreffende inkomsten opgeven, naast de baten die via het werkblad rugzak zijn berekend.</t>
  </si>
  <si>
    <t>Het bedrag Convenant schoolleiding PO (Gele Katern 2004, nr. 17) is opgenomen in het budget PB en afzonderlijk weergegeven.</t>
  </si>
  <si>
    <t xml:space="preserve">de informatie van alle scholen bij elkaar opgeteld tezamen met de baten en lasten van het bestuurskantoor. Hierdoor ontstaat op bestuursniveau </t>
  </si>
  <si>
    <t>2.1 Loonkosten directie (dir)</t>
  </si>
  <si>
    <t>2.2 Loonkosten onderwijzend personeel (op)</t>
  </si>
  <si>
    <t>2.3 Loonkosten onderwijsondersteunend personeel (oop)</t>
  </si>
  <si>
    <t>3. Materieel (mat)</t>
  </si>
  <si>
    <t xml:space="preserve">Door een vast percentage per bekostigingselement vast te stellen kunnen gelden van de school bovenschools worden gebracht. </t>
  </si>
  <si>
    <t>kosten, te weten dotatie onderhoud resp. afschrijvingen, zijn opgenomen in de werkbladen "mop" en "mip". Voor de jaarlijkse kosten moet voor de komende</t>
  </si>
  <si>
    <t>3.1 Meerjarenonderhoudsplan (mop)</t>
  </si>
  <si>
    <t>3.2 Meerjaren investeringsplan (mip)</t>
  </si>
  <si>
    <t>3.3 Activa (act)</t>
  </si>
  <si>
    <t xml:space="preserve">positief of negatief is. </t>
  </si>
  <si>
    <t>een meerjarig zicht op de exploitatie en balans.</t>
  </si>
  <si>
    <t>Dotatie vanuit exploitatie (materieel)</t>
  </si>
  <si>
    <t>Onttrekking</t>
  </si>
  <si>
    <t>Gegevens voor bepaling materiële instandhouding (o.b.v. kalenderjaar)</t>
  </si>
  <si>
    <t>2012/13</t>
  </si>
  <si>
    <t>voorraden</t>
  </si>
  <si>
    <t>effecten</t>
  </si>
  <si>
    <t>vorderingen</t>
  </si>
  <si>
    <t xml:space="preserve">activiteiten te kunnen financieren. Het corrigeren vindt plaats door per bekostigingselement een percentage vast te stellen dat bovenschools wordt </t>
  </si>
  <si>
    <t>sofinr.</t>
  </si>
  <si>
    <t>Eindsaldo liquide middelen</t>
  </si>
  <si>
    <t>BASISGEGEVENS</t>
  </si>
  <si>
    <t>Nadere informatie</t>
  </si>
  <si>
    <t>De lasten in het kader van de materiële instandhouding kunnen worden onderverdeeld in jaarlijkse en meerjaarlijkse kosten. De meerjaarlijkse</t>
  </si>
  <si>
    <t>Lasten</t>
  </si>
  <si>
    <t>School ligt in impulsgebied</t>
  </si>
  <si>
    <t>Aantal gewichtenleerlingen</t>
  </si>
  <si>
    <t>Formatie</t>
  </si>
  <si>
    <t>Materiele exploitatie</t>
  </si>
  <si>
    <t>aug</t>
  </si>
  <si>
    <t>sept</t>
  </si>
  <si>
    <t>okt</t>
  </si>
  <si>
    <t>nov</t>
  </si>
  <si>
    <t>dec</t>
  </si>
  <si>
    <t>jan</t>
  </si>
  <si>
    <t>feb</t>
  </si>
  <si>
    <t>mrt</t>
  </si>
  <si>
    <t>apr</t>
  </si>
  <si>
    <t>mei</t>
  </si>
  <si>
    <t>juni</t>
  </si>
  <si>
    <t>juli</t>
  </si>
  <si>
    <t>gem ll</t>
  </si>
  <si>
    <t>Bekostiging formatie</t>
  </si>
  <si>
    <t>Bekostiging materieel</t>
  </si>
  <si>
    <t>Totaal</t>
  </si>
  <si>
    <t>Raming rugzak personeel naar kalenderjaar</t>
  </si>
  <si>
    <t>Raming rugzak materieel naar kalenderjaar</t>
  </si>
  <si>
    <t>Bedrag per gewichtenleerling Impulsgebied</t>
  </si>
  <si>
    <t>werkgeverslasten bij opname bapo</t>
  </si>
  <si>
    <t>PAB budget</t>
  </si>
  <si>
    <t>éénmalig</t>
  </si>
  <si>
    <t xml:space="preserve">Rijksbijdragen OCW </t>
  </si>
  <si>
    <t>Onderwijsachterstandenbeleid</t>
  </si>
  <si>
    <t>wv. voor vroegschoolse educatie</t>
  </si>
  <si>
    <t>wv voor vroegschoolse educatie</t>
  </si>
  <si>
    <t>wv. vroegschoolse educatie (leeftijdsafhankelijk deel)</t>
  </si>
  <si>
    <t>onderbouwformatie (vast deel)</t>
  </si>
  <si>
    <t>bovenbouwformatie (vast deel)</t>
  </si>
  <si>
    <t>onderbouwformatie (leeftijdsafhankelijk deel)</t>
  </si>
  <si>
    <t>bovenbouwformatie (leeftijdsafhankelijk deel)</t>
  </si>
  <si>
    <t>onderw.achterst. (vast deel) (schoolgewicht)</t>
  </si>
  <si>
    <t>onderw.achterst. (leeftijdsafhankelijk deel) (schoolgewicht)</t>
  </si>
  <si>
    <t>wv. vroegschoolse educatie (vast deel)</t>
  </si>
  <si>
    <t xml:space="preserve">Voor dit werkblad geldt hetgeen in het vorige werkblad is vermeld eveneens. </t>
  </si>
  <si>
    <t>De exploitatie levert ook tal van kengetallen die er toe doen zoals relevante bedragen per leerling en verhoudingsgetallen. Die spreken voor zich.</t>
  </si>
  <si>
    <t xml:space="preserve">Hebt u vragen of opmerkingen, adviezen enzovoorts over dit instrument, dan zijn we daar nieuwsgierig naar: </t>
  </si>
  <si>
    <t xml:space="preserve">In dit werkblad worden alle budgetten weergegeven die betrekking hebben op de bekostiging van personeel en personeelsbeleid. </t>
  </si>
  <si>
    <t>Jubilea kosten</t>
  </si>
  <si>
    <t>Bapo kosten</t>
  </si>
  <si>
    <t>Dotatie jubilea</t>
  </si>
  <si>
    <t>Impulsgebieden onderwijsachterstandenbeleid</t>
  </si>
  <si>
    <t>basisbedrag=</t>
  </si>
  <si>
    <t>schoolleiding kleine school =</t>
  </si>
  <si>
    <t>A = leerling</t>
  </si>
  <si>
    <t>B = gewichtsleerling</t>
  </si>
  <si>
    <t>C = KST geld/ vast</t>
  </si>
  <si>
    <t>C = KST geld/ leerling</t>
  </si>
  <si>
    <t xml:space="preserve">In dit werkblad dienen de personele gegevens te worden opgegeven die noodzakelijk zijn voor de berekening van de loonkosten. Omdat in de latere </t>
  </si>
  <si>
    <t xml:space="preserve">schooljaren de gegevens van de eerdere schooljaren worden gebruikt voor het maken van berekeningen, is het noodzakelijk ook de personeelsleden </t>
  </si>
  <si>
    <t xml:space="preserve">die in latere jaren worden benoemd alvast in het eerste schooljaar op te nemen. Voor de jaren waarin ze nog niet zijn aangesteld wordt hun </t>
  </si>
  <si>
    <t>zodat alle mogelijke uitgaven van personele aard hier kunnen worden opgegeven.</t>
  </si>
  <si>
    <t xml:space="preserve">De totale loonkosten worden in de laatste kolom weergegeven, ter informatie en voor vergelijking met soortgelijke gegevens van het </t>
  </si>
  <si>
    <t xml:space="preserve">administratiekantoor (AK). In dat kader is het van belang er op te wijzen dat in dit instrument geen exacte loonberekening met alle specifieke </t>
  </si>
  <si>
    <t xml:space="preserve">Bij dit werkblad geldt bovendien dat de gewogen gemiddelde leeftijd (GGL) wordt berekend op grond van de opgave van de geboortedatum van de </t>
  </si>
  <si>
    <t>personeelsleden in combinatie met de opgegeven werktijdfactor.</t>
  </si>
  <si>
    <t>LIO-ers moeten daarom niet in dit werkblad maar in het werkblad voor onderwijsondersteunend personeel worden opgenomen.</t>
  </si>
  <si>
    <t xml:space="preserve">De balans is voor zover mogelijk automatisch aangemaakt maar vergt nog aanvullende gegevens. De indeling spoort volledig met de voorschriften </t>
  </si>
  <si>
    <t>investeringen t.l.v. school</t>
  </si>
  <si>
    <t>groot onderhoud t.l.v. school</t>
  </si>
  <si>
    <t>terzake van het departement. Op grond van de balans en de exploitatierekening worden de meest relevante financiële kengetallen vastgesteld.</t>
  </si>
  <si>
    <t xml:space="preserve">In dit werkblad zijn alleen relevante kengetallen opgenomen. In het eerste deel zijn de kengetallen opgenomen die zijn voorgeschreven in de </t>
  </si>
  <si>
    <t xml:space="preserve">OCW-richtlijn en die elke school als zodanig moet leveren. </t>
  </si>
  <si>
    <t>moeten worden.</t>
  </si>
  <si>
    <t xml:space="preserve">Vervangers ten laste van het Vervangingsfonds (blijven ook buiten beschouwing bij de bepaling van de GGL) dienen überhaupt niet opgenomen </t>
  </si>
  <si>
    <t>te worden. Hun kosten worden immers gedeclareerd ten laste van het Vervangingsfonds en blijven daarom buiten de begroting.</t>
  </si>
  <si>
    <t>Personeel/ formatie</t>
  </si>
  <si>
    <t>lasten personeelsbeleid/ totale lasten</t>
  </si>
  <si>
    <t xml:space="preserve">Hier wordt op grond van de leerlingaantallen en de GGL de normatieve rijksbijdrage voor uw personeel/ formatie berekend. </t>
  </si>
  <si>
    <t>bovenschools</t>
  </si>
  <si>
    <t>Rijksbijdrage OCW</t>
  </si>
  <si>
    <t>Eigen vermogen</t>
  </si>
  <si>
    <t>- klik op rechter muisknop</t>
  </si>
  <si>
    <t>dienst</t>
  </si>
  <si>
    <t xml:space="preserve">jaren </t>
  </si>
  <si>
    <t>leeftijd</t>
  </si>
  <si>
    <t>WTF</t>
  </si>
  <si>
    <t>DA</t>
  </si>
  <si>
    <t>DB</t>
  </si>
  <si>
    <t>DC</t>
  </si>
  <si>
    <t>LA</t>
  </si>
  <si>
    <t>LB</t>
  </si>
  <si>
    <t>LC</t>
  </si>
  <si>
    <t>AA</t>
  </si>
  <si>
    <t>AB</t>
  </si>
  <si>
    <t>AC</t>
  </si>
  <si>
    <t>AD</t>
  </si>
  <si>
    <t>DD</t>
  </si>
  <si>
    <t>DE</t>
  </si>
  <si>
    <t>AE</t>
  </si>
  <si>
    <t>LD</t>
  </si>
  <si>
    <t>LE</t>
  </si>
  <si>
    <t>totaal + 3 %</t>
  </si>
  <si>
    <t>4-7 jaar</t>
  </si>
  <si>
    <t>vanaf 8 jaar</t>
  </si>
  <si>
    <t>gewichtsafhankelijke vergoeding</t>
  </si>
  <si>
    <t>Ontwikkeling salarislasten</t>
  </si>
  <si>
    <t>Ontwikkeling lasten personeelsbeleid</t>
  </si>
  <si>
    <t>eigen bijdrage bapo (dir, op en oop &gt;8 )</t>
  </si>
  <si>
    <t>eigen bijdrage bapo (oop&lt;=8)</t>
  </si>
  <si>
    <t>Groepsafhankelijke PvE's</t>
  </si>
  <si>
    <t>Leerlingafhankelijke PvE's</t>
  </si>
  <si>
    <t>2% leerlingen</t>
  </si>
  <si>
    <t>salaristabellen</t>
  </si>
  <si>
    <t>schaal / regel</t>
  </si>
  <si>
    <t>regels</t>
  </si>
  <si>
    <t>DBuit</t>
  </si>
  <si>
    <t>DCuit</t>
  </si>
  <si>
    <t>LIOa</t>
  </si>
  <si>
    <t>LIOb</t>
  </si>
  <si>
    <t>ID1</t>
  </si>
  <si>
    <t>ID3</t>
  </si>
  <si>
    <t>Gewichtenregeling</t>
  </si>
  <si>
    <t>functie</t>
  </si>
  <si>
    <t>directie</t>
  </si>
  <si>
    <t>genormeerd aantal groepen (G)</t>
  </si>
  <si>
    <t>KENGETALLEN</t>
  </si>
  <si>
    <t>Aantal FTE</t>
  </si>
  <si>
    <t>Vlottende activa</t>
  </si>
  <si>
    <t>Vaste activa</t>
  </si>
  <si>
    <t>Langlopende schulden</t>
  </si>
  <si>
    <t>Kortlopende schulden</t>
  </si>
  <si>
    <t>Liquiditeit</t>
  </si>
  <si>
    <t>Crediteuren</t>
  </si>
  <si>
    <t>ID2</t>
  </si>
  <si>
    <t>Extra vergoeding (swv zonder sbo)</t>
  </si>
  <si>
    <t xml:space="preserve">totaal </t>
  </si>
  <si>
    <t>kleine scholentoeslag</t>
  </si>
  <si>
    <t>schooljaar</t>
  </si>
  <si>
    <t>factor OB</t>
  </si>
  <si>
    <t>factor BB</t>
  </si>
  <si>
    <t>factor gewicht</t>
  </si>
  <si>
    <t>groepsformatie onderbouw</t>
  </si>
  <si>
    <t>groepsformatie bovenbouw</t>
  </si>
  <si>
    <t>naam</t>
  </si>
  <si>
    <t>onderwijzend personeel</t>
  </si>
  <si>
    <t>Salarisgegevens</t>
  </si>
  <si>
    <t xml:space="preserve">WTF </t>
  </si>
  <si>
    <t>GGL</t>
  </si>
  <si>
    <t>aanschaf</t>
  </si>
  <si>
    <t>bedrag</t>
  </si>
  <si>
    <t>jaar van</t>
  </si>
  <si>
    <t>teldatum leerlingen (t-1) per 1 oktober</t>
  </si>
  <si>
    <t>onderbouw</t>
  </si>
  <si>
    <t>bovenbouw</t>
  </si>
  <si>
    <t>vloer kleine school</t>
  </si>
  <si>
    <t>aftrek kleine school</t>
  </si>
  <si>
    <t>onderwijsachterstand (BOA)</t>
  </si>
  <si>
    <t>groeiformatie A + B</t>
  </si>
  <si>
    <t>toeslag directie</t>
  </si>
  <si>
    <t>aantal ll voor kleine school</t>
  </si>
  <si>
    <t>loonkosten</t>
  </si>
  <si>
    <t>situatie per</t>
  </si>
  <si>
    <t>vast bedrag per school</t>
  </si>
  <si>
    <t xml:space="preserve">Met het oog op het maken van een meerjarenbegroting per schooljaar is nu ook een (gecomprimeerde) begroting Materieel gemaakt per schooljaar waarbij </t>
  </si>
  <si>
    <t>kleine scholen toeslag</t>
  </si>
  <si>
    <t>leerlingafhankelijke vergoeding</t>
  </si>
  <si>
    <t>termijn</t>
  </si>
  <si>
    <t>MEERJARENBALANS</t>
  </si>
  <si>
    <t>(maand)</t>
  </si>
  <si>
    <t>loonkosten OOP</t>
  </si>
  <si>
    <t>loonkosten OP</t>
  </si>
  <si>
    <t>loonkosten directie</t>
  </si>
  <si>
    <t>genormeerd bruto grondoppervlak (A)</t>
  </si>
  <si>
    <t>leeft</t>
  </si>
  <si>
    <t>Ontwikkeling aantal leerlingen (schooljaar)</t>
  </si>
  <si>
    <t>Ontwikkeling aantal FTE (schooljaar)</t>
  </si>
  <si>
    <t>aantal leerlingen per FTE</t>
  </si>
  <si>
    <t>aantal leerlingen per FTE directie</t>
  </si>
  <si>
    <t>stand voorziening  per 31/12</t>
  </si>
  <si>
    <t>Voorzieningen</t>
  </si>
  <si>
    <t>schaal</t>
  </si>
  <si>
    <t>bapo</t>
  </si>
  <si>
    <t>loonkosten directie / totale loonkosten</t>
  </si>
  <si>
    <t>loonkosten OP / totale loonkosten</t>
  </si>
  <si>
    <t>gecorr.</t>
  </si>
  <si>
    <t>omrekening naar kalenderjaar</t>
  </si>
  <si>
    <t xml:space="preserve">loonkosten totaal </t>
  </si>
  <si>
    <t>afschrijving</t>
  </si>
  <si>
    <t>Financiële kengetallen</t>
  </si>
  <si>
    <t>Indices</t>
  </si>
  <si>
    <t>investering</t>
  </si>
  <si>
    <t xml:space="preserve">aantal leerlingen per FTE </t>
  </si>
  <si>
    <t>Rentabiliteit</t>
  </si>
  <si>
    <t>GRAFIEKEN</t>
  </si>
  <si>
    <t>omslagpunt lln. directietoeslag</t>
  </si>
  <si>
    <t>voet kleine scholen toeslag (vast deel)</t>
  </si>
  <si>
    <t>voet kleine scholen toeslag (leeftijdsafhankelijk deel)</t>
  </si>
  <si>
    <t>aftrek kleine scholen toeslag (vast deel)</t>
  </si>
  <si>
    <t>aftrek kleine scholen toeslag (leeftijdsafhankelijk deel)</t>
  </si>
  <si>
    <t>zeer kleine scholen toeslag (vast deel)</t>
  </si>
  <si>
    <t>zeer kleine scholen toeslag (leeftijdsafhankelijk deel)</t>
  </si>
  <si>
    <t xml:space="preserve">In dit blad worden diverse kengetallen en de ontwikkeling daarvan grafisch weergegeven. </t>
  </si>
  <si>
    <t>Viercijferige postcode hoofdvestiging</t>
  </si>
  <si>
    <t>Viercijferige postcode nevenvestiging</t>
  </si>
  <si>
    <t>Postcode-gebieden:</t>
  </si>
  <si>
    <t>Saldo financiële baten en lasten</t>
  </si>
  <si>
    <t xml:space="preserve">Het gegeven van de bekostiging per maand maakt het ook mogelijk om de bekostiging per kalenderjaar exact te bepalen in plaats van op basis van </t>
  </si>
  <si>
    <t>De grafieken kunnen desgewenst worden gebruikt ter illustratie van het jaarverslag.</t>
  </si>
  <si>
    <t>(G)</t>
  </si>
  <si>
    <t xml:space="preserve">br. grondopp. </t>
  </si>
  <si>
    <t>(A)</t>
  </si>
  <si>
    <t>factor KST</t>
  </si>
  <si>
    <t>correctie KST</t>
  </si>
  <si>
    <t>Weerstandsvermogen</t>
  </si>
  <si>
    <t>kosten</t>
  </si>
  <si>
    <t>trede</t>
  </si>
  <si>
    <t>Hoofdvestiging</t>
  </si>
  <si>
    <t>salaire toeslag schoolleiding</t>
  </si>
  <si>
    <t>teldatum</t>
  </si>
  <si>
    <t xml:space="preserve">Schoolgewicht </t>
  </si>
  <si>
    <t>nee</t>
  </si>
  <si>
    <t>Financiële baten</t>
  </si>
  <si>
    <t>Financiële lasten</t>
  </si>
  <si>
    <t>percentage onderbouwleerlingen (1 oktober t-1)</t>
  </si>
  <si>
    <t>percentage bovenbouwleerlingen (1 oktober t-1)</t>
  </si>
  <si>
    <t>Gebouwen en terreinen</t>
  </si>
  <si>
    <t>Inventaris en apparatuur</t>
  </si>
  <si>
    <t>Overige materiële vaste activa</t>
  </si>
  <si>
    <t>aanschafprijs</t>
  </si>
  <si>
    <t>afschrijvings-</t>
  </si>
  <si>
    <t>omschrijving</t>
  </si>
  <si>
    <t>activagroep</t>
  </si>
  <si>
    <t>(per eenheid)</t>
  </si>
  <si>
    <t>groep</t>
  </si>
  <si>
    <t xml:space="preserve">lokaal / </t>
  </si>
  <si>
    <t>kalenderjaar</t>
  </si>
  <si>
    <t>Overige baten</t>
  </si>
  <si>
    <t>Personele lasten</t>
  </si>
  <si>
    <t>Afschrijvingen</t>
  </si>
  <si>
    <t>Huisvestingslasten</t>
  </si>
  <si>
    <t>Rijksbijdragen OCW</t>
  </si>
  <si>
    <t>Ministerie van OCW</t>
  </si>
  <si>
    <t>wordt automatisch berekend op grond van het door u ingevulde OP-bestand. (zie loonkosten onderwijzend personeel / werkblad "op")</t>
  </si>
  <si>
    <t>In het tweede deel zijn de financiële kengetallen opgenomen, met daarbij eveneens een kolom waarin de bestuursnorm kan worden vastgelegd.</t>
  </si>
  <si>
    <t>Kredietinstellingen</t>
  </si>
  <si>
    <t>Algemene reserve</t>
  </si>
  <si>
    <t>Bestemmingsreserve 1</t>
  </si>
  <si>
    <t>Bestemmingsreserve 2</t>
  </si>
  <si>
    <t>Bestemmingsreserve 3</t>
  </si>
  <si>
    <t>Activa totaal</t>
  </si>
  <si>
    <t>Activa</t>
  </si>
  <si>
    <t>Passiva</t>
  </si>
  <si>
    <t>Passiva totaal</t>
  </si>
  <si>
    <t>baten materieel / lasten materieel</t>
  </si>
  <si>
    <t>baten personeel/ totale baten</t>
  </si>
  <si>
    <t>baten materieel / totale baten</t>
  </si>
  <si>
    <t>Aantal gewichtenleerlingen (0,3 en 1,2)</t>
  </si>
  <si>
    <t>2014/15</t>
  </si>
  <si>
    <t>Postcode school</t>
  </si>
  <si>
    <t>Overige langlopende schulden</t>
  </si>
  <si>
    <t>Belastingen en premies sociale verzekeringen</t>
  </si>
  <si>
    <t>Schulden terzake pensioenen</t>
  </si>
  <si>
    <t>Overige kortlopende schulden</t>
  </si>
  <si>
    <t>Overlopende passiva</t>
  </si>
  <si>
    <t>personele lasten per leerling</t>
  </si>
  <si>
    <t>totale baten / totale lasten</t>
  </si>
  <si>
    <t>kosten materieel / totale lasten</t>
  </si>
  <si>
    <t>Ontwikkeling totale baten</t>
  </si>
  <si>
    <t>Ontwikkeling totale lasten</t>
  </si>
  <si>
    <t>Onwikkelling huisvestingslasten</t>
  </si>
  <si>
    <t>Ontwikkeling afschrijvingen</t>
  </si>
  <si>
    <t>Ontwikkeling Rijksbijdragen</t>
  </si>
  <si>
    <t>Ontwikkeling overige overheidsbijdragen</t>
  </si>
  <si>
    <t>Ontwikkeling overige baten</t>
  </si>
  <si>
    <t>Leermiddelen PO</t>
  </si>
  <si>
    <t>laatste</t>
  </si>
  <si>
    <t>beslisregel</t>
  </si>
  <si>
    <t>Waarde activa per 31-12</t>
  </si>
  <si>
    <t>aanschaf-</t>
  </si>
  <si>
    <t>waarde</t>
  </si>
  <si>
    <t>per jaar</t>
  </si>
  <si>
    <t>totaal</t>
  </si>
  <si>
    <t>Waarde activa per 01-01</t>
  </si>
  <si>
    <t>directiekosten per leerling</t>
  </si>
  <si>
    <t>kosten OP per leerling</t>
  </si>
  <si>
    <t>bij bepalen 'G'</t>
  </si>
  <si>
    <t>geboorte</t>
  </si>
  <si>
    <t>datum</t>
  </si>
  <si>
    <t>gebdat</t>
  </si>
  <si>
    <t>dir</t>
  </si>
  <si>
    <t>op</t>
  </si>
  <si>
    <t>berek I</t>
  </si>
  <si>
    <t>berek II</t>
  </si>
  <si>
    <t xml:space="preserve">eigen vermogen </t>
  </si>
  <si>
    <t>balanstotaal</t>
  </si>
  <si>
    <t>kortlopende schulden</t>
  </si>
  <si>
    <t>totale baten</t>
  </si>
  <si>
    <t>eigen vermogen</t>
  </si>
  <si>
    <t>materiële vaste activa</t>
  </si>
  <si>
    <t>rijksbijdrage OC&amp;W</t>
  </si>
  <si>
    <t>personele lasten/ totale lasten</t>
  </si>
  <si>
    <t>formatie BOA (onderwijsachterstanden)</t>
  </si>
  <si>
    <t>LOONKOSTEN DIRECTIE</t>
  </si>
  <si>
    <t>LOONKOSTEN ONDERWIJZEND PERSONEEL</t>
  </si>
  <si>
    <t>Persoonsgegevens</t>
  </si>
  <si>
    <t xml:space="preserve">Persoonsgegevens </t>
  </si>
  <si>
    <t>werkgeverslasten</t>
  </si>
  <si>
    <t>Mutatie Liquide middelen</t>
  </si>
  <si>
    <t>Kasstroom uit operationele activiteiten</t>
  </si>
  <si>
    <t>Mutaties werkkapitaal</t>
  </si>
  <si>
    <t>Kasstroom uit investeringsactiviteiten</t>
  </si>
  <si>
    <t>Mutaties voorzieningen</t>
  </si>
  <si>
    <t>Kasstroom uit financieringsactiviteiten</t>
  </si>
  <si>
    <t>Leermiddelen</t>
  </si>
  <si>
    <t>diensttijd</t>
  </si>
  <si>
    <t>totaal leerlingafhankelijk</t>
  </si>
  <si>
    <t>groepen</t>
  </si>
  <si>
    <t>toename</t>
  </si>
  <si>
    <t>norm na 6</t>
  </si>
  <si>
    <t>Het van het ministerie ontvangen formatiebudget kan worden gecorrigeerd met een bedrag dat bovenschools wordt gebracht om bovenschoolse</t>
  </si>
  <si>
    <t>bekostiging.</t>
  </si>
  <si>
    <t>Conform de indeling van de jaarrekening is nog opgave mogelijk voor overige overheidsbijdragen c.q. overige baten voor personeel.</t>
  </si>
  <si>
    <t xml:space="preserve">premies en dergelijke is opgenomen, maar uitgegaan wordt van een vast percentage aan werkgeverslasten. </t>
  </si>
  <si>
    <t>Dit bedrag wordt via het werkblad "som" overgebracht naar het sommatiemodel ten gunste van de exploitatie van het bestuurskantoor.</t>
  </si>
  <si>
    <t xml:space="preserve">Bij de lasten worden de loonkosten weergegeven die in afzonderlijke werkbladen (dir, op en oop) worden berekend. </t>
  </si>
  <si>
    <t xml:space="preserve">Hiervoor is het vereist dat alle investeringen vanaf 1 januari 2006 en de toekomstige investeringen (gedurende tenminste de komende vijf jaren, maar bij </t>
  </si>
  <si>
    <t>voorkeur over een langere periode) in kaart worden gebracht.</t>
  </si>
  <si>
    <t>LGF RUGZAKDEEL BASISONDERWIJS</t>
  </si>
  <si>
    <t>Schooljaar</t>
  </si>
  <si>
    <t>Ouderbijdragen</t>
  </si>
  <si>
    <t>Sponsoring</t>
  </si>
  <si>
    <t>ouderbijdragen</t>
  </si>
  <si>
    <t>Salarissen en sociale lasten</t>
  </si>
  <si>
    <t xml:space="preserve">Dotatie groot onderhoud </t>
  </si>
  <si>
    <t>baten  bedrijfsvoering</t>
  </si>
  <si>
    <t>lasten bedrijfsvoering</t>
  </si>
  <si>
    <t>resultaat bedrijfsvoering</t>
  </si>
  <si>
    <t>baten bedrijfsvoering</t>
  </si>
  <si>
    <t xml:space="preserve">In dit werkblad kan op grond van een (door een extern bureau) opgestelde meerjarenonderhoudsplan de dotaties en onttrekkingen voor </t>
  </si>
  <si>
    <t xml:space="preserve">de komende jaren worden vastgesteld. </t>
  </si>
  <si>
    <t>Dit werkblad geeft een overzicht van hetgeen is ingevuld in de werkbladen "mop" en "mip'.</t>
  </si>
  <si>
    <t>blinde kinderen</t>
  </si>
  <si>
    <t>slechtziende kinderen</t>
  </si>
  <si>
    <t>99ZZ</t>
  </si>
  <si>
    <t xml:space="preserve">Er wordt van uitgegaan dat de eerste waardering is verwerkt in de jaarrekening van 2006. U kunt dus de waarde per 1-1-2006 ontlenen aan </t>
  </si>
  <si>
    <t xml:space="preserve">Dit werkblad omvat de gegevens die nodig zijn als een bestuur de resultaten van deze school sommeert met andere financiële gegevens. </t>
  </si>
  <si>
    <t>Formatietoekenning</t>
  </si>
  <si>
    <t>extra na 13</t>
  </si>
  <si>
    <t>vlottende activa</t>
  </si>
  <si>
    <t xml:space="preserve">salaris </t>
  </si>
  <si>
    <t>vermindering groei</t>
  </si>
  <si>
    <t>Directie</t>
  </si>
  <si>
    <t>OP (landelijk)</t>
  </si>
  <si>
    <t>OP  leeftijdsgecorrigeerd: voet</t>
  </si>
  <si>
    <t>OP  leeftijdsgecorrigeerd: bedrag * GGL</t>
  </si>
  <si>
    <t>Landelijke GGL =</t>
  </si>
  <si>
    <t>meerh sbo DB10</t>
  </si>
  <si>
    <t>meerh sbo DB11</t>
  </si>
  <si>
    <t>meerh sbo DCuit15</t>
  </si>
  <si>
    <t>meerh sbo DC13</t>
  </si>
  <si>
    <t>Budget voor personeels- en arbeidsmarktbeleid</t>
  </si>
  <si>
    <t xml:space="preserve">SWV zonder sbo met GPL-LB </t>
  </si>
  <si>
    <t>Extra vergoed (swv zonder sbo) in fie LB</t>
  </si>
  <si>
    <t>extra vergoeding (swv zonder sbo)</t>
  </si>
  <si>
    <t>meerh bas DA11</t>
  </si>
  <si>
    <t xml:space="preserve">Aantal NOAT- leerlingen </t>
  </si>
  <si>
    <t>Aanvullende vergoeding NOAT</t>
  </si>
  <si>
    <t>teldatum leerlingen per 1 oktober</t>
  </si>
  <si>
    <t>Lasten personeelsbeleid</t>
  </si>
  <si>
    <t>Procedure:</t>
  </si>
  <si>
    <t>Nevenvestiging 1</t>
  </si>
  <si>
    <t>Nevenvestiging 2</t>
  </si>
  <si>
    <t>Nevenvestiging 3</t>
  </si>
  <si>
    <t>HOOFD- EN NEVENVESTIGING</t>
  </si>
  <si>
    <t>Overige overheidsbijdragen- en subsidies</t>
  </si>
  <si>
    <t>Investeringen</t>
  </si>
  <si>
    <t>Voorziening Groot Onderhoud</t>
  </si>
  <si>
    <t>Gewogen Gemiddelde Leeftijd (1 oktober t-1)</t>
  </si>
  <si>
    <t xml:space="preserve">loonkosten/ per FTE </t>
  </si>
  <si>
    <t>loonkosten / totale lasten</t>
  </si>
  <si>
    <t>slechts invullen indien er sprake is van (een) officieel erkende nevenvestiging(en)</t>
  </si>
  <si>
    <t>extra kleine scholen toeslag hoofdvestiging</t>
  </si>
  <si>
    <t>extra kleine scholen toeslag nevenvestiging 1</t>
  </si>
  <si>
    <t>extra kleine scholen toeslag nevenvestiging 2</t>
  </si>
  <si>
    <t>extra kleine scholen toeslag nevenvestiging 3</t>
  </si>
  <si>
    <t>MEERJARENINVESTERINGSPLAN (MIP)</t>
  </si>
  <si>
    <t>Schoonmaak</t>
  </si>
  <si>
    <t>Huisvesting</t>
  </si>
  <si>
    <t>Administratie</t>
  </si>
  <si>
    <t>Totale baten</t>
  </si>
  <si>
    <t xml:space="preserve">Totale lasten </t>
  </si>
  <si>
    <t>totaal per leerling</t>
  </si>
  <si>
    <t xml:space="preserve">onderwijzend personeel </t>
  </si>
  <si>
    <t xml:space="preserve">administratief personeel </t>
  </si>
  <si>
    <t>zeer moeilijk lerende kinderen</t>
  </si>
  <si>
    <t>contractkosten inhuur (administratiekantoor)</t>
  </si>
  <si>
    <t>overige administratie lasten</t>
  </si>
  <si>
    <t>schoonmaak personeel</t>
  </si>
  <si>
    <t>contractkosten inhuur (schoonmaakbedrijf)</t>
  </si>
  <si>
    <t>schoonmaakmiddelen- en materialen</t>
  </si>
  <si>
    <t>leermiddelen uit exploitatie (incl. ICT-leermiddelen)</t>
  </si>
  <si>
    <t>afschrijving op leermiddelen (incl. ICT-leermiddelen)</t>
  </si>
  <si>
    <t>afschrijvingen op inventaris en apparatuur (incl. ICT)</t>
  </si>
  <si>
    <t>inventaris en apparatuur uit exploitatie (incl. ICT)</t>
  </si>
  <si>
    <t>huisvesting-/ onderhoudspersoneel</t>
  </si>
  <si>
    <t>afschrijving gebouwen</t>
  </si>
  <si>
    <t xml:space="preserve">klein onderhoud en exploitatie </t>
  </si>
  <si>
    <t xml:space="preserve">dotatie onderhoudsvoorziening </t>
  </si>
  <si>
    <t>huur</t>
  </si>
  <si>
    <t xml:space="preserve">aantal leerlingen per FTE OP </t>
  </si>
  <si>
    <t>zmlk groepen 3 t/m 8 basisschool</t>
  </si>
  <si>
    <t>baten financiële bedrijfsvoering</t>
  </si>
  <si>
    <t>lasten financiële bedrijfsvoering</t>
  </si>
  <si>
    <t>contractkosten inhuur onderhoud</t>
  </si>
  <si>
    <t>aanltal cumi leerlingen sbo</t>
  </si>
  <si>
    <t>aantal leerlingen (v)so jonger dan 8 jaar</t>
  </si>
  <si>
    <t>aantal leerlingen (v)so  8 jaar en ouder</t>
  </si>
  <si>
    <t>aantal leerlingen (v)so</t>
  </si>
  <si>
    <t>aantal cumi leerlingen (v)so</t>
  </si>
  <si>
    <t>aantal SO-leerlingen</t>
  </si>
  <si>
    <t>aantal VSO-leerlingen</t>
  </si>
  <si>
    <t>TAB SO</t>
  </si>
  <si>
    <t>TAB VSO</t>
  </si>
  <si>
    <t>PAB</t>
  </si>
  <si>
    <t>School omvat MG</t>
  </si>
  <si>
    <t>Verbrede  toelating SO</t>
  </si>
  <si>
    <t>Verbrede  toelating VSO</t>
  </si>
  <si>
    <t>liquiditeit (vlottende activa / kortlopende schulden)</t>
  </si>
  <si>
    <t>1. Voer per jaar de bestedingen in bij "Onttrekking" die op grond van een recent meerjarenonderhoudsplan (MOP) worden voorgesteld.</t>
  </si>
  <si>
    <t>ICT- personeel</t>
  </si>
  <si>
    <t>afschrijving op ICT- apparatuur</t>
  </si>
  <si>
    <t>ICT- apparatuur uit exploitatie</t>
  </si>
  <si>
    <t>ICT- leermiddelen uit exploitatie</t>
  </si>
  <si>
    <t xml:space="preserve">Exploitatie kengetallen </t>
  </si>
  <si>
    <t>materiele lasten per leerling</t>
  </si>
  <si>
    <t>aantal vestigingen (incl. hoofdvestiging)</t>
  </si>
  <si>
    <t>ICT (niet verplicht)</t>
  </si>
  <si>
    <t>sponsoring</t>
  </si>
  <si>
    <t>drempel gewichtenregeling</t>
  </si>
  <si>
    <t>2013/14</t>
  </si>
  <si>
    <t>o.b.v. percentage normatieve rijksbijdrage</t>
  </si>
  <si>
    <t>PERSONEEL</t>
  </si>
  <si>
    <t xml:space="preserve">MATERIEEL </t>
  </si>
  <si>
    <t>Overige lasten</t>
  </si>
  <si>
    <t xml:space="preserve">Totaal lasten materieel </t>
  </si>
  <si>
    <t>Totaal baten materieel</t>
  </si>
  <si>
    <t>totaal baten personeel</t>
  </si>
  <si>
    <t>totaal lasten personeel</t>
  </si>
  <si>
    <t>Saldo personeel</t>
  </si>
  <si>
    <t>Saldo materieel</t>
  </si>
  <si>
    <t>Overige overheidsbijdragen en - subsidies</t>
  </si>
  <si>
    <t xml:space="preserve">Overige baten </t>
  </si>
  <si>
    <t>Overige overheidsbijdragen en -subsidies</t>
  </si>
  <si>
    <t>STAAT VAN BATEN EN LASTEN</t>
  </si>
  <si>
    <t xml:space="preserve">Baten </t>
  </si>
  <si>
    <t xml:space="preserve">Overige lasten </t>
  </si>
  <si>
    <t>Saldo baten en lasten</t>
  </si>
  <si>
    <t>Resultaat</t>
  </si>
  <si>
    <t>College-, cursus-, les- en examengelden</t>
  </si>
  <si>
    <t>Baten werk in opdracht van derden</t>
  </si>
  <si>
    <t>Overgedragen budget personeel</t>
  </si>
  <si>
    <t>Overgedragen budget naar bestuursniveau</t>
  </si>
  <si>
    <t>Budget personeel</t>
  </si>
  <si>
    <t>Budget materieel</t>
  </si>
  <si>
    <t>Ontwikkeling overige lasten (materieel)</t>
  </si>
  <si>
    <t>baten personeel</t>
  </si>
  <si>
    <t>lasten personeel</t>
  </si>
  <si>
    <t>baten personeel / lasten personeel</t>
  </si>
  <si>
    <t xml:space="preserve">totale formatie is tenminste  </t>
  </si>
  <si>
    <t>Financiële baten en lasten</t>
  </si>
  <si>
    <t xml:space="preserve">Solvabiliteit </t>
  </si>
  <si>
    <t>Aantal NOAT- leerlingen +3%</t>
  </si>
  <si>
    <t>KASSTROOMOVERZICHT</t>
  </si>
  <si>
    <t>In het werkblad tabellen (tab) geldt daarentegen dat de gele cellen gewijzigd kunnen worden, de witte niet.</t>
  </si>
  <si>
    <t>r.goedhart@poraad.nl</t>
  </si>
  <si>
    <t>Reinier Goedhart, e-mail:</t>
  </si>
  <si>
    <t>www. poraad.nl</t>
  </si>
  <si>
    <t xml:space="preserve">Baten en lasten </t>
  </si>
  <si>
    <t>nn</t>
  </si>
  <si>
    <t>Overige voorzieningen</t>
  </si>
  <si>
    <t xml:space="preserve">Vaste activa </t>
  </si>
  <si>
    <t>2. Verdeel de dotatielasten gelijkmatig over de jaren heen (egalisastie van kosten) op zo'n manier dat deze voorziening nooit negatief zal uitvallen.</t>
  </si>
  <si>
    <t>2015/16</t>
  </si>
  <si>
    <t>salaris</t>
  </si>
  <si>
    <t xml:space="preserve">bruto </t>
  </si>
  <si>
    <t>bruto</t>
  </si>
  <si>
    <t>Energie en Water</t>
  </si>
  <si>
    <t xml:space="preserve">ICT </t>
  </si>
  <si>
    <t>- klik op optie "plakken speciaal" en vink "waarden" aan (onder kopje "plakken")</t>
  </si>
  <si>
    <t>waarvan gewichtenleerling:</t>
  </si>
  <si>
    <t>waarde  1/1</t>
  </si>
  <si>
    <t>3.1 Rijksbijdragen OCW</t>
  </si>
  <si>
    <t>3.2 Overige overheidsbijdragen en -subsidies</t>
  </si>
  <si>
    <t>3.5 Overige baten</t>
  </si>
  <si>
    <t>3.3 College-, cursus-, les- en examengelden</t>
  </si>
  <si>
    <t>3.4 Baten werk in opdracht van derden</t>
  </si>
  <si>
    <t>4.1 Personeelslasten</t>
  </si>
  <si>
    <t>4.2 Afschrijvingen</t>
  </si>
  <si>
    <t>4.3 Huisvestingslasten</t>
  </si>
  <si>
    <t>4.4 Overige lasten</t>
  </si>
  <si>
    <t>5.1 Financiële baten</t>
  </si>
  <si>
    <t>5.2 Financiële lasten</t>
  </si>
  <si>
    <t>1.1 Immateriële vaste activa</t>
  </si>
  <si>
    <t>1.2 Materiële vaste activa</t>
  </si>
  <si>
    <t>1.3 Financiële vaste activa</t>
  </si>
  <si>
    <t>1.4  Voorraden</t>
  </si>
  <si>
    <t>1.5 Vorderingen</t>
  </si>
  <si>
    <t>1.6 Effecten (&lt; 1jaar)</t>
  </si>
  <si>
    <t xml:space="preserve">1.7 Liquide middelen </t>
  </si>
  <si>
    <t>2.1 Eigen Vermogen</t>
  </si>
  <si>
    <t>2.2 Voorzieningen</t>
  </si>
  <si>
    <t>2.3 Langlopende schulden</t>
  </si>
  <si>
    <t>2.4 Kortlopende schulden</t>
  </si>
  <si>
    <r>
      <t xml:space="preserve">(alle investeringen </t>
    </r>
    <r>
      <rPr>
        <i/>
        <sz val="12"/>
        <rFont val="Calibri"/>
        <family val="2"/>
      </rPr>
      <t>vanaf 1 januari 2006 en alle toekomstige investeringen)</t>
    </r>
  </si>
  <si>
    <t>Basisschool</t>
  </si>
  <si>
    <t>jubilea</t>
  </si>
  <si>
    <t xml:space="preserve">In dat geval zijn meer gegevens vereist. </t>
  </si>
  <si>
    <t>Personeelsbeleid</t>
  </si>
  <si>
    <t>De baten worden op kalenderjaar berekend conform de Rijksbijdrage, conform de laatst bekende gegevens van de Londo-regeling.</t>
  </si>
  <si>
    <t xml:space="preserve">In de tabellen zijn de gegevens opgenomen die betrekking hebben op de onderliggende normeringen voor de bekostiging. </t>
  </si>
  <si>
    <t>groeitelling bij leerlinggroei van</t>
  </si>
  <si>
    <t>Leerlingenprognose</t>
  </si>
  <si>
    <t>betreft en het wordt met klem aangeraden op grond van de eigen historische gegevens zo mogelijk een nauwkeuriger percentage vast te stellen.</t>
  </si>
  <si>
    <t xml:space="preserve">Daarnaast zijn tal van onderwerpen in het kader van personeelsbeleid aan de orde en is ruimte gelaten voor invullingen </t>
  </si>
  <si>
    <t xml:space="preserve">(Zie in dit kader ook het werkblad personele kosten in de toolbox van de PO-Raad. Met name ook schoolbesturen die niet bij het Vervangingsfonds </t>
  </si>
  <si>
    <t>aangesloten zijn (zie modernisering) zullen rekening moeten houden met andere percentages).</t>
  </si>
  <si>
    <t>die jaarrekening. Zo nodig is er ruimte voor specifieke afschrijving van de eerste waardering.</t>
  </si>
  <si>
    <t xml:space="preserve">Het  werkblad kasstroomoverzicht houdt de liquiditeit en veranderingen daarin in beeld. </t>
  </si>
  <si>
    <t>2017/18</t>
  </si>
  <si>
    <t>verhoging t.o.v. vorig jaar:</t>
  </si>
  <si>
    <r>
      <rPr>
        <b/>
        <u/>
        <sz val="10"/>
        <color rgb="FFC00000"/>
        <rFont val="Calibri"/>
        <family val="2"/>
      </rPr>
      <t>Vorig</t>
    </r>
    <r>
      <rPr>
        <b/>
        <sz val="10"/>
        <color rgb="FFC00000"/>
        <rFont val="Calibri"/>
        <family val="2"/>
      </rPr>
      <t xml:space="preserve"> schooljaar</t>
    </r>
  </si>
  <si>
    <t>Speerpunt 1</t>
  </si>
  <si>
    <t>doel</t>
  </si>
  <si>
    <t>activiteit</t>
  </si>
  <si>
    <t>wie</t>
  </si>
  <si>
    <t>Speerpunt 2</t>
  </si>
  <si>
    <t>toelichting</t>
  </si>
  <si>
    <t xml:space="preserve">materiële kosten </t>
  </si>
  <si>
    <t>Speerpunt 3</t>
  </si>
  <si>
    <t xml:space="preserve">prestatiebox </t>
  </si>
  <si>
    <t>Prestatiebox</t>
  </si>
  <si>
    <t>bedrag per leerling</t>
  </si>
  <si>
    <t>bedrag per school</t>
  </si>
  <si>
    <t>zeer kleine scholen toeslag</t>
  </si>
  <si>
    <r>
      <t xml:space="preserve">Afschrijvingen (vanuit </t>
    </r>
    <r>
      <rPr>
        <b/>
        <u/>
        <sz val="10"/>
        <color rgb="FFC00000"/>
        <rFont val="Calibri"/>
        <family val="2"/>
      </rPr>
      <t>eerste waardering</t>
    </r>
    <r>
      <rPr>
        <b/>
        <sz val="10"/>
        <color rgb="FFC00000"/>
        <rFont val="Calibri"/>
        <family val="2"/>
      </rPr>
      <t>)</t>
    </r>
  </si>
  <si>
    <t xml:space="preserve">onder Start/Opmaak/Beveiliging/Blad beveiligen. </t>
  </si>
  <si>
    <t>De gegevens en de prognoses geven alle data die voor de berekening noodzakelijk zijn, excl. de gegevens voor de toekenning van de rugzakken.</t>
  </si>
  <si>
    <r>
      <t xml:space="preserve">In verband met de invoering van passend onderwijs kan het aantal rugzakken tot en met </t>
    </r>
    <r>
      <rPr>
        <b/>
        <sz val="10"/>
        <rFont val="Calibri"/>
        <family val="2"/>
      </rPr>
      <t>2013/2014</t>
    </r>
    <r>
      <rPr>
        <sz val="10"/>
        <rFont val="Calibri"/>
        <family val="2"/>
      </rPr>
      <t xml:space="preserve"> worden ingevoerd. Daarna zal deze bekostiging via</t>
    </r>
  </si>
  <si>
    <t>Zie de informatie die verstrekt is in de werkbladen Loonkosten directie resp. onderwijzend personeel.</t>
  </si>
  <si>
    <t>vier jaren een raming worden gemaakt.</t>
  </si>
  <si>
    <t>4. Beleid</t>
  </si>
  <si>
    <t>5. Staat van baten en lasten (begr)</t>
  </si>
  <si>
    <t>6. Balans</t>
  </si>
  <si>
    <t>7. Kasstroomoverzicht (liq)</t>
  </si>
  <si>
    <t>8. Kengetallen (ken)</t>
  </si>
  <si>
    <t>9. Grafieken (graf)</t>
  </si>
  <si>
    <t>10. Sommatie (som)</t>
  </si>
  <si>
    <t>11. Tabellen (tab)</t>
  </si>
  <si>
    <t>Bijvoorbeeld als het bestuur meer dan één school omvat en dan verplicht is een jaarrekening op bestuursniveau te maken.</t>
  </si>
  <si>
    <t xml:space="preserve">In dit werkblad kunt u een duidelijke relatie maken tussen het beleidsplan van de school (schoolplan) en de begroting. Het is vooral informatief bedoeld </t>
  </si>
  <si>
    <t>bedoeld, maar geeft een duidelijke link tussen de prioriteiten in het beleid, de speerpunten, en de financiele lasten die daar mee samenhangen.</t>
  </si>
  <si>
    <t>Suggesties voor verbeteringen hierbij zijn van harte welkom.</t>
  </si>
  <si>
    <t>Zware ondersteuning</t>
  </si>
  <si>
    <t>Lichte ondersteuning (WSNS)</t>
  </si>
  <si>
    <t>Totaal bekostiging lichte en zware ondersteuning</t>
  </si>
  <si>
    <t>vanuit samenwerkingsverband/ zware ondersteuning</t>
  </si>
  <si>
    <t>vanuit samenwerkingsverband/ lichte ondersteuning (WSNS)</t>
  </si>
  <si>
    <t>totaal bekostiging lichte en zware ondersteuning</t>
  </si>
  <si>
    <t>van SWV/ lichte ondersteuning (WSNS)</t>
  </si>
  <si>
    <t>totale kosten</t>
  </si>
  <si>
    <t>overige personele kosten</t>
  </si>
  <si>
    <t>formatieve kosten</t>
  </si>
  <si>
    <t>Speerpunt 4</t>
  </si>
  <si>
    <t>Salarissen, sociale lasten en bapolasten</t>
  </si>
  <si>
    <t>artikel 37</t>
  </si>
  <si>
    <t xml:space="preserve">Als leerling A bovendien in groep 3-8 zit krijgt u bovendien voor 12 maanden extra financiering conform art. 37 van de Regeling personele </t>
  </si>
  <si>
    <t>GPL LB</t>
  </si>
  <si>
    <t>2018/19</t>
  </si>
  <si>
    <t>artikel 39</t>
  </si>
  <si>
    <t>LOONKOSTEN ONDERSTEUNEND EN BEHEERSPERSONEEL</t>
  </si>
  <si>
    <t>Speerpunt 5</t>
  </si>
  <si>
    <t>leermiddelen PO</t>
  </si>
  <si>
    <t>Saldo liquide middelen 31 dec t-1</t>
  </si>
  <si>
    <t>(Des)investeringen materiële vaste activa</t>
  </si>
  <si>
    <t>(Des)investeringen immateriële vaste activa</t>
  </si>
  <si>
    <t>(Des)investeringen financiële vaste activa</t>
  </si>
  <si>
    <t>BEGROTING 2014: LINK BEGROTING MET BELEIDSPLAN</t>
  </si>
  <si>
    <t>Er is ook rekening gehouden met de mogelijkheid dat de school bestaat uit een hoofd- en een (door OCW erkende) nevenvestiging.</t>
  </si>
  <si>
    <t>het samenwerkingsverband passend onderwijs verlopen als bekostiging van een arrangement.</t>
  </si>
  <si>
    <t>piet</t>
  </si>
  <si>
    <t>Handleiding bij Meerjarenbegroting GELD voor de basisschool 2014</t>
  </si>
  <si>
    <t>Zie daarvoor het antwoord 'ja' of 'nee' in rij 33 resp. rij 89, 102, 115, 128. Deze postcodes zijn recent ongewijzigd verlengd.</t>
  </si>
  <si>
    <r>
      <t xml:space="preserve">Voorbeeld: u hebt twee rugzakleerlingen zmlk, waarvan leerling A al vanaf het begin van het schooljaar en leerling B sinds </t>
    </r>
    <r>
      <rPr>
        <b/>
        <i/>
        <sz val="10"/>
        <rFont val="Calibri"/>
        <family val="2"/>
      </rPr>
      <t>1 januari 2014</t>
    </r>
    <r>
      <rPr>
        <i/>
        <sz val="10"/>
        <rFont val="Calibri"/>
        <family val="2"/>
      </rPr>
      <t xml:space="preserve">. Dan krijgt u </t>
    </r>
  </si>
  <si>
    <r>
      <t xml:space="preserve">bekostiging voor het schooljaar </t>
    </r>
    <r>
      <rPr>
        <b/>
        <i/>
        <sz val="10"/>
        <rFont val="Calibri"/>
        <family val="2"/>
      </rPr>
      <t>2013-2014</t>
    </r>
    <r>
      <rPr>
        <i/>
        <sz val="10"/>
        <rFont val="Calibri"/>
        <family val="2"/>
      </rPr>
      <t xml:space="preserve"> voor 12 + 7 = 19 maanden.</t>
    </r>
  </si>
  <si>
    <r>
      <t xml:space="preserve">de 5/12e resp. 7/12e systematiek van de schooljaren. Daarvoor is het wel nodig ook de rugzakken van </t>
    </r>
    <r>
      <rPr>
        <b/>
        <sz val="10"/>
        <rFont val="Calibri"/>
        <family val="2"/>
      </rPr>
      <t>2012/2013</t>
    </r>
    <r>
      <rPr>
        <sz val="10"/>
        <rFont val="Calibri"/>
        <family val="2"/>
      </rPr>
      <t xml:space="preserve"> nog op te geven.</t>
    </r>
  </si>
  <si>
    <r>
      <t>Voor het eerste jaar (</t>
    </r>
    <r>
      <rPr>
        <b/>
        <sz val="10"/>
        <rFont val="Calibri"/>
        <family val="2"/>
      </rPr>
      <t>2013-2014</t>
    </r>
    <r>
      <rPr>
        <sz val="10"/>
        <rFont val="Calibri"/>
        <family val="2"/>
      </rPr>
      <t xml:space="preserve">) wordt de GGL gelijk gesteld aan die van </t>
    </r>
    <r>
      <rPr>
        <b/>
        <sz val="10"/>
        <rFont val="Calibri"/>
        <family val="2"/>
      </rPr>
      <t>2014-2015</t>
    </r>
    <r>
      <rPr>
        <sz val="10"/>
        <rFont val="Calibri"/>
        <family val="2"/>
      </rPr>
      <t xml:space="preserve">, maar die kunt u op basis van de feitelijke GGL van de </t>
    </r>
  </si>
  <si>
    <r>
      <t xml:space="preserve">telling van </t>
    </r>
    <r>
      <rPr>
        <b/>
        <sz val="10"/>
        <rFont val="Calibri"/>
        <family val="2"/>
      </rPr>
      <t>1 oktober 2012</t>
    </r>
    <r>
      <rPr>
        <sz val="10"/>
        <rFont val="Calibri"/>
        <family val="2"/>
      </rPr>
      <t xml:space="preserve"> overschrijven. U kunt deze GGL vinden op uw bekostigingsbeschikking. De GGL voor de komende jaren </t>
    </r>
  </si>
  <si>
    <t>De Regeling jaarverslaggeving onderwijs vereist de opgave van 'baten werk in opdracht van derden'.</t>
  </si>
  <si>
    <r>
      <t xml:space="preserve">De gegevens van dit werkblad kunnen eenvoudig worden getransporteerd naar het </t>
    </r>
    <r>
      <rPr>
        <b/>
        <sz val="10"/>
        <rFont val="Calibri"/>
        <family val="2"/>
      </rPr>
      <t>Sommatiemodel GELD 2014</t>
    </r>
    <r>
      <rPr>
        <sz val="10"/>
        <rFont val="Calibri"/>
        <family val="2"/>
      </rPr>
      <t xml:space="preserve">. In dit model wordt </t>
    </r>
  </si>
  <si>
    <t>ondersteunend en beheerspersoneel</t>
  </si>
  <si>
    <t>obp</t>
  </si>
  <si>
    <t xml:space="preserve">aantal leerlingen per FTE OBP </t>
  </si>
  <si>
    <t>loonkosten OBP / totale loonkosten</t>
  </si>
  <si>
    <t>kosten OBP per leering</t>
  </si>
  <si>
    <t>FTE ondersteunend en beheerspersoneel</t>
  </si>
  <si>
    <r>
      <t>In deze applicatie zijn de bedragen van de vastgestelde GPL's voor</t>
    </r>
    <r>
      <rPr>
        <b/>
        <sz val="10"/>
        <rFont val="Calibri"/>
        <family val="2"/>
      </rPr>
      <t xml:space="preserve"> 2013-2014</t>
    </r>
    <r>
      <rPr>
        <sz val="10"/>
        <rFont val="Calibri"/>
        <family val="2"/>
      </rPr>
      <t xml:space="preserve"> verwerkt zoals gepubliceerd per</t>
    </r>
    <r>
      <rPr>
        <b/>
        <sz val="10"/>
        <rFont val="Calibri"/>
        <family val="2"/>
      </rPr>
      <t xml:space="preserve"> 2 september 2013.</t>
    </r>
  </si>
  <si>
    <r>
      <t xml:space="preserve">In de bekostiging voor de materiële instandhouding voor het jaar 2013 e.v. zijn de bedragen van de programma's van eisen van </t>
    </r>
    <r>
      <rPr>
        <b/>
        <sz val="10"/>
        <rFont val="Calibri"/>
        <family val="2"/>
      </rPr>
      <t>2014</t>
    </r>
  </si>
  <si>
    <t xml:space="preserve">opgenomen zoals die gepubliceerd zijn in september 2013. </t>
  </si>
  <si>
    <t>Regeling Bijz en aanv bekostiging P+M</t>
  </si>
  <si>
    <t>Regeling bijz en aanv bekostiging P+M kalenderjaar 2013</t>
  </si>
  <si>
    <t>Regeling bijz en aanv bekostiging jonge leerkrachten</t>
  </si>
  <si>
    <t xml:space="preserve">Ook zijn de beide regelingen bijzondere en aanvullende bekostiging opgenomen. Die voor de jonge leerkrachten bij de personele bekostiging en die </t>
  </si>
  <si>
    <t xml:space="preserve">Toekenning </t>
  </si>
  <si>
    <t>P+M</t>
  </si>
  <si>
    <t>(zie bij Mat cel H25)</t>
  </si>
  <si>
    <t>P</t>
  </si>
  <si>
    <t>(zie bij Pers cel H43)</t>
  </si>
  <si>
    <t>2012-2013 definitief</t>
  </si>
  <si>
    <t xml:space="preserve">van de extra toekenning van P+M 2013 bij materieel vanwege het kalenderjaar. Het is echter lumpsumvoor zowel P als M. Zie 'tab' rij 61 en 62. </t>
  </si>
  <si>
    <t>Hier is ook het budget Prestatiebox apart opgenomen en ook het incidentele budget voor jonge leerkrachten.</t>
  </si>
  <si>
    <r>
      <t>het kalenderjaar</t>
    </r>
    <r>
      <rPr>
        <b/>
        <sz val="10"/>
        <rFont val="Calibri"/>
        <family val="2"/>
      </rPr>
      <t xml:space="preserve"> 2017</t>
    </r>
    <r>
      <rPr>
        <sz val="10"/>
        <rFont val="Calibri"/>
        <family val="2"/>
      </rPr>
      <t xml:space="preserve"> gelijk gesteld is aan het schooljaar </t>
    </r>
    <r>
      <rPr>
        <b/>
        <sz val="10"/>
        <rFont val="Calibri"/>
        <family val="2"/>
      </rPr>
      <t>2017-2018.</t>
    </r>
  </si>
  <si>
    <t xml:space="preserve">Dit werkblad geeft een overzicht van alle baten en lasten per kalenderjaar en geeft aan of het resultaat van deze school  </t>
  </si>
  <si>
    <r>
      <t xml:space="preserve">Ook worden diverse ontwikkelingen geïndexeerd met als vertrekpunt het kalenderjaar </t>
    </r>
    <r>
      <rPr>
        <b/>
        <sz val="10"/>
        <rFont val="Calibri"/>
        <family val="2"/>
      </rPr>
      <t>2014</t>
    </r>
    <r>
      <rPr>
        <sz val="10"/>
        <rFont val="Calibri"/>
        <family val="2"/>
      </rPr>
      <t xml:space="preserve">. Die signaleren tendensen die al dan niet bijgebogen </t>
    </r>
  </si>
  <si>
    <r>
      <t xml:space="preserve">De bedragen betreffen de bedragen zoals die voor het schooljaar </t>
    </r>
    <r>
      <rPr>
        <b/>
        <sz val="10"/>
        <rFont val="Calibri"/>
        <family val="2"/>
      </rPr>
      <t>2013-2014</t>
    </r>
    <r>
      <rPr>
        <sz val="10"/>
        <rFont val="Calibri"/>
        <family val="2"/>
      </rPr>
      <t xml:space="preserve"> per 17 sept.</t>
    </r>
    <r>
      <rPr>
        <b/>
        <sz val="10"/>
        <rFont val="Calibri"/>
        <family val="2"/>
      </rPr>
      <t xml:space="preserve"> 2013</t>
    </r>
    <r>
      <rPr>
        <sz val="10"/>
        <rFont val="Calibri"/>
        <family val="2"/>
      </rPr>
      <t xml:space="preserve"> zijn vastgesteld.</t>
    </r>
  </si>
  <si>
    <t>Voor de materiële instandhouding (Londo) betreft het de bedragen voor 2014, zoals gepubliceerd in september 2013.</t>
  </si>
  <si>
    <t>ja</t>
  </si>
  <si>
    <t>Wijzigingen t.o.v. versie 17sept2013:</t>
  </si>
  <si>
    <t xml:space="preserve"> - pers: D43 toegevoegd en F43 op 100% gesteld. Daardoor overdracht naar bestuur.</t>
  </si>
  <si>
    <t xml:space="preserve"> - mat: rij 25 aangepast met verwerking naar overdracht bestuur in rij 31, plus omrekening kalender- naar schooljaar (H192).</t>
  </si>
  <si>
    <t xml:space="preserve"> - tab: rugzakken 12-13 aangepast cf. definitieve bedragen van 7 okt. 2013 (C124:C135).</t>
  </si>
  <si>
    <t xml:space="preserve"> -            rij 61 en 62 toegevoegd met berekening bijdrage 'jonge leerkrachten'en 'extra budget P+M'</t>
  </si>
  <si>
    <t xml:space="preserve"> - toel: voorgaande wijzigingen in de toelichting opgenomen en enkele jaarverwijzingen één jaar later gesteld (rij 134, 182 en 200/201).</t>
  </si>
  <si>
    <t xml:space="preserve">De werkgeverslasten zijn opgenomen in het tabellenwerkblad en zijn geraamd op 62%. Daarbij dient opgemerkt te worden dat dit een ruwe raming </t>
  </si>
  <si>
    <t xml:space="preserve"> -            D55en E55: percentage WG-lasten verhoogd van 61% naar 62%.</t>
  </si>
  <si>
    <t>Afdeling internationaal georienteerd basisonderwijs</t>
  </si>
  <si>
    <t>Wijzigingen t.o.v. versie 29nov2013:17sept2013:</t>
  </si>
  <si>
    <t xml:space="preserve"> - bekostigingsdata voor 2014-2015 aangepast (Reg pers bek PO mrt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</si>
</sst>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quot;€&quot;\ * #,##0_ ;_ &quot;€&quot;\ * \-#,##0_ ;_ &quot;€&quot;\ * &quot;-&quot;_ ;_ @_ "/>
    <numFmt numFmtId="44" formatCode="_ &quot;€&quot;\ * #,##0.00_ ;_ &quot;€&quot;\ * \-#,##0.00_ ;_ &quot;€&quot;\ * &quot;-&quot;??_ ;_ @_ "/>
    <numFmt numFmtId="164" formatCode="_-&quot;€&quot;\ * #,##0_-;_-&quot;€&quot;\ * #,##0\-;_-&quot;€&quot;\ * &quot;-&quot;_-;_-@_-"/>
    <numFmt numFmtId="165" formatCode="_-&quot;€&quot;\ * #,##0.00_-;_-&quot;€&quot;\ * #,##0.00\-;_-&quot;€&quot;\ * &quot;-&quot;??_-;_-@_-"/>
    <numFmt numFmtId="166" formatCode="_-&quot;€&quot;\ * #,##0_-;_-&quot;€&quot;\ * #,##0\-;_-&quot;€&quot;\ * &quot;-&quot;??_-;_-@_-"/>
    <numFmt numFmtId="167" formatCode="_-&quot;€&quot;\ * #,##0_-;[Red]_-&quot;€&quot;\ * #,##0\-;_-&quot;€&quot;\ * &quot;-&quot;??_-;_-@_-"/>
    <numFmt numFmtId="168" formatCode="&quot;€&quot;\ #,##0_-"/>
    <numFmt numFmtId="169" formatCode="#,##0_ ;\-#,##0\ "/>
    <numFmt numFmtId="170" formatCode="#,##0.00_ ;\-#,##0.00\ "/>
    <numFmt numFmtId="171" formatCode="0.0000"/>
    <numFmt numFmtId="172" formatCode="d\ mmmm\ yyyy"/>
    <numFmt numFmtId="173" formatCode="_-&quot;€&quot;\ * #,##0.00_-;_-&quot;€&quot;\ * #,##0.00\-;_-&quot;€&quot;\ * &quot;-&quot;_-;_-@_-"/>
    <numFmt numFmtId="174" formatCode="dd/mm/yy"/>
    <numFmt numFmtId="175" formatCode="0.0%"/>
    <numFmt numFmtId="176" formatCode="#,##0.0_ ;\-#,##0.0\ "/>
    <numFmt numFmtId="177" formatCode="#,##0.0000_ ;\-#,##0.0000\ "/>
    <numFmt numFmtId="178" formatCode="d/mmm/yyyy"/>
    <numFmt numFmtId="179" formatCode="0.000000000"/>
    <numFmt numFmtId="180" formatCode="0.000%"/>
    <numFmt numFmtId="181" formatCode="0.0000%"/>
    <numFmt numFmtId="182" formatCode="[$-413]d/mmm/yy;@"/>
  </numFmts>
  <fonts count="96" x14ac:knownFonts="1">
    <font>
      <sz val="10"/>
      <name val="Arial"/>
    </font>
    <font>
      <sz val="10"/>
      <name val="Arial"/>
      <family val="2"/>
    </font>
    <font>
      <sz val="8"/>
      <color indexed="81"/>
      <name val="Tahoma"/>
      <family val="2"/>
    </font>
    <font>
      <b/>
      <sz val="8"/>
      <color indexed="81"/>
      <name val="Tahoma"/>
      <family val="2"/>
    </font>
    <font>
      <u/>
      <sz val="10"/>
      <color indexed="12"/>
      <name val="Arial"/>
      <family val="2"/>
    </font>
    <font>
      <b/>
      <sz val="10"/>
      <name val="Arial"/>
      <family val="2"/>
    </font>
    <font>
      <b/>
      <sz val="14"/>
      <name val="Arial"/>
      <family val="2"/>
    </font>
    <font>
      <sz val="9"/>
      <color indexed="81"/>
      <name val="Tahoma"/>
      <family val="2"/>
    </font>
    <font>
      <sz val="10"/>
      <color indexed="81"/>
      <name val="Tahoma"/>
      <family val="2"/>
    </font>
    <font>
      <u/>
      <sz val="9"/>
      <color indexed="81"/>
      <name val="Tahoma"/>
      <family val="2"/>
    </font>
    <font>
      <b/>
      <sz val="9"/>
      <color indexed="81"/>
      <name val="Tahoma"/>
      <family val="2"/>
    </font>
    <font>
      <sz val="10"/>
      <name val="Calibri"/>
      <family val="2"/>
    </font>
    <font>
      <b/>
      <sz val="10"/>
      <name val="Calibri"/>
      <family val="2"/>
    </font>
    <font>
      <i/>
      <sz val="10"/>
      <name val="Calibri"/>
      <family val="2"/>
    </font>
    <font>
      <b/>
      <sz val="11"/>
      <name val="Calibri"/>
      <family val="2"/>
    </font>
    <font>
      <b/>
      <sz val="8"/>
      <name val="Calibri"/>
      <family val="2"/>
    </font>
    <font>
      <b/>
      <i/>
      <sz val="10"/>
      <color indexed="10"/>
      <name val="Calibri"/>
      <family val="2"/>
    </font>
    <font>
      <b/>
      <i/>
      <sz val="10"/>
      <name val="Calibri"/>
      <family val="2"/>
    </font>
    <font>
      <b/>
      <sz val="10"/>
      <color indexed="9"/>
      <name val="Calibri"/>
      <family val="2"/>
    </font>
    <font>
      <i/>
      <sz val="14"/>
      <name val="Calibri"/>
      <family val="2"/>
    </font>
    <font>
      <b/>
      <i/>
      <sz val="12"/>
      <name val="Calibri"/>
      <family val="2"/>
    </font>
    <font>
      <sz val="12"/>
      <name val="Calibri"/>
      <family val="2"/>
    </font>
    <font>
      <sz val="11"/>
      <name val="Calibri"/>
      <family val="2"/>
    </font>
    <font>
      <sz val="10"/>
      <color indexed="60"/>
      <name val="Calibri"/>
      <family val="2"/>
    </font>
    <font>
      <sz val="10"/>
      <color indexed="10"/>
      <name val="Calibri"/>
      <family val="2"/>
    </font>
    <font>
      <b/>
      <sz val="14"/>
      <color indexed="10"/>
      <name val="Calibri"/>
      <family val="2"/>
    </font>
    <font>
      <b/>
      <sz val="10"/>
      <color indexed="10"/>
      <name val="Calibri"/>
      <family val="2"/>
    </font>
    <font>
      <i/>
      <sz val="10"/>
      <color indexed="10"/>
      <name val="Calibri"/>
      <family val="2"/>
    </font>
    <font>
      <sz val="10"/>
      <color indexed="47"/>
      <name val="Calibri"/>
      <family val="2"/>
    </font>
    <font>
      <b/>
      <i/>
      <sz val="14"/>
      <color indexed="10"/>
      <name val="Calibri"/>
      <family val="2"/>
    </font>
    <font>
      <sz val="14"/>
      <name val="Calibri"/>
      <family val="2"/>
    </font>
    <font>
      <b/>
      <sz val="12"/>
      <name val="Calibri"/>
      <family val="2"/>
    </font>
    <font>
      <b/>
      <sz val="14"/>
      <name val="Calibri"/>
      <family val="2"/>
    </font>
    <font>
      <sz val="14"/>
      <color indexed="10"/>
      <name val="Calibri"/>
      <family val="2"/>
    </font>
    <font>
      <i/>
      <sz val="11"/>
      <name val="Calibri"/>
      <family val="2"/>
    </font>
    <font>
      <b/>
      <i/>
      <sz val="14"/>
      <name val="Calibri"/>
      <family val="2"/>
    </font>
    <font>
      <i/>
      <sz val="14"/>
      <color indexed="10"/>
      <name val="Calibri"/>
      <family val="2"/>
    </font>
    <font>
      <sz val="10"/>
      <color indexed="9"/>
      <name val="Calibri"/>
      <family val="2"/>
    </font>
    <font>
      <sz val="10"/>
      <color indexed="10"/>
      <name val="Arial"/>
      <family val="2"/>
    </font>
    <font>
      <sz val="10"/>
      <color indexed="8"/>
      <name val="Calibri"/>
      <family val="2"/>
    </font>
    <font>
      <b/>
      <i/>
      <sz val="10"/>
      <color indexed="47"/>
      <name val="Calibri"/>
      <family val="2"/>
    </font>
    <font>
      <i/>
      <sz val="10"/>
      <color indexed="47"/>
      <name val="Calibri"/>
      <family val="2"/>
    </font>
    <font>
      <b/>
      <sz val="10"/>
      <color indexed="47"/>
      <name val="Calibri"/>
      <family val="2"/>
    </font>
    <font>
      <b/>
      <i/>
      <sz val="10"/>
      <color indexed="9"/>
      <name val="Calibri"/>
      <family val="2"/>
    </font>
    <font>
      <sz val="8"/>
      <name val="Arial"/>
      <family val="2"/>
    </font>
    <font>
      <b/>
      <sz val="11"/>
      <color indexed="9"/>
      <name val="Calibri"/>
      <family val="2"/>
    </font>
    <font>
      <i/>
      <sz val="12"/>
      <name val="Calibri"/>
      <family val="2"/>
    </font>
    <font>
      <sz val="10"/>
      <color indexed="60"/>
      <name val="Calibri"/>
      <family val="2"/>
    </font>
    <font>
      <i/>
      <sz val="10"/>
      <color indexed="60"/>
      <name val="Calibri"/>
      <family val="2"/>
    </font>
    <font>
      <b/>
      <sz val="10"/>
      <color indexed="60"/>
      <name val="Calibri"/>
      <family val="2"/>
    </font>
    <font>
      <i/>
      <sz val="10"/>
      <color indexed="8"/>
      <name val="Calibri"/>
      <family val="2"/>
    </font>
    <font>
      <b/>
      <i/>
      <sz val="10"/>
      <color indexed="8"/>
      <name val="Calibri"/>
      <family val="2"/>
    </font>
    <font>
      <sz val="10"/>
      <color indexed="8"/>
      <name val="Calibri"/>
      <family val="2"/>
    </font>
    <font>
      <b/>
      <sz val="10"/>
      <color indexed="8"/>
      <name val="Calibri"/>
      <family val="2"/>
    </font>
    <font>
      <sz val="10"/>
      <color rgb="FFC00000"/>
      <name val="Calibri"/>
      <family val="2"/>
    </font>
    <font>
      <b/>
      <sz val="14"/>
      <color rgb="FFC00000"/>
      <name val="Calibri"/>
      <family val="2"/>
    </font>
    <font>
      <i/>
      <sz val="10"/>
      <color rgb="FFC00000"/>
      <name val="Calibri"/>
      <family val="2"/>
    </font>
    <font>
      <b/>
      <i/>
      <sz val="10"/>
      <color rgb="FFC00000"/>
      <name val="Calibri"/>
      <family val="2"/>
    </font>
    <font>
      <b/>
      <sz val="10"/>
      <color rgb="FFC00000"/>
      <name val="Calibri"/>
      <family val="2"/>
    </font>
    <font>
      <b/>
      <sz val="10"/>
      <color theme="0"/>
      <name val="Calibri"/>
      <family val="2"/>
    </font>
    <font>
      <sz val="10"/>
      <color theme="0"/>
      <name val="Calibri"/>
      <family val="2"/>
    </font>
    <font>
      <sz val="10"/>
      <color theme="0" tint="-4.9989318521683403E-2"/>
      <name val="Calibri"/>
      <family val="2"/>
    </font>
    <font>
      <b/>
      <i/>
      <sz val="14"/>
      <color rgb="FFC00000"/>
      <name val="Calibri"/>
      <family val="2"/>
    </font>
    <font>
      <b/>
      <i/>
      <sz val="10"/>
      <color theme="0"/>
      <name val="Calibri"/>
      <family val="2"/>
    </font>
    <font>
      <i/>
      <sz val="10"/>
      <color theme="0"/>
      <name val="Calibri"/>
      <family val="2"/>
    </font>
    <font>
      <b/>
      <sz val="10"/>
      <color rgb="FF0070C0"/>
      <name val="Calibri"/>
      <family val="2"/>
    </font>
    <font>
      <sz val="10"/>
      <color rgb="FF0070C0"/>
      <name val="Calibri"/>
      <family val="2"/>
    </font>
    <font>
      <b/>
      <i/>
      <sz val="10"/>
      <color rgb="FF0070C0"/>
      <name val="Calibri"/>
      <family val="2"/>
    </font>
    <font>
      <b/>
      <i/>
      <sz val="10"/>
      <color rgb="FF002060"/>
      <name val="Calibri"/>
      <family val="2"/>
    </font>
    <font>
      <sz val="10"/>
      <color rgb="FF002060"/>
      <name val="Calibri"/>
      <family val="2"/>
    </font>
    <font>
      <i/>
      <sz val="10"/>
      <color rgb="FF0070C0"/>
      <name val="Calibri"/>
      <family val="2"/>
    </font>
    <font>
      <i/>
      <sz val="14"/>
      <color rgb="FFC00000"/>
      <name val="Calibri"/>
      <family val="2"/>
    </font>
    <font>
      <b/>
      <u/>
      <sz val="10"/>
      <color rgb="FFC00000"/>
      <name val="Calibri"/>
      <family val="2"/>
    </font>
    <font>
      <sz val="10"/>
      <color rgb="FFFF0000"/>
      <name val="Calibri"/>
      <family val="2"/>
    </font>
    <font>
      <i/>
      <sz val="14"/>
      <color rgb="FFFF0000"/>
      <name val="Calibri"/>
      <family val="2"/>
    </font>
    <font>
      <i/>
      <sz val="14"/>
      <color rgb="FF0070C0"/>
      <name val="Calibri"/>
      <family val="2"/>
    </font>
    <font>
      <sz val="12"/>
      <color rgb="FFFF0000"/>
      <name val="Calibri"/>
      <family val="2"/>
    </font>
    <font>
      <b/>
      <i/>
      <sz val="12"/>
      <color rgb="FF0070C0"/>
      <name val="Calibri"/>
      <family val="2"/>
    </font>
    <font>
      <sz val="12"/>
      <color rgb="FF0070C0"/>
      <name val="Calibri"/>
      <family val="2"/>
    </font>
    <font>
      <sz val="10"/>
      <color rgb="FFC00000"/>
      <name val="Arial"/>
      <family val="2"/>
    </font>
    <font>
      <sz val="10"/>
      <color theme="1"/>
      <name val="Calibri"/>
      <family val="2"/>
    </font>
    <font>
      <b/>
      <sz val="10"/>
      <color rgb="FFFF0000"/>
      <name val="Calibri"/>
      <family val="2"/>
    </font>
    <font>
      <i/>
      <sz val="14"/>
      <color theme="1"/>
      <name val="Calibri"/>
      <family val="2"/>
    </font>
    <font>
      <sz val="12"/>
      <color theme="1"/>
      <name val="Calibri"/>
      <family val="2"/>
    </font>
    <font>
      <b/>
      <sz val="10"/>
      <color theme="1"/>
      <name val="Calibri"/>
      <family val="2"/>
    </font>
    <font>
      <i/>
      <sz val="10"/>
      <color theme="1"/>
      <name val="Calibri"/>
      <family val="2"/>
    </font>
    <font>
      <i/>
      <sz val="10"/>
      <color theme="1" tint="4.9989318521683403E-2"/>
      <name val="Calibri"/>
      <family val="2"/>
    </font>
    <font>
      <sz val="14"/>
      <color rgb="FFC00000"/>
      <name val="Calibri"/>
      <family val="2"/>
    </font>
    <font>
      <sz val="10"/>
      <color theme="4"/>
      <name val="Calibri"/>
      <family val="2"/>
    </font>
    <font>
      <b/>
      <i/>
      <sz val="10"/>
      <color theme="4"/>
      <name val="Calibri"/>
      <family val="2"/>
    </font>
    <font>
      <i/>
      <sz val="10"/>
      <color theme="4"/>
      <name val="Calibri"/>
      <family val="2"/>
    </font>
    <font>
      <b/>
      <sz val="10"/>
      <color theme="0" tint="-4.9989318521683403E-2"/>
      <name val="Calibri"/>
      <family val="2"/>
    </font>
    <font>
      <i/>
      <sz val="10"/>
      <color rgb="FFFF0000"/>
      <name val="Calibri"/>
      <family val="2"/>
    </font>
    <font>
      <sz val="10"/>
      <color indexed="8"/>
      <name val="Calibri"/>
      <family val="2"/>
      <scheme val="minor"/>
    </font>
    <font>
      <u/>
      <sz val="10"/>
      <name val="Arial"/>
      <family val="2"/>
    </font>
    <font>
      <b/>
      <sz val="11"/>
      <color rgb="FFC00000"/>
      <name val="Calibri"/>
      <family val="2"/>
    </font>
  </fonts>
  <fills count="11">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rgb="FF0070C0"/>
        <bgColor indexed="64"/>
      </patternFill>
    </fill>
    <fill>
      <patternFill patternType="solid">
        <fgColor rgb="FFFFFF00"/>
        <bgColor indexed="64"/>
      </patternFill>
    </fill>
    <fill>
      <patternFill patternType="solid">
        <fgColor rgb="FFFFFF66"/>
        <bgColor indexed="64"/>
      </patternFill>
    </fill>
    <fill>
      <patternFill patternType="solid">
        <fgColor theme="3" tint="0.39997558519241921"/>
        <bgColor indexed="64"/>
      </patternFill>
    </fill>
    <fill>
      <patternFill patternType="solid">
        <fgColor rgb="FFFFFF9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top/>
      <bottom style="thin">
        <color theme="0" tint="-4.9989318521683403E-2"/>
      </bottom>
      <diagonal/>
    </border>
    <border>
      <left/>
      <right/>
      <top style="thin">
        <color theme="0" tint="-4.9989318521683403E-2"/>
      </top>
      <bottom style="thin">
        <color theme="0" tint="-4.9989318521683403E-2"/>
      </bottom>
      <diagonal/>
    </border>
  </borders>
  <cellStyleXfs count="5">
    <xf numFmtId="0" fontId="0" fillId="0" borderId="0"/>
    <xf numFmtId="165"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xf numFmtId="165" fontId="1" fillId="0" borderId="0" applyFont="0" applyFill="0" applyBorder="0" applyAlignment="0" applyProtection="0"/>
  </cellStyleXfs>
  <cellXfs count="1284">
    <xf numFmtId="0" fontId="0" fillId="0" borderId="0" xfId="0"/>
    <xf numFmtId="0" fontId="11" fillId="0" borderId="0" xfId="0" applyFont="1" applyAlignment="1" applyProtection="1">
      <alignment horizontal="left"/>
    </xf>
    <xf numFmtId="0" fontId="11" fillId="0" borderId="0" xfId="0" applyFont="1" applyFill="1" applyBorder="1" applyAlignment="1" applyProtection="1">
      <alignment horizontal="left"/>
    </xf>
    <xf numFmtId="0" fontId="13" fillId="0" borderId="0" xfId="0" applyFont="1" applyFill="1" applyBorder="1" applyAlignment="1" applyProtection="1">
      <alignment horizontal="left" indent="1"/>
    </xf>
    <xf numFmtId="0" fontId="11" fillId="2" borderId="0" xfId="0" applyFont="1" applyFill="1" applyBorder="1" applyAlignment="1" applyProtection="1">
      <alignment horizontal="left"/>
    </xf>
    <xf numFmtId="0" fontId="47" fillId="0" borderId="0" xfId="0" applyFont="1" applyFill="1" applyBorder="1" applyAlignment="1" applyProtection="1">
      <alignment horizontal="left"/>
    </xf>
    <xf numFmtId="0" fontId="48" fillId="0" borderId="0" xfId="0" applyFont="1" applyFill="1" applyBorder="1" applyAlignment="1" applyProtection="1">
      <alignment horizontal="left" indent="1"/>
    </xf>
    <xf numFmtId="0" fontId="47" fillId="0" borderId="0" xfId="0" applyFont="1" applyAlignment="1" applyProtection="1">
      <alignment horizontal="left"/>
    </xf>
    <xf numFmtId="0" fontId="49" fillId="0" borderId="0" xfId="0" applyFont="1" applyFill="1" applyBorder="1" applyAlignment="1" applyProtection="1">
      <alignment horizontal="left"/>
    </xf>
    <xf numFmtId="0" fontId="47" fillId="0" borderId="0" xfId="0" applyFont="1" applyFill="1" applyAlignment="1" applyProtection="1">
      <alignment horizontal="left"/>
    </xf>
    <xf numFmtId="0" fontId="48" fillId="0" borderId="0" xfId="0" applyFont="1" applyFill="1" applyAlignment="1" applyProtection="1">
      <alignment horizontal="left" indent="1"/>
    </xf>
    <xf numFmtId="0" fontId="48" fillId="0" borderId="0" xfId="0" applyFont="1" applyAlignment="1" applyProtection="1">
      <alignment horizontal="left" indent="1"/>
    </xf>
    <xf numFmtId="164" fontId="47" fillId="0" borderId="0" xfId="0" applyNumberFormat="1" applyFont="1" applyFill="1" applyBorder="1" applyAlignment="1" applyProtection="1">
      <alignment horizontal="left"/>
    </xf>
    <xf numFmtId="174" fontId="11" fillId="2" borderId="0" xfId="0" applyNumberFormat="1" applyFont="1" applyFill="1" applyBorder="1" applyAlignment="1" applyProtection="1">
      <alignment horizontal="left"/>
    </xf>
    <xf numFmtId="0" fontId="17" fillId="3" borderId="0" xfId="0" applyFont="1" applyFill="1" applyBorder="1" applyProtection="1"/>
    <xf numFmtId="0" fontId="12" fillId="0" borderId="0" xfId="0" applyFont="1" applyFill="1" applyBorder="1" applyAlignment="1" applyProtection="1">
      <alignment horizontal="left"/>
    </xf>
    <xf numFmtId="0" fontId="11" fillId="0" borderId="0" xfId="0" applyFont="1" applyFill="1" applyAlignment="1" applyProtection="1">
      <alignment horizontal="left"/>
    </xf>
    <xf numFmtId="0" fontId="17" fillId="0" borderId="0" xfId="0" applyFont="1" applyFill="1" applyBorder="1" applyAlignment="1" applyProtection="1">
      <alignment horizontal="left" indent="1"/>
    </xf>
    <xf numFmtId="0" fontId="13" fillId="0" borderId="0" xfId="0" applyFont="1" applyFill="1" applyBorder="1" applyAlignment="1" applyProtection="1">
      <alignment horizontal="left"/>
    </xf>
    <xf numFmtId="0" fontId="11" fillId="0" borderId="0" xfId="0" quotePrefix="1" applyFont="1" applyFill="1" applyBorder="1" applyAlignment="1" applyProtection="1">
      <alignment horizontal="left"/>
    </xf>
    <xf numFmtId="10" fontId="47" fillId="0" borderId="0" xfId="4" applyNumberFormat="1" applyFont="1" applyFill="1" applyBorder="1" applyAlignment="1" applyProtection="1">
      <alignment horizontal="center"/>
    </xf>
    <xf numFmtId="0" fontId="52" fillId="0" borderId="0" xfId="0" quotePrefix="1" applyFont="1" applyFill="1" applyBorder="1" applyAlignment="1" applyProtection="1">
      <alignment horizontal="left"/>
    </xf>
    <xf numFmtId="0" fontId="51" fillId="0" borderId="0" xfId="0" applyFont="1" applyFill="1" applyBorder="1" applyAlignment="1" applyProtection="1">
      <alignment horizontal="left" indent="1"/>
    </xf>
    <xf numFmtId="0" fontId="53" fillId="0" borderId="0" xfId="0" applyFont="1" applyFill="1" applyBorder="1" applyAlignment="1" applyProtection="1">
      <alignment horizontal="left"/>
    </xf>
    <xf numFmtId="4" fontId="52" fillId="2" borderId="0" xfId="0" applyNumberFormat="1" applyFont="1" applyFill="1" applyBorder="1" applyAlignment="1" applyProtection="1">
      <alignment horizontal="left"/>
      <protection locked="0"/>
    </xf>
    <xf numFmtId="0" fontId="52" fillId="0" borderId="0" xfId="0" applyFont="1" applyFill="1" applyAlignment="1" applyProtection="1">
      <alignment horizontal="left"/>
    </xf>
    <xf numFmtId="0" fontId="52" fillId="0" borderId="0" xfId="0" applyFont="1" applyAlignment="1" applyProtection="1">
      <alignment horizontal="left"/>
    </xf>
    <xf numFmtId="165" fontId="52" fillId="2" borderId="0" xfId="0" applyNumberFormat="1" applyFont="1" applyFill="1" applyBorder="1" applyAlignment="1" applyProtection="1">
      <alignment horizontal="left"/>
      <protection locked="0"/>
    </xf>
    <xf numFmtId="0" fontId="52" fillId="0" borderId="0" xfId="0" applyFont="1" applyFill="1" applyBorder="1" applyAlignment="1" applyProtection="1">
      <alignment horizontal="left"/>
    </xf>
    <xf numFmtId="165" fontId="52" fillId="0" borderId="0" xfId="0" applyNumberFormat="1" applyFont="1" applyFill="1" applyBorder="1" applyAlignment="1" applyProtection="1">
      <alignment horizontal="left"/>
    </xf>
    <xf numFmtId="0" fontId="50" fillId="0" borderId="0" xfId="0" applyFont="1" applyFill="1" applyBorder="1" applyAlignment="1" applyProtection="1">
      <alignment horizontal="left" indent="1"/>
    </xf>
    <xf numFmtId="0" fontId="52" fillId="0" borderId="0" xfId="0" applyFont="1" applyFill="1" applyBorder="1" applyAlignment="1" applyProtection="1"/>
    <xf numFmtId="165" fontId="50" fillId="0" borderId="0" xfId="0" applyNumberFormat="1" applyFont="1" applyFill="1" applyBorder="1" applyAlignment="1" applyProtection="1">
      <alignment horizontal="left" indent="1"/>
    </xf>
    <xf numFmtId="10" fontId="52" fillId="2" borderId="0" xfId="3" applyNumberFormat="1" applyFont="1" applyFill="1" applyBorder="1" applyAlignment="1" applyProtection="1">
      <alignment horizontal="left"/>
      <protection locked="0"/>
    </xf>
    <xf numFmtId="0" fontId="50" fillId="0" borderId="0" xfId="0" applyFont="1" applyFill="1" applyAlignment="1" applyProtection="1">
      <alignment horizontal="left" indent="1"/>
    </xf>
    <xf numFmtId="0" fontId="50" fillId="0" borderId="0" xfId="0" applyFont="1" applyFill="1" applyBorder="1" applyAlignment="1" applyProtection="1">
      <alignment horizontal="left"/>
    </xf>
    <xf numFmtId="165" fontId="50" fillId="0" borderId="0" xfId="0" applyNumberFormat="1" applyFont="1" applyFill="1" applyBorder="1" applyAlignment="1" applyProtection="1">
      <alignment horizontal="left"/>
    </xf>
    <xf numFmtId="0" fontId="50" fillId="0" borderId="0" xfId="0" applyFont="1" applyFill="1" applyAlignment="1" applyProtection="1">
      <alignment horizontal="left"/>
    </xf>
    <xf numFmtId="0" fontId="50" fillId="0" borderId="0" xfId="0" applyFont="1" applyAlignment="1" applyProtection="1">
      <alignment horizontal="left"/>
    </xf>
    <xf numFmtId="0" fontId="52" fillId="0" borderId="0" xfId="0" applyNumberFormat="1" applyFont="1" applyFill="1" applyBorder="1" applyAlignment="1" applyProtection="1">
      <alignment horizontal="left"/>
    </xf>
    <xf numFmtId="166" fontId="52" fillId="0" borderId="0" xfId="0" applyNumberFormat="1" applyFont="1" applyFill="1" applyBorder="1" applyAlignment="1" applyProtection="1">
      <alignment horizontal="left"/>
    </xf>
    <xf numFmtId="165" fontId="52" fillId="0" borderId="0" xfId="4" applyFont="1" applyFill="1" applyBorder="1" applyAlignment="1" applyProtection="1">
      <alignment horizontal="left"/>
    </xf>
    <xf numFmtId="175" fontId="52" fillId="0" borderId="0" xfId="0" applyNumberFormat="1" applyFont="1" applyFill="1" applyBorder="1" applyAlignment="1" applyProtection="1">
      <alignment horizontal="left"/>
    </xf>
    <xf numFmtId="9" fontId="52" fillId="0" borderId="0" xfId="0" applyNumberFormat="1" applyFont="1" applyFill="1" applyAlignment="1" applyProtection="1">
      <alignment horizontal="left"/>
    </xf>
    <xf numFmtId="0" fontId="53" fillId="0" borderId="0" xfId="0" applyNumberFormat="1" applyFont="1" applyFill="1" applyBorder="1" applyAlignment="1" applyProtection="1">
      <alignment horizontal="left"/>
    </xf>
    <xf numFmtId="16" fontId="53" fillId="0" borderId="0" xfId="0" applyNumberFormat="1" applyFont="1" applyFill="1" applyBorder="1" applyAlignment="1" applyProtection="1">
      <alignment horizontal="left"/>
    </xf>
    <xf numFmtId="9" fontId="53" fillId="0" borderId="0" xfId="3" applyFont="1" applyFill="1" applyBorder="1" applyAlignment="1" applyProtection="1">
      <alignment horizontal="left"/>
    </xf>
    <xf numFmtId="1" fontId="53" fillId="0" borderId="0" xfId="0" applyNumberFormat="1" applyFont="1" applyFill="1" applyBorder="1" applyAlignment="1" applyProtection="1">
      <alignment horizontal="left"/>
    </xf>
    <xf numFmtId="49" fontId="52" fillId="0" borderId="0" xfId="0" applyNumberFormat="1" applyFont="1" applyFill="1" applyBorder="1" applyAlignment="1" applyProtection="1">
      <alignment horizontal="left"/>
    </xf>
    <xf numFmtId="49" fontId="50" fillId="0" borderId="0" xfId="0" applyNumberFormat="1" applyFont="1" applyFill="1" applyBorder="1" applyAlignment="1" applyProtection="1">
      <alignment horizontal="left" indent="1"/>
    </xf>
    <xf numFmtId="3" fontId="52" fillId="2" borderId="0" xfId="0" applyNumberFormat="1" applyFont="1" applyFill="1" applyBorder="1" applyAlignment="1" applyProtection="1">
      <alignment horizontal="left"/>
      <protection locked="0"/>
    </xf>
    <xf numFmtId="3" fontId="52" fillId="0" borderId="0" xfId="0" applyNumberFormat="1" applyFont="1" applyFill="1" applyBorder="1" applyAlignment="1" applyProtection="1">
      <alignment horizontal="left"/>
    </xf>
    <xf numFmtId="3" fontId="52" fillId="3" borderId="0" xfId="0" applyNumberFormat="1" applyFont="1" applyFill="1" applyBorder="1" applyAlignment="1" applyProtection="1">
      <alignment horizontal="left"/>
      <protection locked="0"/>
    </xf>
    <xf numFmtId="3" fontId="53" fillId="2" borderId="0" xfId="0" applyNumberFormat="1" applyFont="1" applyFill="1" applyBorder="1" applyAlignment="1" applyProtection="1">
      <alignment horizontal="left"/>
      <protection locked="0"/>
    </xf>
    <xf numFmtId="0" fontId="53" fillId="0" borderId="0" xfId="0" applyFont="1" applyFill="1" applyAlignment="1" applyProtection="1">
      <alignment horizontal="left"/>
    </xf>
    <xf numFmtId="0" fontId="50" fillId="0" borderId="0" xfId="0" applyNumberFormat="1" applyFont="1" applyFill="1" applyBorder="1" applyAlignment="1" applyProtection="1">
      <alignment horizontal="left" indent="1"/>
    </xf>
    <xf numFmtId="0" fontId="52" fillId="2" borderId="0" xfId="0" applyFont="1" applyFill="1" applyBorder="1" applyAlignment="1" applyProtection="1">
      <alignment horizontal="left"/>
      <protection locked="0"/>
    </xf>
    <xf numFmtId="165" fontId="11" fillId="2" borderId="0" xfId="0" applyNumberFormat="1" applyFont="1" applyFill="1" applyBorder="1" applyAlignment="1" applyProtection="1">
      <alignment horizontal="left"/>
      <protection locked="0"/>
    </xf>
    <xf numFmtId="0" fontId="11" fillId="0" borderId="0" xfId="0" applyNumberFormat="1" applyFont="1" applyFill="1" applyBorder="1" applyAlignment="1" applyProtection="1">
      <alignment horizontal="left"/>
    </xf>
    <xf numFmtId="165" fontId="11" fillId="0" borderId="0" xfId="0" applyNumberFormat="1" applyFont="1" applyFill="1" applyBorder="1" applyAlignment="1" applyProtection="1">
      <alignment horizontal="left"/>
    </xf>
    <xf numFmtId="0" fontId="13" fillId="0" borderId="0" xfId="0" applyFont="1" applyFill="1" applyAlignment="1" applyProtection="1">
      <alignment horizontal="left" indent="1"/>
    </xf>
    <xf numFmtId="0" fontId="13" fillId="0" borderId="0" xfId="0" applyFont="1" applyFill="1" applyAlignment="1" applyProtection="1">
      <alignment horizontal="left"/>
    </xf>
    <xf numFmtId="173" fontId="11" fillId="2" borderId="0" xfId="0" applyNumberFormat="1" applyFont="1" applyFill="1" applyBorder="1" applyAlignment="1" applyProtection="1">
      <alignment horizontal="left"/>
      <protection locked="0"/>
    </xf>
    <xf numFmtId="0" fontId="11" fillId="0" borderId="0" xfId="0" applyFont="1" applyFill="1" applyBorder="1" applyAlignment="1" applyProtection="1">
      <alignment horizontal="left" vertical="top" wrapText="1"/>
    </xf>
    <xf numFmtId="0" fontId="13" fillId="0" borderId="0" xfId="0" applyFont="1" applyAlignment="1" applyProtection="1">
      <alignment horizontal="left" indent="1"/>
    </xf>
    <xf numFmtId="0" fontId="11" fillId="0" borderId="0" xfId="3" applyNumberFormat="1" applyFont="1" applyFill="1" applyAlignment="1" applyProtection="1">
      <alignment horizontal="left"/>
    </xf>
    <xf numFmtId="0" fontId="11" fillId="0" borderId="0" xfId="0" applyFont="1" applyFill="1" applyAlignment="1" applyProtection="1">
      <alignment horizontal="right"/>
    </xf>
    <xf numFmtId="10" fontId="11" fillId="2" borderId="0" xfId="0" applyNumberFormat="1" applyFont="1" applyFill="1" applyBorder="1" applyAlignment="1" applyProtection="1">
      <alignment horizontal="right"/>
      <protection locked="0"/>
    </xf>
    <xf numFmtId="0" fontId="12" fillId="0" borderId="0" xfId="0" applyFont="1" applyFill="1" applyAlignment="1" applyProtection="1">
      <alignment horizontal="left"/>
    </xf>
    <xf numFmtId="0" fontId="12"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wrapText="1"/>
    </xf>
    <xf numFmtId="171" fontId="12" fillId="0" borderId="0" xfId="0" applyNumberFormat="1" applyFont="1" applyFill="1" applyBorder="1" applyAlignment="1" applyProtection="1">
      <alignment horizontal="left"/>
    </xf>
    <xf numFmtId="179" fontId="11" fillId="0" borderId="0" xfId="0" applyNumberFormat="1" applyFont="1" applyFill="1" applyAlignment="1" applyProtection="1">
      <alignment horizontal="left"/>
    </xf>
    <xf numFmtId="4" fontId="11" fillId="0" borderId="0" xfId="0" applyNumberFormat="1" applyFont="1" applyFill="1" applyBorder="1" applyAlignment="1" applyProtection="1">
      <alignment horizontal="left"/>
    </xf>
    <xf numFmtId="0" fontId="11" fillId="0" borderId="0" xfId="0" applyFont="1" applyFill="1" applyBorder="1" applyAlignment="1" applyProtection="1">
      <alignment horizontal="left"/>
      <protection locked="0"/>
    </xf>
    <xf numFmtId="3" fontId="11" fillId="0" borderId="0" xfId="0" applyNumberFormat="1" applyFont="1" applyFill="1" applyBorder="1" applyAlignment="1" applyProtection="1">
      <alignment horizontal="left"/>
    </xf>
    <xf numFmtId="164" fontId="11" fillId="0" borderId="0" xfId="0" applyNumberFormat="1" applyFont="1" applyFill="1" applyBorder="1" applyAlignment="1" applyProtection="1">
      <alignment horizontal="left"/>
      <protection locked="0"/>
    </xf>
    <xf numFmtId="0" fontId="47" fillId="0" borderId="0" xfId="0" applyFont="1" applyFill="1" applyBorder="1" applyAlignment="1" applyProtection="1">
      <alignment horizontal="center"/>
    </xf>
    <xf numFmtId="165" fontId="47" fillId="0" borderId="0" xfId="4" applyFont="1" applyFill="1" applyBorder="1" applyAlignment="1" applyProtection="1">
      <alignment horizontal="center"/>
    </xf>
    <xf numFmtId="175" fontId="52" fillId="2" borderId="0" xfId="0" applyNumberFormat="1" applyFont="1" applyFill="1" applyBorder="1" applyAlignment="1" applyProtection="1">
      <alignment horizontal="left"/>
      <protection locked="0"/>
    </xf>
    <xf numFmtId="0" fontId="11" fillId="4" borderId="0" xfId="0" applyFont="1" applyFill="1" applyProtection="1"/>
    <xf numFmtId="0" fontId="11" fillId="5" borderId="2" xfId="0" applyFont="1" applyFill="1" applyBorder="1" applyProtection="1"/>
    <xf numFmtId="0" fontId="11" fillId="5" borderId="3" xfId="0" applyFont="1" applyFill="1" applyBorder="1" applyProtection="1"/>
    <xf numFmtId="0" fontId="13" fillId="5" borderId="3" xfId="0" applyFont="1" applyFill="1" applyBorder="1" applyAlignment="1" applyProtection="1">
      <alignment horizontal="right"/>
    </xf>
    <xf numFmtId="0" fontId="17" fillId="5" borderId="3" xfId="0" applyFont="1" applyFill="1" applyBorder="1" applyAlignment="1" applyProtection="1">
      <alignment horizontal="center"/>
    </xf>
    <xf numFmtId="0" fontId="11" fillId="5" borderId="4" xfId="0" applyFont="1" applyFill="1" applyBorder="1" applyProtection="1"/>
    <xf numFmtId="0" fontId="11" fillId="4" borderId="0" xfId="0" applyFont="1" applyFill="1" applyBorder="1" applyProtection="1"/>
    <xf numFmtId="0" fontId="11" fillId="5" borderId="5" xfId="0" applyFont="1" applyFill="1" applyBorder="1" applyProtection="1"/>
    <xf numFmtId="0" fontId="11" fillId="5" borderId="0" xfId="0" applyFont="1" applyFill="1" applyBorder="1" applyProtection="1"/>
    <xf numFmtId="0" fontId="13" fillId="5" borderId="0" xfId="0" applyFont="1" applyFill="1" applyBorder="1" applyAlignment="1" applyProtection="1">
      <alignment horizontal="right"/>
    </xf>
    <xf numFmtId="0" fontId="17" fillId="5" borderId="0" xfId="0" applyFont="1" applyFill="1" applyBorder="1" applyAlignment="1" applyProtection="1">
      <alignment horizontal="center"/>
    </xf>
    <xf numFmtId="0" fontId="11" fillId="5" borderId="6" xfId="0" applyFont="1" applyFill="1" applyBorder="1" applyProtection="1"/>
    <xf numFmtId="0" fontId="54" fillId="4" borderId="0" xfId="0" applyFont="1" applyFill="1" applyProtection="1"/>
    <xf numFmtId="0" fontId="55" fillId="5" borderId="5" xfId="0" applyFont="1" applyFill="1" applyBorder="1" applyProtection="1"/>
    <xf numFmtId="0" fontId="55" fillId="5" borderId="0" xfId="0" applyFont="1" applyFill="1" applyBorder="1" applyProtection="1"/>
    <xf numFmtId="0" fontId="54" fillId="5" borderId="0" xfId="0" applyFont="1" applyFill="1" applyBorder="1" applyProtection="1"/>
    <xf numFmtId="0" fontId="54" fillId="5" borderId="6" xfId="0" applyFont="1" applyFill="1" applyBorder="1" applyProtection="1"/>
    <xf numFmtId="0" fontId="24" fillId="4" borderId="0" xfId="0" applyFont="1" applyFill="1" applyProtection="1"/>
    <xf numFmtId="0" fontId="25" fillId="5" borderId="5" xfId="0" applyFont="1" applyFill="1" applyBorder="1" applyProtection="1"/>
    <xf numFmtId="0" fontId="30" fillId="5" borderId="0" xfId="0" applyFont="1" applyFill="1" applyBorder="1" applyProtection="1"/>
    <xf numFmtId="0" fontId="24" fillId="5" borderId="0" xfId="0" applyFont="1" applyFill="1" applyBorder="1" applyProtection="1"/>
    <xf numFmtId="0" fontId="24" fillId="5" borderId="5" xfId="0" applyFont="1" applyFill="1" applyBorder="1" applyProtection="1"/>
    <xf numFmtId="0" fontId="26" fillId="5" borderId="0" xfId="0" applyFont="1" applyFill="1" applyBorder="1" applyProtection="1"/>
    <xf numFmtId="0" fontId="16" fillId="5" borderId="0" xfId="0" applyFont="1" applyFill="1" applyBorder="1" applyAlignment="1" applyProtection="1">
      <alignment horizontal="left"/>
    </xf>
    <xf numFmtId="0" fontId="11" fillId="4" borderId="10" xfId="0" applyFont="1" applyFill="1" applyBorder="1" applyProtection="1"/>
    <xf numFmtId="0" fontId="11" fillId="4" borderId="11" xfId="0" applyFont="1" applyFill="1" applyBorder="1" applyProtection="1"/>
    <xf numFmtId="0" fontId="17" fillId="4" borderId="11" xfId="0" applyFont="1" applyFill="1" applyBorder="1" applyAlignment="1" applyProtection="1">
      <alignment horizontal="center"/>
    </xf>
    <xf numFmtId="0" fontId="17" fillId="4" borderId="12" xfId="0" applyFont="1" applyFill="1" applyBorder="1" applyAlignment="1" applyProtection="1">
      <alignment horizontal="center"/>
    </xf>
    <xf numFmtId="0" fontId="11" fillId="4" borderId="13" xfId="0" applyFont="1" applyFill="1" applyBorder="1" applyProtection="1"/>
    <xf numFmtId="0" fontId="11" fillId="4" borderId="14" xfId="0" applyFont="1" applyFill="1" applyBorder="1" applyAlignment="1" applyProtection="1">
      <alignment horizontal="left"/>
    </xf>
    <xf numFmtId="0" fontId="11" fillId="4" borderId="14" xfId="0" applyFont="1" applyFill="1" applyBorder="1" applyProtection="1"/>
    <xf numFmtId="0" fontId="11" fillId="5" borderId="15" xfId="0" applyFont="1" applyFill="1" applyBorder="1" applyAlignment="1" applyProtection="1">
      <alignment horizontal="left"/>
      <protection locked="0"/>
    </xf>
    <xf numFmtId="0" fontId="11" fillId="4" borderId="14" xfId="0" applyFont="1" applyFill="1" applyBorder="1" applyAlignment="1" applyProtection="1">
      <alignment horizontal="center"/>
      <protection locked="0"/>
    </xf>
    <xf numFmtId="0" fontId="11" fillId="4" borderId="14" xfId="0" applyFont="1" applyFill="1" applyBorder="1" applyAlignment="1" applyProtection="1">
      <alignment horizontal="center"/>
    </xf>
    <xf numFmtId="0" fontId="17" fillId="4" borderId="15" xfId="0" applyFont="1" applyFill="1" applyBorder="1" applyAlignment="1" applyProtection="1">
      <alignment horizontal="center"/>
    </xf>
    <xf numFmtId="0" fontId="11" fillId="5" borderId="14" xfId="0" applyFont="1" applyFill="1" applyBorder="1" applyAlignment="1" applyProtection="1">
      <alignment horizontal="left"/>
      <protection locked="0"/>
    </xf>
    <xf numFmtId="0" fontId="11" fillId="4" borderId="16" xfId="0" applyFont="1" applyFill="1" applyBorder="1" applyProtection="1"/>
    <xf numFmtId="0" fontId="11" fillId="4" borderId="17" xfId="0" applyFont="1" applyFill="1" applyBorder="1" applyProtection="1"/>
    <xf numFmtId="0" fontId="17" fillId="4" borderId="17" xfId="0" applyFont="1" applyFill="1" applyBorder="1" applyAlignment="1" applyProtection="1">
      <alignment horizontal="center"/>
    </xf>
    <xf numFmtId="0" fontId="17" fillId="4" borderId="18" xfId="0" applyFont="1" applyFill="1" applyBorder="1" applyAlignment="1" applyProtection="1">
      <alignment horizontal="center"/>
    </xf>
    <xf numFmtId="0" fontId="54" fillId="5" borderId="5" xfId="0" applyFont="1" applyFill="1" applyBorder="1" applyProtection="1"/>
    <xf numFmtId="0" fontId="54" fillId="5" borderId="0" xfId="0" applyFont="1" applyFill="1" applyProtection="1"/>
    <xf numFmtId="0" fontId="56" fillId="5" borderId="0" xfId="0" applyFont="1" applyFill="1" applyBorder="1" applyAlignment="1" applyProtection="1">
      <alignment horizontal="right"/>
    </xf>
    <xf numFmtId="0" fontId="57" fillId="5" borderId="0" xfId="0" applyFont="1" applyFill="1" applyBorder="1" applyAlignment="1" applyProtection="1">
      <alignment horizontal="center"/>
    </xf>
    <xf numFmtId="0" fontId="54" fillId="4" borderId="0" xfId="0" applyFont="1" applyFill="1" applyBorder="1" applyProtection="1"/>
    <xf numFmtId="0" fontId="24" fillId="4" borderId="13" xfId="0" applyFont="1" applyFill="1" applyBorder="1" applyProtection="1"/>
    <xf numFmtId="0" fontId="58" fillId="4" borderId="14" xfId="0" applyFont="1" applyFill="1" applyBorder="1" applyProtection="1"/>
    <xf numFmtId="0" fontId="24" fillId="4" borderId="14" xfId="0" applyFont="1" applyFill="1" applyBorder="1" applyProtection="1"/>
    <xf numFmtId="0" fontId="16" fillId="4" borderId="14" xfId="0" applyFont="1" applyFill="1" applyBorder="1" applyAlignment="1" applyProtection="1">
      <alignment horizontal="center"/>
    </xf>
    <xf numFmtId="0" fontId="16" fillId="4" borderId="15" xfId="0" applyFont="1" applyFill="1" applyBorder="1" applyAlignment="1" applyProtection="1">
      <alignment horizontal="center"/>
    </xf>
    <xf numFmtId="0" fontId="24" fillId="5" borderId="6" xfId="0" applyFont="1" applyFill="1" applyBorder="1" applyProtection="1"/>
    <xf numFmtId="0" fontId="17" fillId="4" borderId="14" xfId="0" applyFont="1" applyFill="1" applyBorder="1" applyAlignment="1" applyProtection="1">
      <alignment horizontal="center"/>
    </xf>
    <xf numFmtId="0" fontId="11" fillId="5" borderId="14" xfId="0" applyFont="1" applyFill="1" applyBorder="1" applyAlignment="1" applyProtection="1">
      <alignment horizontal="center"/>
      <protection locked="0"/>
    </xf>
    <xf numFmtId="0" fontId="11" fillId="4" borderId="15" xfId="0" applyFont="1" applyFill="1" applyBorder="1" applyAlignment="1" applyProtection="1">
      <alignment horizontal="center"/>
    </xf>
    <xf numFmtId="0" fontId="12" fillId="4" borderId="14" xfId="0" applyFont="1" applyFill="1" applyBorder="1" applyAlignment="1" applyProtection="1">
      <alignment horizontal="left"/>
    </xf>
    <xf numFmtId="0" fontId="59" fillId="6" borderId="14" xfId="0" applyFont="1" applyFill="1" applyBorder="1" applyAlignment="1" applyProtection="1">
      <alignment horizontal="center"/>
    </xf>
    <xf numFmtId="0" fontId="12" fillId="4" borderId="15" xfId="0" applyFont="1" applyFill="1" applyBorder="1" applyAlignment="1" applyProtection="1">
      <alignment horizontal="center"/>
    </xf>
    <xf numFmtId="2" fontId="11" fillId="4" borderId="14" xfId="0" applyNumberFormat="1" applyFont="1" applyFill="1" applyBorder="1" applyAlignment="1" applyProtection="1">
      <alignment horizontal="left"/>
    </xf>
    <xf numFmtId="2" fontId="13" fillId="4" borderId="14" xfId="0" applyNumberFormat="1" applyFont="1" applyFill="1" applyBorder="1" applyAlignment="1" applyProtection="1">
      <alignment horizontal="center"/>
    </xf>
    <xf numFmtId="1" fontId="11" fillId="7" borderId="14" xfId="0" applyNumberFormat="1" applyFont="1" applyFill="1" applyBorder="1" applyAlignment="1" applyProtection="1">
      <alignment horizontal="center"/>
    </xf>
    <xf numFmtId="1" fontId="11" fillId="4" borderId="15" xfId="0" applyNumberFormat="1" applyFont="1" applyFill="1" applyBorder="1" applyAlignment="1" applyProtection="1">
      <alignment horizontal="center"/>
    </xf>
    <xf numFmtId="1" fontId="60" fillId="6" borderId="14" xfId="0" applyNumberFormat="1" applyFont="1" applyFill="1" applyBorder="1" applyAlignment="1" applyProtection="1">
      <alignment horizontal="center"/>
    </xf>
    <xf numFmtId="0" fontId="61" fillId="4" borderId="14" xfId="0" applyFont="1" applyFill="1" applyBorder="1" applyAlignment="1" applyProtection="1">
      <alignment horizontal="left"/>
    </xf>
    <xf numFmtId="1" fontId="61" fillId="4" borderId="14" xfId="0" applyNumberFormat="1" applyFont="1" applyFill="1" applyBorder="1" applyAlignment="1" applyProtection="1">
      <alignment horizontal="center"/>
    </xf>
    <xf numFmtId="1" fontId="11" fillId="4" borderId="14" xfId="0" applyNumberFormat="1" applyFont="1" applyFill="1" applyBorder="1" applyAlignment="1" applyProtection="1">
      <alignment horizontal="center"/>
    </xf>
    <xf numFmtId="0" fontId="13" fillId="5" borderId="5" xfId="0" applyFont="1" applyFill="1" applyBorder="1" applyProtection="1"/>
    <xf numFmtId="0" fontId="13" fillId="4" borderId="13" xfId="0" applyFont="1" applyFill="1" applyBorder="1" applyProtection="1"/>
    <xf numFmtId="0" fontId="12" fillId="4" borderId="14" xfId="0" applyFont="1" applyFill="1" applyBorder="1" applyProtection="1"/>
    <xf numFmtId="0" fontId="13" fillId="5" borderId="6" xfId="0" applyFont="1" applyFill="1" applyBorder="1" applyProtection="1"/>
    <xf numFmtId="0" fontId="12" fillId="4" borderId="14" xfId="0" applyFont="1" applyFill="1" applyBorder="1" applyAlignment="1" applyProtection="1">
      <alignment horizontal="center"/>
    </xf>
    <xf numFmtId="0" fontId="11" fillId="5" borderId="14" xfId="0" applyNumberFormat="1" applyFont="1" applyFill="1" applyBorder="1" applyAlignment="1" applyProtection="1">
      <alignment horizontal="center"/>
      <protection locked="0"/>
    </xf>
    <xf numFmtId="0" fontId="11" fillId="4" borderId="18" xfId="0" applyFont="1" applyFill="1" applyBorder="1" applyProtection="1"/>
    <xf numFmtId="0" fontId="54" fillId="5" borderId="0" xfId="0" applyFont="1" applyFill="1" applyBorder="1" applyAlignment="1" applyProtection="1">
      <alignment horizontal="left"/>
    </xf>
    <xf numFmtId="0" fontId="24" fillId="5" borderId="0" xfId="0" applyFont="1" applyFill="1" applyProtection="1"/>
    <xf numFmtId="0" fontId="13" fillId="4" borderId="11" xfId="0" applyFont="1" applyFill="1" applyBorder="1" applyAlignment="1" applyProtection="1">
      <alignment horizontal="right"/>
    </xf>
    <xf numFmtId="0" fontId="11" fillId="4" borderId="11" xfId="0" applyFont="1" applyFill="1" applyBorder="1" applyAlignment="1" applyProtection="1">
      <alignment horizontal="left"/>
    </xf>
    <xf numFmtId="0" fontId="11" fillId="4" borderId="12" xfId="0" applyFont="1" applyFill="1" applyBorder="1" applyAlignment="1" applyProtection="1">
      <alignment horizontal="left"/>
    </xf>
    <xf numFmtId="0" fontId="58" fillId="4" borderId="14" xfId="0" applyFont="1" applyFill="1" applyBorder="1" applyAlignment="1" applyProtection="1">
      <alignment horizontal="left"/>
    </xf>
    <xf numFmtId="0" fontId="11" fillId="4" borderId="15" xfId="0" applyFont="1" applyFill="1" applyBorder="1" applyAlignment="1" applyProtection="1">
      <alignment horizontal="left"/>
    </xf>
    <xf numFmtId="0" fontId="13" fillId="4" borderId="14" xfId="0" applyFont="1" applyFill="1" applyBorder="1" applyAlignment="1" applyProtection="1">
      <alignment horizontal="right"/>
    </xf>
    <xf numFmtId="0" fontId="11" fillId="5" borderId="14" xfId="0" quotePrefix="1" applyNumberFormat="1" applyFont="1" applyFill="1" applyBorder="1" applyAlignment="1" applyProtection="1">
      <alignment horizontal="center"/>
      <protection locked="0"/>
    </xf>
    <xf numFmtId="0" fontId="11" fillId="4" borderId="15" xfId="0" quotePrefix="1" applyNumberFormat="1" applyFont="1" applyFill="1" applyBorder="1" applyAlignment="1" applyProtection="1">
      <alignment horizontal="center"/>
      <protection locked="0"/>
    </xf>
    <xf numFmtId="0" fontId="11" fillId="7" borderId="14" xfId="0" quotePrefix="1" applyNumberFormat="1" applyFont="1" applyFill="1" applyBorder="1" applyAlignment="1" applyProtection="1">
      <alignment horizontal="center"/>
    </xf>
    <xf numFmtId="0" fontId="11" fillId="4" borderId="15" xfId="0" quotePrefix="1" applyNumberFormat="1" applyFont="1" applyFill="1" applyBorder="1" applyAlignment="1" applyProtection="1">
      <alignment horizontal="center"/>
    </xf>
    <xf numFmtId="0" fontId="60" fillId="6" borderId="14" xfId="0" applyFont="1" applyFill="1" applyBorder="1" applyAlignment="1" applyProtection="1">
      <alignment horizontal="center"/>
    </xf>
    <xf numFmtId="0" fontId="56" fillId="4" borderId="14" xfId="0" applyFont="1" applyFill="1" applyBorder="1" applyAlignment="1" applyProtection="1">
      <alignment horizontal="left"/>
    </xf>
    <xf numFmtId="0" fontId="11" fillId="7" borderId="14" xfId="0" applyNumberFormat="1" applyFont="1" applyFill="1" applyBorder="1" applyAlignment="1" applyProtection="1">
      <alignment horizontal="center"/>
    </xf>
    <xf numFmtId="0" fontId="11" fillId="4" borderId="15" xfId="0" applyNumberFormat="1" applyFont="1" applyFill="1" applyBorder="1" applyAlignment="1" applyProtection="1">
      <alignment horizontal="center"/>
    </xf>
    <xf numFmtId="0" fontId="11" fillId="4" borderId="17" xfId="0" applyFont="1" applyFill="1" applyBorder="1" applyAlignment="1" applyProtection="1">
      <alignment horizontal="left"/>
    </xf>
    <xf numFmtId="0" fontId="13" fillId="5" borderId="0" xfId="0" applyFont="1" applyFill="1" applyBorder="1" applyProtection="1"/>
    <xf numFmtId="0" fontId="12" fillId="5" borderId="0" xfId="0" quotePrefix="1" applyFont="1" applyFill="1" applyBorder="1" applyAlignment="1" applyProtection="1">
      <alignment horizontal="left"/>
    </xf>
    <xf numFmtId="1" fontId="12" fillId="5" borderId="0" xfId="0" applyNumberFormat="1" applyFont="1" applyFill="1" applyBorder="1" applyAlignment="1" applyProtection="1">
      <alignment horizontal="center"/>
    </xf>
    <xf numFmtId="0" fontId="13" fillId="5" borderId="7" xfId="0" applyFont="1" applyFill="1" applyBorder="1" applyProtection="1"/>
    <xf numFmtId="0" fontId="13" fillId="5" borderId="8" xfId="0" applyFont="1" applyFill="1" applyBorder="1" applyProtection="1"/>
    <xf numFmtId="0" fontId="12" fillId="5" borderId="8" xfId="0" quotePrefix="1" applyFont="1" applyFill="1" applyBorder="1" applyAlignment="1" applyProtection="1">
      <alignment horizontal="left"/>
    </xf>
    <xf numFmtId="1" fontId="12" fillId="5" borderId="8" xfId="0" applyNumberFormat="1" applyFont="1" applyFill="1" applyBorder="1" applyAlignment="1" applyProtection="1">
      <alignment horizontal="center"/>
    </xf>
    <xf numFmtId="0" fontId="45" fillId="5" borderId="8" xfId="0" applyFont="1" applyFill="1" applyBorder="1" applyAlignment="1" applyProtection="1">
      <alignment horizontal="right"/>
    </xf>
    <xf numFmtId="0" fontId="13" fillId="5" borderId="9" xfId="0" applyFont="1" applyFill="1" applyBorder="1" applyProtection="1"/>
    <xf numFmtId="0" fontId="55" fillId="4" borderId="0" xfId="0" applyFont="1" applyFill="1" applyProtection="1"/>
    <xf numFmtId="0" fontId="55" fillId="5" borderId="0" xfId="0" applyFont="1" applyFill="1" applyBorder="1" applyAlignment="1" applyProtection="1">
      <alignment horizontal="left"/>
    </xf>
    <xf numFmtId="0" fontId="62" fillId="5" borderId="0" xfId="0" applyFont="1" applyFill="1" applyBorder="1" applyAlignment="1" applyProtection="1">
      <alignment horizontal="right"/>
    </xf>
    <xf numFmtId="0" fontId="62" fillId="5" borderId="0" xfId="0" applyFont="1" applyFill="1" applyBorder="1" applyAlignment="1" applyProtection="1">
      <alignment horizontal="center"/>
    </xf>
    <xf numFmtId="0" fontId="55" fillId="5" borderId="6" xfId="0" applyFont="1" applyFill="1" applyBorder="1" applyProtection="1"/>
    <xf numFmtId="0" fontId="12" fillId="5" borderId="5" xfId="0" applyFont="1" applyFill="1" applyBorder="1" applyProtection="1"/>
    <xf numFmtId="0" fontId="12" fillId="4" borderId="10" xfId="0" applyFont="1" applyFill="1" applyBorder="1" applyProtection="1"/>
    <xf numFmtId="0" fontId="12" fillId="4" borderId="11" xfId="0" applyFont="1" applyFill="1" applyBorder="1" applyProtection="1"/>
    <xf numFmtId="0" fontId="11" fillId="4" borderId="12" xfId="0" applyFont="1" applyFill="1" applyBorder="1" applyProtection="1"/>
    <xf numFmtId="0" fontId="58" fillId="5" borderId="14" xfId="0" applyFont="1" applyFill="1" applyBorder="1" applyProtection="1">
      <protection locked="0"/>
    </xf>
    <xf numFmtId="0" fontId="11" fillId="4" borderId="15" xfId="0" applyFont="1" applyFill="1" applyBorder="1" applyProtection="1"/>
    <xf numFmtId="0" fontId="11" fillId="7" borderId="14" xfId="0" applyFont="1" applyFill="1" applyBorder="1" applyAlignment="1" applyProtection="1">
      <alignment horizontal="center"/>
    </xf>
    <xf numFmtId="1" fontId="11" fillId="8" borderId="14" xfId="0" applyNumberFormat="1" applyFont="1" applyFill="1" applyBorder="1" applyAlignment="1" applyProtection="1">
      <alignment horizontal="center"/>
    </xf>
    <xf numFmtId="0" fontId="12" fillId="4" borderId="13" xfId="0" applyFont="1" applyFill="1" applyBorder="1" applyProtection="1"/>
    <xf numFmtId="0" fontId="12" fillId="4" borderId="14" xfId="0" quotePrefix="1" applyFont="1" applyFill="1" applyBorder="1" applyAlignment="1" applyProtection="1">
      <alignment horizontal="left"/>
    </xf>
    <xf numFmtId="1" fontId="12" fillId="4" borderId="15" xfId="0" applyNumberFormat="1" applyFont="1" applyFill="1" applyBorder="1" applyAlignment="1" applyProtection="1">
      <alignment horizontal="center"/>
    </xf>
    <xf numFmtId="0" fontId="12" fillId="5" borderId="6" xfId="0" applyFont="1" applyFill="1" applyBorder="1" applyProtection="1"/>
    <xf numFmtId="0" fontId="11" fillId="5" borderId="6" xfId="0" applyFont="1" applyFill="1" applyBorder="1" applyAlignment="1" applyProtection="1">
      <alignment horizontal="center"/>
    </xf>
    <xf numFmtId="0" fontId="12" fillId="5" borderId="6" xfId="0" applyFont="1" applyFill="1" applyBorder="1" applyAlignment="1" applyProtection="1">
      <alignment horizontal="center"/>
    </xf>
    <xf numFmtId="1" fontId="12" fillId="5" borderId="6" xfId="0" applyNumberFormat="1" applyFont="1" applyFill="1" applyBorder="1" applyAlignment="1" applyProtection="1">
      <alignment horizontal="center"/>
    </xf>
    <xf numFmtId="1" fontId="11" fillId="5" borderId="6" xfId="0" applyNumberFormat="1" applyFont="1" applyFill="1" applyBorder="1" applyAlignment="1" applyProtection="1">
      <alignment horizontal="center"/>
    </xf>
    <xf numFmtId="0" fontId="11" fillId="5" borderId="7" xfId="0" applyFont="1" applyFill="1" applyBorder="1" applyProtection="1"/>
    <xf numFmtId="0" fontId="11" fillId="5" borderId="8" xfId="0" applyFont="1" applyFill="1" applyBorder="1" applyProtection="1"/>
    <xf numFmtId="0" fontId="11" fillId="5" borderId="9" xfId="0" applyFont="1" applyFill="1" applyBorder="1" applyProtection="1"/>
    <xf numFmtId="0" fontId="11" fillId="4" borderId="0" xfId="0" applyFont="1" applyFill="1" applyBorder="1" applyAlignment="1" applyProtection="1">
      <alignment horizontal="center"/>
    </xf>
    <xf numFmtId="0" fontId="11" fillId="5" borderId="3" xfId="0" applyFont="1" applyFill="1" applyBorder="1" applyAlignment="1" applyProtection="1">
      <alignment horizontal="center"/>
    </xf>
    <xf numFmtId="0" fontId="11" fillId="5" borderId="0" xfId="0" applyFont="1" applyFill="1" applyBorder="1" applyAlignment="1" applyProtection="1">
      <alignment horizontal="center"/>
    </xf>
    <xf numFmtId="0" fontId="24" fillId="4" borderId="0" xfId="0" applyFont="1" applyFill="1" applyBorder="1" applyProtection="1"/>
    <xf numFmtId="0" fontId="24" fillId="5" borderId="0" xfId="0" applyFont="1" applyFill="1" applyBorder="1" applyAlignment="1" applyProtection="1">
      <alignment horizontal="center"/>
    </xf>
    <xf numFmtId="178" fontId="26" fillId="5" borderId="0" xfId="0" applyNumberFormat="1" applyFont="1" applyFill="1" applyBorder="1" applyAlignment="1" applyProtection="1">
      <alignment horizontal="center"/>
    </xf>
    <xf numFmtId="0" fontId="31" fillId="5" borderId="0" xfId="0" applyFont="1" applyFill="1" applyBorder="1" applyProtection="1"/>
    <xf numFmtId="178" fontId="12" fillId="5" borderId="0" xfId="0" applyNumberFormat="1" applyFont="1" applyFill="1" applyBorder="1" applyAlignment="1" applyProtection="1">
      <alignment horizontal="center"/>
    </xf>
    <xf numFmtId="0" fontId="11" fillId="4" borderId="11" xfId="0" applyFont="1" applyFill="1" applyBorder="1" applyAlignment="1" applyProtection="1">
      <alignment horizontal="center"/>
    </xf>
    <xf numFmtId="0" fontId="12" fillId="4" borderId="11" xfId="0" applyFont="1" applyFill="1" applyBorder="1" applyAlignment="1" applyProtection="1">
      <alignment horizontal="center"/>
    </xf>
    <xf numFmtId="0" fontId="11" fillId="4" borderId="12" xfId="0" applyFont="1" applyFill="1" applyBorder="1" applyAlignment="1" applyProtection="1">
      <alignment horizontal="center"/>
    </xf>
    <xf numFmtId="0" fontId="12" fillId="4" borderId="0" xfId="0" applyFont="1" applyFill="1" applyBorder="1" applyProtection="1"/>
    <xf numFmtId="0" fontId="54" fillId="4" borderId="13" xfId="0" applyFont="1" applyFill="1" applyBorder="1" applyProtection="1"/>
    <xf numFmtId="0" fontId="58" fillId="4" borderId="14" xfId="0" applyFont="1" applyFill="1" applyBorder="1" applyAlignment="1" applyProtection="1">
      <alignment horizontal="center"/>
    </xf>
    <xf numFmtId="0" fontId="57" fillId="4" borderId="14" xfId="0" applyFont="1" applyFill="1" applyBorder="1" applyAlignment="1" applyProtection="1">
      <alignment horizontal="center"/>
    </xf>
    <xf numFmtId="0" fontId="57" fillId="4" borderId="15" xfId="0" applyFont="1" applyFill="1" applyBorder="1" applyAlignment="1" applyProtection="1">
      <alignment horizontal="center"/>
    </xf>
    <xf numFmtId="0" fontId="12" fillId="4" borderId="14" xfId="0" applyFont="1" applyFill="1" applyBorder="1" applyAlignment="1" applyProtection="1">
      <alignment horizontal="right"/>
    </xf>
    <xf numFmtId="2" fontId="11" fillId="7" borderId="14" xfId="0" applyNumberFormat="1" applyFont="1" applyFill="1" applyBorder="1" applyAlignment="1" applyProtection="1">
      <alignment horizontal="center"/>
    </xf>
    <xf numFmtId="2" fontId="11" fillId="4" borderId="14" xfId="0" applyNumberFormat="1" applyFont="1" applyFill="1" applyBorder="1" applyProtection="1"/>
    <xf numFmtId="0" fontId="11" fillId="5" borderId="15" xfId="0" applyFont="1" applyFill="1" applyBorder="1" applyAlignment="1" applyProtection="1">
      <alignment horizontal="center"/>
      <protection locked="0"/>
    </xf>
    <xf numFmtId="0" fontId="11" fillId="4" borderId="14" xfId="0" applyFont="1" applyFill="1" applyBorder="1" applyAlignment="1" applyProtection="1"/>
    <xf numFmtId="0" fontId="17" fillId="4" borderId="0" xfId="0" applyFont="1" applyFill="1" applyBorder="1" applyProtection="1"/>
    <xf numFmtId="0" fontId="17" fillId="5" borderId="5" xfId="0" applyFont="1" applyFill="1" applyBorder="1" applyProtection="1"/>
    <xf numFmtId="0" fontId="17" fillId="4" borderId="13" xfId="0" applyFont="1" applyFill="1" applyBorder="1" applyProtection="1"/>
    <xf numFmtId="0" fontId="17" fillId="4" borderId="14" xfId="0" applyFont="1" applyFill="1" applyBorder="1" applyProtection="1"/>
    <xf numFmtId="164" fontId="63" fillId="6" borderId="14" xfId="0" applyNumberFormat="1" applyFont="1" applyFill="1" applyBorder="1" applyAlignment="1" applyProtection="1">
      <alignment horizontal="left"/>
    </xf>
    <xf numFmtId="165" fontId="17" fillId="4" borderId="14" xfId="0" applyNumberFormat="1" applyFont="1" applyFill="1" applyBorder="1" applyProtection="1"/>
    <xf numFmtId="164" fontId="63" fillId="6" borderId="15" xfId="0" applyNumberFormat="1" applyFont="1" applyFill="1" applyBorder="1" applyAlignment="1" applyProtection="1">
      <alignment horizontal="left"/>
    </xf>
    <xf numFmtId="0" fontId="17" fillId="5" borderId="6" xfId="0" applyFont="1" applyFill="1" applyBorder="1" applyProtection="1"/>
    <xf numFmtId="164" fontId="59" fillId="6" borderId="14" xfId="0" applyNumberFormat="1" applyFont="1" applyFill="1" applyBorder="1" applyAlignment="1" applyProtection="1">
      <alignment horizontal="left"/>
    </xf>
    <xf numFmtId="165" fontId="12" fillId="4" borderId="14" xfId="0" applyNumberFormat="1" applyFont="1" applyFill="1" applyBorder="1" applyProtection="1"/>
    <xf numFmtId="0" fontId="64" fillId="6" borderId="14" xfId="0" applyFont="1" applyFill="1" applyBorder="1" applyAlignment="1" applyProtection="1">
      <alignment horizontal="center"/>
    </xf>
    <xf numFmtId="0" fontId="12" fillId="4" borderId="17" xfId="0" applyFont="1" applyFill="1" applyBorder="1" applyProtection="1"/>
    <xf numFmtId="0" fontId="11" fillId="4" borderId="17" xfId="0" applyFont="1" applyFill="1" applyBorder="1" applyAlignment="1" applyProtection="1">
      <alignment horizontal="center"/>
    </xf>
    <xf numFmtId="0" fontId="11" fillId="4" borderId="18" xfId="0" applyFont="1" applyFill="1" applyBorder="1" applyAlignment="1" applyProtection="1">
      <alignment horizontal="center"/>
    </xf>
    <xf numFmtId="0" fontId="12" fillId="5" borderId="0" xfId="0" applyFont="1" applyFill="1" applyBorder="1" applyProtection="1"/>
    <xf numFmtId="0" fontId="37" fillId="5" borderId="7" xfId="0" applyFont="1" applyFill="1" applyBorder="1" applyProtection="1"/>
    <xf numFmtId="0" fontId="37" fillId="5" borderId="8" xfId="0" applyFont="1" applyFill="1" applyBorder="1" applyProtection="1"/>
    <xf numFmtId="0" fontId="37" fillId="5" borderId="8" xfId="0" applyFont="1" applyFill="1" applyBorder="1" applyAlignment="1" applyProtection="1">
      <alignment horizontal="center"/>
    </xf>
    <xf numFmtId="0" fontId="37" fillId="5" borderId="9" xfId="0" applyFont="1" applyFill="1" applyBorder="1" applyProtection="1"/>
    <xf numFmtId="0" fontId="65" fillId="4" borderId="0" xfId="0" applyFont="1" applyFill="1" applyBorder="1" applyProtection="1"/>
    <xf numFmtId="0" fontId="66" fillId="4" borderId="0" xfId="0" applyFont="1" applyFill="1" applyBorder="1" applyProtection="1"/>
    <xf numFmtId="0" fontId="66" fillId="4" borderId="0" xfId="0" applyFont="1" applyFill="1" applyBorder="1" applyAlignment="1" applyProtection="1">
      <alignment horizontal="center"/>
    </xf>
    <xf numFmtId="0" fontId="67" fillId="4" borderId="0" xfId="0" applyFont="1" applyFill="1" applyBorder="1" applyAlignment="1" applyProtection="1">
      <alignment horizontal="center"/>
    </xf>
    <xf numFmtId="0" fontId="68" fillId="4" borderId="0" xfId="0" applyFont="1" applyFill="1" applyBorder="1" applyAlignment="1" applyProtection="1">
      <alignment horizontal="center"/>
    </xf>
    <xf numFmtId="4" fontId="66" fillId="4" borderId="0" xfId="0" applyNumberFormat="1" applyFont="1" applyFill="1" applyBorder="1" applyAlignment="1" applyProtection="1">
      <alignment horizontal="center"/>
    </xf>
    <xf numFmtId="0" fontId="69" fillId="4" borderId="0" xfId="0" applyFont="1" applyFill="1" applyBorder="1" applyProtection="1"/>
    <xf numFmtId="164" fontId="66" fillId="4" borderId="0" xfId="0" applyNumberFormat="1" applyFont="1" applyFill="1" applyBorder="1" applyProtection="1"/>
    <xf numFmtId="164" fontId="66" fillId="4" borderId="0" xfId="0" applyNumberFormat="1" applyFont="1" applyFill="1" applyBorder="1" applyAlignment="1" applyProtection="1">
      <alignment horizontal="left"/>
    </xf>
    <xf numFmtId="164" fontId="69" fillId="4" borderId="0" xfId="0" applyNumberFormat="1" applyFont="1" applyFill="1" applyBorder="1" applyProtection="1"/>
    <xf numFmtId="0" fontId="11" fillId="4" borderId="0" xfId="0" applyFont="1" applyFill="1" applyAlignment="1" applyProtection="1">
      <alignment horizontal="center"/>
    </xf>
    <xf numFmtId="0" fontId="54" fillId="5" borderId="0" xfId="0" applyFont="1" applyFill="1" applyBorder="1" applyAlignment="1" applyProtection="1">
      <alignment horizontal="center"/>
    </xf>
    <xf numFmtId="0" fontId="25" fillId="5" borderId="0" xfId="0" applyFont="1" applyFill="1" applyBorder="1" applyProtection="1"/>
    <xf numFmtId="0" fontId="13" fillId="5" borderId="0" xfId="0" applyFont="1" applyFill="1" applyBorder="1" applyAlignment="1" applyProtection="1">
      <alignment horizontal="center"/>
    </xf>
    <xf numFmtId="0" fontId="13" fillId="5" borderId="0" xfId="0" applyFont="1" applyFill="1" applyBorder="1" applyAlignment="1" applyProtection="1"/>
    <xf numFmtId="0" fontId="11" fillId="4" borderId="14" xfId="0" applyNumberFormat="1" applyFont="1" applyFill="1" applyBorder="1" applyProtection="1"/>
    <xf numFmtId="2" fontId="11" fillId="5" borderId="14" xfId="0" applyNumberFormat="1" applyFont="1" applyFill="1" applyBorder="1" applyAlignment="1" applyProtection="1">
      <alignment horizontal="center"/>
      <protection locked="0"/>
    </xf>
    <xf numFmtId="0" fontId="56" fillId="4" borderId="14" xfId="0" applyFont="1" applyFill="1" applyBorder="1" applyAlignment="1" applyProtection="1">
      <alignment horizontal="center"/>
    </xf>
    <xf numFmtId="0" fontId="56" fillId="4" borderId="14" xfId="0" applyFont="1" applyFill="1" applyBorder="1" applyProtection="1"/>
    <xf numFmtId="9" fontId="11" fillId="5" borderId="14" xfId="3" applyFont="1" applyFill="1" applyBorder="1" applyAlignment="1" applyProtection="1">
      <alignment horizontal="center"/>
      <protection locked="0"/>
    </xf>
    <xf numFmtId="164" fontId="11" fillId="7" borderId="14" xfId="0" applyNumberFormat="1" applyFont="1" applyFill="1" applyBorder="1" applyAlignment="1" applyProtection="1"/>
    <xf numFmtId="164" fontId="11" fillId="4" borderId="15" xfId="0" applyNumberFormat="1" applyFont="1" applyFill="1" applyBorder="1" applyAlignment="1" applyProtection="1">
      <alignment horizontal="right"/>
    </xf>
    <xf numFmtId="0" fontId="17" fillId="4" borderId="0" xfId="0" applyFont="1" applyFill="1" applyProtection="1"/>
    <xf numFmtId="0" fontId="13" fillId="4" borderId="14" xfId="0" applyFont="1" applyFill="1" applyBorder="1" applyProtection="1"/>
    <xf numFmtId="164" fontId="17" fillId="4" borderId="15" xfId="0" applyNumberFormat="1" applyFont="1" applyFill="1" applyBorder="1" applyAlignment="1" applyProtection="1">
      <alignment horizontal="right"/>
    </xf>
    <xf numFmtId="0" fontId="39" fillId="4" borderId="14" xfId="0" applyFont="1" applyFill="1" applyBorder="1" applyAlignment="1" applyProtection="1">
      <alignment horizontal="left"/>
    </xf>
    <xf numFmtId="164" fontId="11" fillId="4" borderId="15" xfId="0" applyNumberFormat="1" applyFont="1" applyFill="1" applyBorder="1" applyAlignment="1" applyProtection="1">
      <alignment horizontal="center"/>
    </xf>
    <xf numFmtId="0" fontId="13" fillId="4" borderId="0" xfId="0" applyFont="1" applyFill="1" applyProtection="1"/>
    <xf numFmtId="0" fontId="16" fillId="4" borderId="14" xfId="0" applyFont="1" applyFill="1" applyBorder="1" applyProtection="1"/>
    <xf numFmtId="0" fontId="13" fillId="4" borderId="14" xfId="0" applyFont="1" applyFill="1" applyBorder="1" applyAlignment="1" applyProtection="1">
      <alignment horizontal="left" indent="2"/>
    </xf>
    <xf numFmtId="164" fontId="13" fillId="4" borderId="14" xfId="0" applyNumberFormat="1" applyFont="1" applyFill="1" applyBorder="1" applyAlignment="1" applyProtection="1"/>
    <xf numFmtId="9" fontId="11" fillId="4" borderId="14" xfId="3" applyFont="1" applyFill="1" applyBorder="1" applyAlignment="1" applyProtection="1">
      <alignment horizontal="center"/>
    </xf>
    <xf numFmtId="164" fontId="60" fillId="6" borderId="14" xfId="0" applyNumberFormat="1" applyFont="1" applyFill="1" applyBorder="1" applyAlignment="1" applyProtection="1"/>
    <xf numFmtId="0" fontId="17" fillId="4" borderId="13" xfId="0" applyFont="1" applyFill="1" applyBorder="1" applyAlignment="1" applyProtection="1">
      <alignment horizontal="center"/>
    </xf>
    <xf numFmtId="0" fontId="13" fillId="4" borderId="14" xfId="0" applyFont="1" applyFill="1" applyBorder="1" applyAlignment="1" applyProtection="1">
      <alignment horizontal="left"/>
    </xf>
    <xf numFmtId="164" fontId="40" fillId="4" borderId="14" xfId="0" applyNumberFormat="1" applyFont="1" applyFill="1" applyBorder="1" applyAlignment="1" applyProtection="1">
      <alignment horizontal="center"/>
    </xf>
    <xf numFmtId="164" fontId="11" fillId="7" borderId="14" xfId="0" applyNumberFormat="1" applyFont="1" applyFill="1" applyBorder="1" applyAlignment="1" applyProtection="1">
      <alignment horizontal="center"/>
    </xf>
    <xf numFmtId="164" fontId="11" fillId="7" borderId="14" xfId="4" applyNumberFormat="1" applyFont="1" applyFill="1" applyBorder="1" applyAlignment="1" applyProtection="1">
      <alignment horizontal="center"/>
    </xf>
    <xf numFmtId="0" fontId="11" fillId="4" borderId="14" xfId="0" quotePrefix="1" applyFont="1" applyFill="1" applyBorder="1" applyAlignment="1" applyProtection="1">
      <alignment horizontal="left"/>
    </xf>
    <xf numFmtId="164" fontId="60" fillId="6" borderId="14" xfId="0" applyNumberFormat="1" applyFont="1" applyFill="1" applyBorder="1" applyAlignment="1" applyProtection="1">
      <alignment horizontal="center"/>
    </xf>
    <xf numFmtId="0" fontId="12" fillId="4" borderId="15" xfId="0" applyFont="1" applyFill="1" applyBorder="1" applyProtection="1"/>
    <xf numFmtId="166" fontId="17" fillId="4" borderId="14" xfId="0" applyNumberFormat="1" applyFont="1" applyFill="1" applyBorder="1" applyAlignment="1" applyProtection="1">
      <alignment horizontal="center"/>
    </xf>
    <xf numFmtId="164" fontId="11" fillId="5" borderId="14" xfId="0" applyNumberFormat="1" applyFont="1" applyFill="1" applyBorder="1" applyAlignment="1" applyProtection="1">
      <protection locked="0"/>
    </xf>
    <xf numFmtId="0" fontId="11" fillId="5" borderId="14" xfId="0" applyFont="1" applyFill="1" applyBorder="1" applyProtection="1">
      <protection locked="0"/>
    </xf>
    <xf numFmtId="164" fontId="11" fillId="5" borderId="14" xfId="0" applyNumberFormat="1" applyFont="1" applyFill="1" applyBorder="1" applyAlignment="1" applyProtection="1">
      <alignment horizontal="center"/>
      <protection locked="0"/>
    </xf>
    <xf numFmtId="164" fontId="12" fillId="4" borderId="15" xfId="0" applyNumberFormat="1" applyFont="1" applyFill="1" applyBorder="1" applyAlignment="1" applyProtection="1">
      <alignment horizontal="right"/>
    </xf>
    <xf numFmtId="164" fontId="64" fillId="6" borderId="14" xfId="0" applyNumberFormat="1" applyFont="1" applyFill="1" applyBorder="1" applyAlignment="1" applyProtection="1">
      <alignment horizontal="center"/>
    </xf>
    <xf numFmtId="175" fontId="11" fillId="4" borderId="14" xfId="0" applyNumberFormat="1" applyFont="1" applyFill="1" applyBorder="1" applyAlignment="1" applyProtection="1">
      <alignment horizontal="center"/>
    </xf>
    <xf numFmtId="164" fontId="11" fillId="4" borderId="14" xfId="0" applyNumberFormat="1" applyFont="1" applyFill="1" applyBorder="1" applyAlignment="1" applyProtection="1">
      <alignment horizontal="center"/>
    </xf>
    <xf numFmtId="0" fontId="11" fillId="4" borderId="14" xfId="0" quotePrefix="1" applyFont="1" applyFill="1" applyBorder="1" applyProtection="1"/>
    <xf numFmtId="10" fontId="11" fillId="4" borderId="14" xfId="0" applyNumberFormat="1" applyFont="1" applyFill="1" applyBorder="1" applyAlignment="1" applyProtection="1">
      <alignment horizontal="center"/>
    </xf>
    <xf numFmtId="171" fontId="11" fillId="4" borderId="14" xfId="0" applyNumberFormat="1" applyFont="1" applyFill="1" applyBorder="1" applyAlignment="1" applyProtection="1">
      <alignment horizontal="center"/>
    </xf>
    <xf numFmtId="166" fontId="60" fillId="6" borderId="14" xfId="0" applyNumberFormat="1" applyFont="1" applyFill="1" applyBorder="1" applyAlignment="1" applyProtection="1">
      <alignment horizontal="center"/>
    </xf>
    <xf numFmtId="0" fontId="12" fillId="4" borderId="16" xfId="0" applyFont="1" applyFill="1" applyBorder="1" applyProtection="1"/>
    <xf numFmtId="0" fontId="12" fillId="4" borderId="17" xfId="0" applyFont="1" applyFill="1" applyBorder="1" applyAlignment="1" applyProtection="1">
      <alignment horizontal="left"/>
    </xf>
    <xf numFmtId="166" fontId="17" fillId="4" borderId="17" xfId="0" applyNumberFormat="1" applyFont="1" applyFill="1" applyBorder="1" applyAlignment="1" applyProtection="1">
      <alignment horizontal="center"/>
    </xf>
    <xf numFmtId="0" fontId="12" fillId="4" borderId="18" xfId="0" applyFont="1" applyFill="1" applyBorder="1" applyProtection="1"/>
    <xf numFmtId="0" fontId="12" fillId="4" borderId="11" xfId="0" applyFont="1" applyFill="1" applyBorder="1" applyAlignment="1" applyProtection="1">
      <alignment horizontal="left"/>
    </xf>
    <xf numFmtId="166" fontId="18" fillId="4" borderId="11" xfId="0" applyNumberFormat="1" applyFont="1" applyFill="1" applyBorder="1" applyAlignment="1" applyProtection="1">
      <alignment horizontal="center"/>
    </xf>
    <xf numFmtId="0" fontId="12" fillId="4" borderId="12" xfId="0" applyFont="1" applyFill="1" applyBorder="1" applyProtection="1"/>
    <xf numFmtId="164" fontId="12" fillId="4" borderId="18" xfId="0" applyNumberFormat="1" applyFont="1" applyFill="1" applyBorder="1" applyAlignment="1" applyProtection="1">
      <alignment horizontal="right"/>
    </xf>
    <xf numFmtId="0" fontId="11" fillId="5" borderId="0" xfId="0" applyFont="1" applyFill="1" applyBorder="1" applyAlignment="1" applyProtection="1">
      <alignment horizontal="left"/>
    </xf>
    <xf numFmtId="164" fontId="12" fillId="5" borderId="0" xfId="0" applyNumberFormat="1" applyFont="1" applyFill="1" applyBorder="1" applyAlignment="1" applyProtection="1">
      <alignment horizontal="right"/>
    </xf>
    <xf numFmtId="164" fontId="12" fillId="4" borderId="12" xfId="0" applyNumberFormat="1" applyFont="1" applyFill="1" applyBorder="1" applyAlignment="1" applyProtection="1">
      <alignment horizontal="right"/>
    </xf>
    <xf numFmtId="0" fontId="13" fillId="4" borderId="16" xfId="0" applyFont="1" applyFill="1" applyBorder="1" applyProtection="1"/>
    <xf numFmtId="1" fontId="12" fillId="4" borderId="17" xfId="0" applyNumberFormat="1" applyFont="1" applyFill="1" applyBorder="1" applyAlignment="1" applyProtection="1">
      <alignment horizontal="center"/>
    </xf>
    <xf numFmtId="164" fontId="13" fillId="4" borderId="17" xfId="0" applyNumberFormat="1" applyFont="1" applyFill="1" applyBorder="1" applyAlignment="1" applyProtection="1">
      <alignment horizontal="center"/>
    </xf>
    <xf numFmtId="164" fontId="13" fillId="4" borderId="18" xfId="0" applyNumberFormat="1" applyFont="1" applyFill="1" applyBorder="1" applyAlignment="1" applyProtection="1">
      <alignment horizontal="right"/>
    </xf>
    <xf numFmtId="164" fontId="13" fillId="5" borderId="0" xfId="0" applyNumberFormat="1" applyFont="1" applyFill="1" applyBorder="1" applyAlignment="1" applyProtection="1">
      <alignment horizontal="center"/>
    </xf>
    <xf numFmtId="164" fontId="13" fillId="5" borderId="0" xfId="0" applyNumberFormat="1" applyFont="1" applyFill="1" applyBorder="1" applyAlignment="1" applyProtection="1">
      <alignment horizontal="right"/>
    </xf>
    <xf numFmtId="0" fontId="13" fillId="4" borderId="10" xfId="0" applyFont="1" applyFill="1" applyBorder="1" applyProtection="1"/>
    <xf numFmtId="1" fontId="12" fillId="4" borderId="11" xfId="0" applyNumberFormat="1" applyFont="1" applyFill="1" applyBorder="1" applyAlignment="1" applyProtection="1">
      <alignment horizontal="center"/>
    </xf>
    <xf numFmtId="164" fontId="13" fillId="4" borderId="11" xfId="0" applyNumberFormat="1" applyFont="1" applyFill="1" applyBorder="1" applyAlignment="1" applyProtection="1">
      <alignment horizontal="center"/>
    </xf>
    <xf numFmtId="164" fontId="13" fillId="4" borderId="12" xfId="0" applyNumberFormat="1" applyFont="1" applyFill="1" applyBorder="1" applyAlignment="1" applyProtection="1">
      <alignment horizontal="right"/>
    </xf>
    <xf numFmtId="167" fontId="59" fillId="6" borderId="14" xfId="0" applyNumberFormat="1" applyFont="1" applyFill="1" applyBorder="1" applyAlignment="1" applyProtection="1">
      <alignment horizontal="center"/>
    </xf>
    <xf numFmtId="167" fontId="12" fillId="4" borderId="15" xfId="0" applyNumberFormat="1" applyFont="1" applyFill="1" applyBorder="1" applyAlignment="1" applyProtection="1">
      <alignment horizontal="center"/>
    </xf>
    <xf numFmtId="167" fontId="12" fillId="4" borderId="17" xfId="0" applyNumberFormat="1" applyFont="1" applyFill="1" applyBorder="1" applyAlignment="1" applyProtection="1">
      <alignment horizontal="center"/>
    </xf>
    <xf numFmtId="167" fontId="12" fillId="4" borderId="18" xfId="0" applyNumberFormat="1" applyFont="1" applyFill="1" applyBorder="1" applyAlignment="1" applyProtection="1">
      <alignment horizontal="center"/>
    </xf>
    <xf numFmtId="0" fontId="12" fillId="5" borderId="0" xfId="0" quotePrefix="1" applyFont="1" applyFill="1" applyBorder="1" applyAlignment="1" applyProtection="1">
      <alignment horizontal="right"/>
    </xf>
    <xf numFmtId="167" fontId="18" fillId="5" borderId="0" xfId="0" applyNumberFormat="1" applyFont="1" applyFill="1" applyBorder="1" applyAlignment="1" applyProtection="1">
      <alignment horizontal="center"/>
    </xf>
    <xf numFmtId="0" fontId="12" fillId="5" borderId="8" xfId="0" quotePrefix="1" applyFont="1" applyFill="1" applyBorder="1" applyAlignment="1" applyProtection="1">
      <alignment horizontal="right"/>
    </xf>
    <xf numFmtId="167" fontId="18" fillId="5" borderId="8" xfId="0" applyNumberFormat="1" applyFont="1" applyFill="1" applyBorder="1" applyAlignment="1" applyProtection="1">
      <alignment horizontal="center"/>
    </xf>
    <xf numFmtId="0" fontId="13" fillId="5" borderId="2" xfId="0" applyFont="1" applyFill="1" applyBorder="1" applyProtection="1"/>
    <xf numFmtId="0" fontId="13" fillId="5" borderId="3" xfId="0" applyFont="1" applyFill="1" applyBorder="1" applyProtection="1"/>
    <xf numFmtId="0" fontId="12" fillId="5" borderId="3" xfId="0" quotePrefix="1" applyFont="1" applyFill="1" applyBorder="1" applyAlignment="1" applyProtection="1">
      <alignment horizontal="right"/>
    </xf>
    <xf numFmtId="167" fontId="18" fillId="5" borderId="3" xfId="0" applyNumberFormat="1" applyFont="1" applyFill="1" applyBorder="1" applyAlignment="1" applyProtection="1">
      <alignment horizontal="center"/>
    </xf>
    <xf numFmtId="0" fontId="13" fillId="5" borderId="4" xfId="0" applyFont="1" applyFill="1" applyBorder="1" applyProtection="1"/>
    <xf numFmtId="0" fontId="54" fillId="4" borderId="14" xfId="0" applyFont="1" applyFill="1" applyBorder="1" applyProtection="1"/>
    <xf numFmtId="0" fontId="54" fillId="4" borderId="14" xfId="0" applyFont="1" applyFill="1" applyBorder="1" applyAlignment="1" applyProtection="1">
      <alignment horizontal="center"/>
    </xf>
    <xf numFmtId="0" fontId="54" fillId="4" borderId="15" xfId="0" applyFont="1" applyFill="1" applyBorder="1" applyProtection="1"/>
    <xf numFmtId="0" fontId="11" fillId="4" borderId="14" xfId="0" applyNumberFormat="1" applyFont="1" applyFill="1" applyBorder="1" applyAlignment="1" applyProtection="1">
      <alignment horizontal="left"/>
    </xf>
    <xf numFmtId="0" fontId="13" fillId="4" borderId="14" xfId="0" applyNumberFormat="1" applyFont="1" applyFill="1" applyBorder="1" applyAlignment="1" applyProtection="1">
      <alignment horizontal="left" indent="1"/>
    </xf>
    <xf numFmtId="49" fontId="11" fillId="5" borderId="14" xfId="0" applyNumberFormat="1" applyFont="1" applyFill="1" applyBorder="1" applyAlignment="1" applyProtection="1">
      <alignment horizontal="center"/>
      <protection locked="0"/>
    </xf>
    <xf numFmtId="0" fontId="12" fillId="4" borderId="14" xfId="0" applyNumberFormat="1" applyFont="1" applyFill="1" applyBorder="1" applyAlignment="1" applyProtection="1">
      <alignment horizontal="left"/>
    </xf>
    <xf numFmtId="164" fontId="60" fillId="9" borderId="14" xfId="0" applyNumberFormat="1" applyFont="1" applyFill="1" applyBorder="1" applyAlignment="1" applyProtection="1">
      <alignment horizontal="center"/>
    </xf>
    <xf numFmtId="0" fontId="13" fillId="4" borderId="14" xfId="0" applyFont="1" applyFill="1" applyBorder="1" applyAlignment="1" applyProtection="1">
      <alignment horizontal="center"/>
    </xf>
    <xf numFmtId="164" fontId="11" fillId="7" borderId="14" xfId="0" applyNumberFormat="1" applyFont="1" applyFill="1" applyBorder="1" applyAlignment="1" applyProtection="1">
      <alignment horizontal="center"/>
      <protection locked="0"/>
    </xf>
    <xf numFmtId="166" fontId="11" fillId="7" borderId="14" xfId="0" applyNumberFormat="1" applyFont="1" applyFill="1" applyBorder="1" applyAlignment="1" applyProtection="1">
      <alignment horizontal="center"/>
      <protection locked="0"/>
    </xf>
    <xf numFmtId="166" fontId="11" fillId="4" borderId="15" xfId="0" applyNumberFormat="1" applyFont="1" applyFill="1" applyBorder="1" applyProtection="1"/>
    <xf numFmtId="166" fontId="11" fillId="5" borderId="6" xfId="0" applyNumberFormat="1" applyFont="1" applyFill="1" applyBorder="1" applyProtection="1"/>
    <xf numFmtId="166" fontId="11" fillId="5" borderId="14" xfId="0" applyNumberFormat="1" applyFont="1" applyFill="1" applyBorder="1" applyAlignment="1" applyProtection="1">
      <alignment horizontal="center"/>
      <protection locked="0"/>
    </xf>
    <xf numFmtId="164" fontId="11" fillId="5" borderId="14" xfId="4" applyNumberFormat="1" applyFont="1" applyFill="1" applyBorder="1" applyAlignment="1" applyProtection="1">
      <alignment horizontal="center"/>
      <protection locked="0"/>
    </xf>
    <xf numFmtId="0" fontId="12" fillId="5" borderId="17" xfId="0" applyFont="1" applyFill="1" applyBorder="1" applyAlignment="1" applyProtection="1">
      <alignment horizontal="left"/>
    </xf>
    <xf numFmtId="166" fontId="12" fillId="5" borderId="17" xfId="0" applyNumberFormat="1" applyFont="1" applyFill="1" applyBorder="1" applyAlignment="1" applyProtection="1">
      <alignment horizontal="center"/>
    </xf>
    <xf numFmtId="166" fontId="59" fillId="6" borderId="14" xfId="0" applyNumberFormat="1" applyFont="1" applyFill="1" applyBorder="1" applyAlignment="1" applyProtection="1">
      <alignment horizontal="center"/>
    </xf>
    <xf numFmtId="0" fontId="17" fillId="4" borderId="0" xfId="0" applyNumberFormat="1" applyFont="1" applyFill="1" applyBorder="1" applyAlignment="1" applyProtection="1">
      <alignment horizontal="left"/>
    </xf>
    <xf numFmtId="164" fontId="17" fillId="4" borderId="0" xfId="0" applyNumberFormat="1" applyFont="1" applyFill="1" applyBorder="1" applyAlignment="1" applyProtection="1">
      <alignment horizontal="center"/>
    </xf>
    <xf numFmtId="171" fontId="17" fillId="4" borderId="0" xfId="0" applyNumberFormat="1" applyFont="1" applyFill="1" applyBorder="1" applyAlignment="1" applyProtection="1">
      <alignment horizontal="center"/>
    </xf>
    <xf numFmtId="0" fontId="70" fillId="4" borderId="0" xfId="0" applyFont="1" applyFill="1" applyBorder="1" applyAlignment="1" applyProtection="1">
      <alignment horizontal="center"/>
    </xf>
    <xf numFmtId="0" fontId="17" fillId="4" borderId="0" xfId="0" applyFont="1" applyFill="1" applyBorder="1" applyAlignment="1" applyProtection="1">
      <alignment horizontal="center"/>
    </xf>
    <xf numFmtId="0" fontId="70" fillId="4" borderId="0" xfId="0" applyFont="1" applyFill="1" applyBorder="1" applyProtection="1"/>
    <xf numFmtId="164" fontId="66" fillId="4" borderId="0" xfId="0" applyNumberFormat="1" applyFont="1" applyFill="1" applyBorder="1" applyAlignment="1" applyProtection="1">
      <alignment horizontal="center"/>
    </xf>
    <xf numFmtId="164" fontId="66" fillId="4" borderId="0" xfId="0" quotePrefix="1" applyNumberFormat="1" applyFont="1" applyFill="1" applyBorder="1" applyAlignment="1" applyProtection="1">
      <alignment horizontal="center"/>
    </xf>
    <xf numFmtId="164" fontId="11" fillId="4" borderId="0" xfId="0" applyNumberFormat="1" applyFont="1" applyFill="1" applyBorder="1" applyAlignment="1" applyProtection="1"/>
    <xf numFmtId="0" fontId="13" fillId="4" borderId="0" xfId="0" applyFont="1" applyFill="1" applyBorder="1" applyProtection="1"/>
    <xf numFmtId="0" fontId="66" fillId="4" borderId="0" xfId="0" applyFont="1" applyFill="1" applyBorder="1" applyAlignment="1" applyProtection="1">
      <alignment horizontal="left"/>
    </xf>
    <xf numFmtId="0" fontId="66" fillId="4" borderId="0" xfId="0" applyFont="1" applyFill="1" applyProtection="1"/>
    <xf numFmtId="0" fontId="66" fillId="4" borderId="0" xfId="0" applyFont="1" applyFill="1" applyAlignment="1" applyProtection="1">
      <alignment horizontal="center"/>
    </xf>
    <xf numFmtId="0" fontId="23" fillId="4" borderId="0" xfId="0" applyFont="1" applyFill="1" applyProtection="1"/>
    <xf numFmtId="0" fontId="23" fillId="4" borderId="0" xfId="0" applyFont="1" applyFill="1" applyAlignment="1" applyProtection="1">
      <alignment horizontal="center"/>
    </xf>
    <xf numFmtId="0" fontId="11" fillId="4" borderId="0" xfId="0" applyFont="1" applyFill="1" applyBorder="1" applyAlignment="1" applyProtection="1"/>
    <xf numFmtId="0" fontId="11" fillId="4" borderId="0" xfId="0" applyFont="1" applyFill="1" applyBorder="1" applyAlignment="1" applyProtection="1">
      <alignment horizontal="left"/>
    </xf>
    <xf numFmtId="174" fontId="11" fillId="4" borderId="0" xfId="0" applyNumberFormat="1" applyFont="1" applyFill="1" applyBorder="1" applyAlignment="1" applyProtection="1">
      <alignment horizontal="center"/>
    </xf>
    <xf numFmtId="0" fontId="11" fillId="4" borderId="0" xfId="0" applyNumberFormat="1" applyFont="1" applyFill="1" applyBorder="1" applyAlignment="1" applyProtection="1">
      <alignment horizontal="center"/>
    </xf>
    <xf numFmtId="171" fontId="11" fillId="4" borderId="0" xfId="0" applyNumberFormat="1" applyFont="1" applyFill="1" applyBorder="1" applyAlignment="1" applyProtection="1">
      <alignment horizontal="center"/>
    </xf>
    <xf numFmtId="171" fontId="11" fillId="4" borderId="0" xfId="0" applyNumberFormat="1" applyFont="1" applyFill="1" applyBorder="1" applyProtection="1"/>
    <xf numFmtId="0" fontId="11" fillId="4" borderId="0" xfId="0" applyNumberFormat="1" applyFont="1" applyFill="1" applyBorder="1" applyAlignment="1" applyProtection="1"/>
    <xf numFmtId="166" fontId="11" fillId="4" borderId="0" xfId="0" applyNumberFormat="1" applyFont="1" applyFill="1" applyBorder="1" applyProtection="1"/>
    <xf numFmtId="2" fontId="11" fillId="4" borderId="0" xfId="0" applyNumberFormat="1" applyFont="1" applyFill="1" applyBorder="1" applyAlignment="1" applyProtection="1">
      <alignment horizontal="center"/>
    </xf>
    <xf numFmtId="164" fontId="11" fillId="4" borderId="0" xfId="0" applyNumberFormat="1" applyFont="1" applyFill="1" applyBorder="1" applyProtection="1"/>
    <xf numFmtId="168" fontId="11" fillId="4" borderId="0" xfId="0" applyNumberFormat="1" applyFont="1" applyFill="1" applyBorder="1" applyProtection="1"/>
    <xf numFmtId="0" fontId="11" fillId="5" borderId="3" xfId="0" applyFont="1" applyFill="1" applyBorder="1" applyAlignment="1" applyProtection="1"/>
    <xf numFmtId="0" fontId="11" fillId="5" borderId="3" xfId="0" applyFont="1" applyFill="1" applyBorder="1" applyAlignment="1" applyProtection="1">
      <alignment horizontal="left"/>
    </xf>
    <xf numFmtId="174" fontId="11" fillId="5" borderId="3" xfId="0" applyNumberFormat="1" applyFont="1" applyFill="1" applyBorder="1" applyAlignment="1" applyProtection="1">
      <alignment horizontal="center"/>
    </xf>
    <xf numFmtId="0" fontId="11" fillId="5" borderId="3" xfId="0" applyNumberFormat="1" applyFont="1" applyFill="1" applyBorder="1" applyAlignment="1" applyProtection="1">
      <alignment horizontal="center"/>
    </xf>
    <xf numFmtId="171" fontId="11" fillId="5" borderId="3" xfId="0" applyNumberFormat="1" applyFont="1" applyFill="1" applyBorder="1" applyAlignment="1" applyProtection="1">
      <alignment horizontal="center"/>
    </xf>
    <xf numFmtId="171" fontId="11" fillId="5" borderId="3" xfId="0" applyNumberFormat="1" applyFont="1" applyFill="1" applyBorder="1" applyProtection="1"/>
    <xf numFmtId="0" fontId="11" fillId="5" borderId="3" xfId="0" applyNumberFormat="1" applyFont="1" applyFill="1" applyBorder="1" applyAlignment="1" applyProtection="1"/>
    <xf numFmtId="166" fontId="11" fillId="5" borderId="3" xfId="0" applyNumberFormat="1" applyFont="1" applyFill="1" applyBorder="1" applyProtection="1"/>
    <xf numFmtId="2" fontId="11" fillId="5" borderId="3" xfId="0" applyNumberFormat="1" applyFont="1" applyFill="1" applyBorder="1" applyAlignment="1" applyProtection="1">
      <alignment horizontal="center"/>
    </xf>
    <xf numFmtId="164" fontId="11" fillId="5" borderId="3" xfId="0" applyNumberFormat="1" applyFont="1" applyFill="1" applyBorder="1" applyProtection="1"/>
    <xf numFmtId="0" fontId="11" fillId="5" borderId="0" xfId="0" applyFont="1" applyFill="1" applyBorder="1" applyAlignment="1" applyProtection="1"/>
    <xf numFmtId="174" fontId="11" fillId="5" borderId="0" xfId="0" applyNumberFormat="1" applyFont="1" applyFill="1" applyBorder="1" applyAlignment="1" applyProtection="1">
      <alignment horizontal="center"/>
    </xf>
    <xf numFmtId="0" fontId="11" fillId="5" borderId="0" xfId="0" applyNumberFormat="1" applyFont="1" applyFill="1" applyBorder="1" applyAlignment="1" applyProtection="1">
      <alignment horizontal="center"/>
    </xf>
    <xf numFmtId="171" fontId="11" fillId="5" borderId="0" xfId="0" applyNumberFormat="1" applyFont="1" applyFill="1" applyBorder="1" applyAlignment="1" applyProtection="1">
      <alignment horizontal="center"/>
    </xf>
    <xf numFmtId="171" fontId="11" fillId="5" borderId="0" xfId="0" applyNumberFormat="1" applyFont="1" applyFill="1" applyBorder="1" applyProtection="1"/>
    <xf numFmtId="0" fontId="11" fillId="5" borderId="0" xfId="0" applyNumberFormat="1" applyFont="1" applyFill="1" applyBorder="1" applyAlignment="1" applyProtection="1"/>
    <xf numFmtId="166" fontId="11" fillId="5" borderId="0" xfId="0" applyNumberFormat="1" applyFont="1" applyFill="1" applyBorder="1" applyProtection="1"/>
    <xf numFmtId="2" fontId="11" fillId="5" borderId="0" xfId="0" applyNumberFormat="1" applyFont="1" applyFill="1" applyBorder="1" applyAlignment="1" applyProtection="1">
      <alignment horizontal="center"/>
    </xf>
    <xf numFmtId="164" fontId="11" fillId="5" borderId="0" xfId="0" applyNumberFormat="1" applyFont="1" applyFill="1" applyBorder="1" applyProtection="1"/>
    <xf numFmtId="0" fontId="71" fillId="4" borderId="0" xfId="0" applyFont="1" applyFill="1" applyBorder="1" applyProtection="1"/>
    <xf numFmtId="0" fontId="62" fillId="5" borderId="5" xfId="0" applyFont="1" applyFill="1" applyBorder="1" applyAlignment="1" applyProtection="1">
      <alignment horizontal="left"/>
    </xf>
    <xf numFmtId="0" fontId="71" fillId="5" borderId="0" xfId="0" applyFont="1" applyFill="1" applyBorder="1" applyAlignment="1" applyProtection="1"/>
    <xf numFmtId="0" fontId="71" fillId="5" borderId="0" xfId="0" applyFont="1" applyFill="1" applyBorder="1" applyAlignment="1" applyProtection="1">
      <alignment horizontal="left"/>
    </xf>
    <xf numFmtId="0" fontId="71" fillId="5" borderId="0" xfId="0" applyFont="1" applyFill="1" applyBorder="1" applyAlignment="1" applyProtection="1">
      <alignment horizontal="center"/>
    </xf>
    <xf numFmtId="174" fontId="71" fillId="5" borderId="0" xfId="0" applyNumberFormat="1" applyFont="1" applyFill="1" applyBorder="1" applyAlignment="1" applyProtection="1">
      <alignment horizontal="center"/>
    </xf>
    <xf numFmtId="0" fontId="71" fillId="5" borderId="0" xfId="0" applyNumberFormat="1" applyFont="1" applyFill="1" applyBorder="1" applyAlignment="1" applyProtection="1">
      <alignment horizontal="center"/>
    </xf>
    <xf numFmtId="171" fontId="71" fillId="5" borderId="0" xfId="0" applyNumberFormat="1" applyFont="1" applyFill="1" applyBorder="1" applyAlignment="1" applyProtection="1">
      <alignment horizontal="center"/>
    </xf>
    <xf numFmtId="171" fontId="71" fillId="5" borderId="0" xfId="0" applyNumberFormat="1" applyFont="1" applyFill="1" applyBorder="1" applyProtection="1"/>
    <xf numFmtId="0" fontId="71" fillId="5" borderId="0" xfId="0" applyFont="1" applyFill="1" applyBorder="1" applyProtection="1"/>
    <xf numFmtId="0" fontId="71" fillId="5" borderId="0" xfId="0" applyNumberFormat="1" applyFont="1" applyFill="1" applyBorder="1" applyAlignment="1" applyProtection="1"/>
    <xf numFmtId="2" fontId="71" fillId="5" borderId="0" xfId="0" applyNumberFormat="1" applyFont="1" applyFill="1" applyBorder="1" applyAlignment="1" applyProtection="1">
      <alignment horizontal="center"/>
    </xf>
    <xf numFmtId="164" fontId="71" fillId="5" borderId="0" xfId="0" applyNumberFormat="1" applyFont="1" applyFill="1" applyBorder="1" applyProtection="1"/>
    <xf numFmtId="0" fontId="71" fillId="5" borderId="6" xfId="0" applyFont="1" applyFill="1" applyBorder="1" applyProtection="1"/>
    <xf numFmtId="0" fontId="71" fillId="4" borderId="0" xfId="0" applyNumberFormat="1" applyFont="1" applyFill="1" applyBorder="1" applyProtection="1"/>
    <xf numFmtId="164" fontId="71" fillId="4" borderId="0" xfId="0" applyNumberFormat="1" applyFont="1" applyFill="1" applyBorder="1" applyProtection="1"/>
    <xf numFmtId="171" fontId="71" fillId="4" borderId="0" xfId="0" applyNumberFormat="1" applyFont="1" applyFill="1" applyBorder="1" applyAlignment="1" applyProtection="1">
      <alignment horizontal="center"/>
    </xf>
    <xf numFmtId="0" fontId="71" fillId="4" borderId="0" xfId="0" applyNumberFormat="1" applyFont="1" applyFill="1" applyBorder="1" applyAlignment="1" applyProtection="1">
      <alignment horizontal="center"/>
    </xf>
    <xf numFmtId="171" fontId="71" fillId="4" borderId="0" xfId="0" applyNumberFormat="1" applyFont="1" applyFill="1" applyBorder="1" applyProtection="1"/>
    <xf numFmtId="1" fontId="71" fillId="4" borderId="0" xfId="0" applyNumberFormat="1" applyFont="1" applyFill="1" applyBorder="1" applyProtection="1"/>
    <xf numFmtId="0" fontId="19" fillId="4" borderId="0" xfId="0" applyFont="1" applyFill="1" applyBorder="1" applyProtection="1"/>
    <xf numFmtId="0" fontId="35" fillId="5" borderId="5" xfId="0" applyFont="1" applyFill="1" applyBorder="1" applyAlignment="1" applyProtection="1">
      <alignment horizontal="left"/>
    </xf>
    <xf numFmtId="0" fontId="30" fillId="5" borderId="0" xfId="0" applyFont="1" applyFill="1" applyBorder="1" applyAlignment="1" applyProtection="1">
      <alignment horizontal="left"/>
    </xf>
    <xf numFmtId="0" fontId="19" fillId="5" borderId="0" xfId="0" applyFont="1" applyFill="1" applyBorder="1" applyAlignment="1" applyProtection="1"/>
    <xf numFmtId="0" fontId="19" fillId="5" borderId="0" xfId="0" applyFont="1" applyFill="1" applyBorder="1" applyAlignment="1" applyProtection="1">
      <alignment horizontal="left"/>
    </xf>
    <xf numFmtId="0" fontId="19" fillId="5" borderId="0" xfId="0" applyFont="1" applyFill="1" applyBorder="1" applyAlignment="1" applyProtection="1">
      <alignment horizontal="center"/>
    </xf>
    <xf numFmtId="174" fontId="19" fillId="5" borderId="0" xfId="0" applyNumberFormat="1" applyFont="1" applyFill="1" applyBorder="1" applyAlignment="1" applyProtection="1">
      <alignment horizontal="center"/>
    </xf>
    <xf numFmtId="0" fontId="19" fillId="5" borderId="0" xfId="0" applyNumberFormat="1" applyFont="1" applyFill="1" applyBorder="1" applyAlignment="1" applyProtection="1">
      <alignment horizontal="center"/>
    </xf>
    <xf numFmtId="171" fontId="19" fillId="5" borderId="0" xfId="0" applyNumberFormat="1" applyFont="1" applyFill="1" applyBorder="1" applyAlignment="1" applyProtection="1">
      <alignment horizontal="center"/>
    </xf>
    <xf numFmtId="171" fontId="19" fillId="5" borderId="0" xfId="0" applyNumberFormat="1" applyFont="1" applyFill="1" applyBorder="1" applyProtection="1"/>
    <xf numFmtId="0" fontId="19" fillId="5" borderId="0" xfId="0" applyFont="1" applyFill="1" applyBorder="1" applyProtection="1"/>
    <xf numFmtId="0" fontId="19" fillId="5" borderId="0" xfId="0" applyNumberFormat="1" applyFont="1" applyFill="1" applyBorder="1" applyAlignment="1" applyProtection="1"/>
    <xf numFmtId="2" fontId="19" fillId="5" borderId="0" xfId="0" applyNumberFormat="1" applyFont="1" applyFill="1" applyBorder="1" applyAlignment="1" applyProtection="1">
      <alignment horizontal="center"/>
    </xf>
    <xf numFmtId="164" fontId="19" fillId="5" borderId="0" xfId="0" applyNumberFormat="1" applyFont="1" applyFill="1" applyBorder="1" applyProtection="1"/>
    <xf numFmtId="0" fontId="19" fillId="5" borderId="6" xfId="0" applyFont="1" applyFill="1" applyBorder="1" applyProtection="1"/>
    <xf numFmtId="0" fontId="19" fillId="4" borderId="0" xfId="0" applyNumberFormat="1" applyFont="1" applyFill="1" applyBorder="1" applyProtection="1"/>
    <xf numFmtId="164" fontId="19" fillId="4" borderId="0" xfId="0" applyNumberFormat="1" applyFont="1" applyFill="1" applyBorder="1" applyProtection="1"/>
    <xf numFmtId="171" fontId="19" fillId="4" borderId="0" xfId="0" applyNumberFormat="1" applyFont="1" applyFill="1" applyBorder="1" applyAlignment="1" applyProtection="1">
      <alignment horizontal="center"/>
    </xf>
    <xf numFmtId="0" fontId="19" fillId="4" borderId="0" xfId="0" applyNumberFormat="1" applyFont="1" applyFill="1" applyBorder="1" applyAlignment="1" applyProtection="1">
      <alignment horizontal="center"/>
    </xf>
    <xf numFmtId="171" fontId="19" fillId="4" borderId="0" xfId="0" applyNumberFormat="1" applyFont="1" applyFill="1" applyBorder="1" applyProtection="1"/>
    <xf numFmtId="1" fontId="19" fillId="4" borderId="0" xfId="0" applyNumberFormat="1" applyFont="1" applyFill="1" applyBorder="1" applyProtection="1"/>
    <xf numFmtId="0" fontId="11" fillId="4" borderId="0" xfId="0" applyNumberFormat="1" applyFont="1" applyFill="1" applyBorder="1" applyProtection="1"/>
    <xf numFmtId="1" fontId="11" fillId="4" borderId="0" xfId="0" applyNumberFormat="1" applyFont="1" applyFill="1" applyBorder="1" applyProtection="1"/>
    <xf numFmtId="0" fontId="21" fillId="4" borderId="0" xfId="0" applyFont="1" applyFill="1" applyBorder="1" applyProtection="1"/>
    <xf numFmtId="0" fontId="21" fillId="5" borderId="5" xfId="0" applyFont="1" applyFill="1" applyBorder="1" applyProtection="1"/>
    <xf numFmtId="0" fontId="21" fillId="5" borderId="0" xfId="0" applyFont="1" applyFill="1" applyBorder="1" applyProtection="1"/>
    <xf numFmtId="0" fontId="22" fillId="5" borderId="0" xfId="0" applyFont="1" applyFill="1" applyBorder="1" applyAlignment="1" applyProtection="1"/>
    <xf numFmtId="172" fontId="14" fillId="5" borderId="0" xfId="0" applyNumberFormat="1" applyFont="1" applyFill="1" applyBorder="1" applyAlignment="1" applyProtection="1">
      <alignment horizontal="left"/>
    </xf>
    <xf numFmtId="0" fontId="20" fillId="5" borderId="0" xfId="0" applyFont="1" applyFill="1" applyBorder="1" applyAlignment="1" applyProtection="1">
      <alignment horizontal="left"/>
    </xf>
    <xf numFmtId="0" fontId="20" fillId="5" borderId="0" xfId="0" applyFont="1" applyFill="1" applyBorder="1" applyAlignment="1" applyProtection="1">
      <alignment horizontal="center"/>
    </xf>
    <xf numFmtId="174" fontId="20" fillId="5" borderId="0" xfId="0" applyNumberFormat="1" applyFont="1" applyFill="1" applyBorder="1" applyAlignment="1" applyProtection="1">
      <alignment horizontal="center"/>
    </xf>
    <xf numFmtId="0" fontId="21" fillId="5" borderId="0" xfId="0" applyNumberFormat="1" applyFont="1" applyFill="1" applyBorder="1" applyAlignment="1" applyProtection="1">
      <alignment horizontal="center"/>
    </xf>
    <xf numFmtId="171" fontId="21" fillId="5" borderId="0" xfId="0" applyNumberFormat="1" applyFont="1" applyFill="1" applyBorder="1" applyAlignment="1" applyProtection="1">
      <alignment horizontal="center"/>
    </xf>
    <xf numFmtId="171" fontId="21" fillId="5" borderId="0" xfId="0" applyNumberFormat="1" applyFont="1" applyFill="1" applyBorder="1" applyProtection="1"/>
    <xf numFmtId="0" fontId="21" fillId="5" borderId="0" xfId="0" applyNumberFormat="1" applyFont="1" applyFill="1" applyBorder="1" applyAlignment="1" applyProtection="1"/>
    <xf numFmtId="2" fontId="21" fillId="5" borderId="0" xfId="0" applyNumberFormat="1" applyFont="1" applyFill="1" applyBorder="1" applyAlignment="1" applyProtection="1">
      <alignment horizontal="center"/>
    </xf>
    <xf numFmtId="0" fontId="21" fillId="5" borderId="6" xfId="0" applyFont="1" applyFill="1" applyBorder="1" applyProtection="1"/>
    <xf numFmtId="0" fontId="21" fillId="4" borderId="0" xfId="0" applyNumberFormat="1" applyFont="1" applyFill="1" applyBorder="1" applyProtection="1"/>
    <xf numFmtId="164" fontId="21" fillId="4" borderId="0" xfId="0" applyNumberFormat="1" applyFont="1" applyFill="1" applyBorder="1" applyProtection="1"/>
    <xf numFmtId="171" fontId="21" fillId="4" borderId="0" xfId="0" applyNumberFormat="1" applyFont="1" applyFill="1" applyBorder="1" applyAlignment="1" applyProtection="1">
      <alignment horizontal="center"/>
    </xf>
    <xf numFmtId="0" fontId="21" fillId="4" borderId="0" xfId="0" applyNumberFormat="1" applyFont="1" applyFill="1" applyBorder="1" applyAlignment="1" applyProtection="1">
      <alignment horizontal="center"/>
    </xf>
    <xf numFmtId="171" fontId="21" fillId="4" borderId="0" xfId="0" applyNumberFormat="1" applyFont="1" applyFill="1" applyBorder="1" applyProtection="1"/>
    <xf numFmtId="1" fontId="21" fillId="4" borderId="0" xfId="0" applyNumberFormat="1" applyFont="1" applyFill="1" applyBorder="1" applyProtection="1"/>
    <xf numFmtId="172" fontId="12" fillId="5" borderId="0" xfId="0" applyNumberFormat="1" applyFont="1" applyFill="1" applyBorder="1" applyAlignment="1" applyProtection="1">
      <alignment horizontal="left"/>
    </xf>
    <xf numFmtId="0" fontId="17" fillId="5" borderId="0" xfId="0" applyFont="1" applyFill="1" applyBorder="1" applyAlignment="1" applyProtection="1">
      <alignment horizontal="left"/>
    </xf>
    <xf numFmtId="174" fontId="17" fillId="5" borderId="0" xfId="0" applyNumberFormat="1" applyFont="1" applyFill="1" applyBorder="1" applyAlignment="1" applyProtection="1">
      <alignment horizontal="center"/>
    </xf>
    <xf numFmtId="0" fontId="14" fillId="5" borderId="0" xfId="0" applyFont="1" applyFill="1" applyBorder="1" applyAlignment="1" applyProtection="1">
      <alignment horizontal="left"/>
    </xf>
    <xf numFmtId="0" fontId="11" fillId="4" borderId="11" xfId="0" applyFont="1" applyFill="1" applyBorder="1" applyAlignment="1" applyProtection="1"/>
    <xf numFmtId="0" fontId="17" fillId="4" borderId="11" xfId="0" applyFont="1" applyFill="1" applyBorder="1" applyAlignment="1" applyProtection="1">
      <alignment horizontal="left"/>
    </xf>
    <xf numFmtId="174" fontId="11" fillId="4" borderId="11" xfId="0" applyNumberFormat="1" applyFont="1" applyFill="1" applyBorder="1" applyAlignment="1" applyProtection="1">
      <alignment horizontal="center"/>
    </xf>
    <xf numFmtId="0" fontId="11" fillId="4" borderId="11" xfId="0" applyNumberFormat="1" applyFont="1" applyFill="1" applyBorder="1" applyAlignment="1" applyProtection="1">
      <alignment horizontal="center"/>
    </xf>
    <xf numFmtId="171" fontId="11" fillId="4" borderId="11" xfId="0" applyNumberFormat="1" applyFont="1" applyFill="1" applyBorder="1" applyAlignment="1" applyProtection="1">
      <alignment horizontal="center"/>
    </xf>
    <xf numFmtId="171" fontId="11" fillId="4" borderId="11" xfId="0" applyNumberFormat="1" applyFont="1" applyFill="1" applyBorder="1" applyProtection="1"/>
    <xf numFmtId="0" fontId="11" fillId="4" borderId="11" xfId="0" applyNumberFormat="1" applyFont="1" applyFill="1" applyBorder="1" applyAlignment="1" applyProtection="1"/>
    <xf numFmtId="166" fontId="11" fillId="4" borderId="11" xfId="0" applyNumberFormat="1" applyFont="1" applyFill="1" applyBorder="1" applyProtection="1"/>
    <xf numFmtId="2" fontId="11" fillId="4" borderId="11" xfId="0" applyNumberFormat="1" applyFont="1" applyFill="1" applyBorder="1" applyAlignment="1" applyProtection="1">
      <alignment horizontal="center"/>
    </xf>
    <xf numFmtId="164" fontId="11" fillId="4" borderId="11" xfId="0" applyNumberFormat="1" applyFont="1" applyFill="1" applyBorder="1" applyProtection="1"/>
    <xf numFmtId="0" fontId="54" fillId="4" borderId="0" xfId="0" applyFont="1" applyFill="1" applyBorder="1" applyAlignment="1" applyProtection="1">
      <alignment horizontal="center"/>
    </xf>
    <xf numFmtId="0" fontId="54" fillId="5" borderId="5" xfId="0" applyFont="1" applyFill="1" applyBorder="1" applyAlignment="1" applyProtection="1">
      <alignment horizontal="center"/>
    </xf>
    <xf numFmtId="0" fontId="54" fillId="4" borderId="13" xfId="0" applyFont="1" applyFill="1" applyBorder="1" applyAlignment="1" applyProtection="1">
      <alignment horizontal="center"/>
    </xf>
    <xf numFmtId="0" fontId="72" fillId="4" borderId="14" xfId="0" applyFont="1" applyFill="1" applyBorder="1" applyAlignment="1" applyProtection="1">
      <alignment horizontal="left"/>
    </xf>
    <xf numFmtId="2" fontId="58" fillId="4" borderId="14" xfId="0" applyNumberFormat="1" applyFont="1" applyFill="1" applyBorder="1" applyAlignment="1" applyProtection="1">
      <alignment horizontal="center"/>
    </xf>
    <xf numFmtId="0" fontId="54" fillId="4" borderId="15" xfId="0" applyNumberFormat="1" applyFont="1" applyFill="1" applyBorder="1" applyAlignment="1" applyProtection="1">
      <alignment horizontal="center"/>
    </xf>
    <xf numFmtId="166" fontId="54" fillId="5" borderId="6" xfId="0" applyNumberFormat="1" applyFont="1" applyFill="1" applyBorder="1" applyAlignment="1" applyProtection="1">
      <alignment horizontal="center"/>
    </xf>
    <xf numFmtId="166" fontId="54" fillId="4" borderId="0" xfId="0" applyNumberFormat="1" applyFont="1" applyFill="1" applyBorder="1" applyAlignment="1" applyProtection="1">
      <alignment horizontal="center"/>
    </xf>
    <xf numFmtId="171" fontId="54" fillId="4" borderId="0" xfId="0" applyNumberFormat="1" applyFont="1" applyFill="1" applyBorder="1" applyAlignment="1" applyProtection="1">
      <alignment horizontal="center"/>
    </xf>
    <xf numFmtId="1" fontId="54" fillId="4" borderId="0" xfId="0" applyNumberFormat="1" applyFont="1" applyFill="1" applyBorder="1" applyAlignment="1" applyProtection="1">
      <alignment horizontal="center"/>
    </xf>
    <xf numFmtId="0" fontId="56" fillId="4" borderId="14" xfId="0" applyFont="1" applyFill="1" applyBorder="1" applyAlignment="1" applyProtection="1"/>
    <xf numFmtId="0" fontId="56" fillId="4" borderId="14" xfId="0" applyNumberFormat="1" applyFont="1" applyFill="1" applyBorder="1" applyAlignment="1" applyProtection="1">
      <alignment horizontal="center"/>
    </xf>
    <xf numFmtId="174" fontId="56" fillId="4" borderId="14" xfId="0" applyNumberFormat="1" applyFont="1" applyFill="1" applyBorder="1" applyAlignment="1" applyProtection="1">
      <alignment horizontal="center"/>
    </xf>
    <xf numFmtId="171" fontId="56" fillId="4" borderId="14" xfId="0" applyNumberFormat="1" applyFont="1" applyFill="1" applyBorder="1" applyAlignment="1" applyProtection="1">
      <alignment horizontal="center"/>
    </xf>
    <xf numFmtId="1" fontId="56" fillId="4" borderId="14" xfId="0" applyNumberFormat="1" applyFont="1" applyFill="1" applyBorder="1" applyAlignment="1" applyProtection="1">
      <alignment horizontal="center"/>
    </xf>
    <xf numFmtId="166" fontId="56" fillId="4" borderId="14" xfId="0" applyNumberFormat="1" applyFont="1" applyFill="1" applyBorder="1" applyAlignment="1" applyProtection="1">
      <alignment horizontal="center"/>
    </xf>
    <xf numFmtId="0" fontId="56" fillId="4" borderId="0" xfId="0" applyFont="1" applyFill="1" applyBorder="1" applyAlignment="1" applyProtection="1">
      <alignment horizontal="center"/>
    </xf>
    <xf numFmtId="2" fontId="56" fillId="4" borderId="14" xfId="0" applyNumberFormat="1" applyFont="1" applyFill="1" applyBorder="1" applyAlignment="1" applyProtection="1">
      <alignment horizontal="center"/>
    </xf>
    <xf numFmtId="164" fontId="56" fillId="4" borderId="14" xfId="0" applyNumberFormat="1" applyFont="1" applyFill="1" applyBorder="1" applyAlignment="1" applyProtection="1">
      <alignment horizontal="center"/>
    </xf>
    <xf numFmtId="0" fontId="56" fillId="4" borderId="15" xfId="0" applyNumberFormat="1" applyFont="1" applyFill="1" applyBorder="1" applyAlignment="1" applyProtection="1">
      <alignment horizontal="center"/>
    </xf>
    <xf numFmtId="166" fontId="56" fillId="5" borderId="6" xfId="0" applyNumberFormat="1" applyFont="1" applyFill="1" applyBorder="1" applyAlignment="1" applyProtection="1">
      <alignment horizontal="center"/>
    </xf>
    <xf numFmtId="166" fontId="56" fillId="4" borderId="0" xfId="0" applyNumberFormat="1" applyFont="1" applyFill="1" applyBorder="1" applyAlignment="1" applyProtection="1">
      <alignment horizontal="center"/>
    </xf>
    <xf numFmtId="171" fontId="56" fillId="4" borderId="0" xfId="0" applyNumberFormat="1" applyFont="1" applyFill="1" applyBorder="1" applyAlignment="1" applyProtection="1">
      <alignment horizontal="center"/>
    </xf>
    <xf numFmtId="1" fontId="56" fillId="4" borderId="0" xfId="0" applyNumberFormat="1" applyFont="1" applyFill="1" applyBorder="1" applyAlignment="1" applyProtection="1">
      <alignment horizontal="center"/>
    </xf>
    <xf numFmtId="0" fontId="54" fillId="4" borderId="14" xfId="0" applyFont="1" applyFill="1" applyBorder="1" applyAlignment="1" applyProtection="1"/>
    <xf numFmtId="1" fontId="56" fillId="4" borderId="14" xfId="0" applyNumberFormat="1" applyFont="1" applyFill="1" applyBorder="1" applyAlignment="1" applyProtection="1">
      <alignment horizontal="left"/>
    </xf>
    <xf numFmtId="0" fontId="54" fillId="4" borderId="15" xfId="0" applyFont="1" applyFill="1" applyBorder="1" applyAlignment="1" applyProtection="1">
      <alignment horizontal="center"/>
    </xf>
    <xf numFmtId="0" fontId="54" fillId="5" borderId="6" xfId="0" applyFont="1" applyFill="1" applyBorder="1" applyAlignment="1" applyProtection="1">
      <alignment horizontal="center"/>
    </xf>
    <xf numFmtId="166" fontId="54" fillId="4" borderId="0" xfId="4" applyNumberFormat="1" applyFont="1" applyFill="1" applyBorder="1" applyAlignment="1" applyProtection="1">
      <alignment horizontal="center"/>
    </xf>
    <xf numFmtId="1" fontId="13" fillId="4" borderId="14" xfId="0" applyNumberFormat="1" applyFont="1" applyFill="1" applyBorder="1" applyAlignment="1" applyProtection="1">
      <alignment horizontal="center"/>
    </xf>
    <xf numFmtId="174" fontId="11" fillId="4" borderId="14" xfId="0" applyNumberFormat="1" applyFont="1" applyFill="1" applyBorder="1" applyAlignment="1" applyProtection="1">
      <alignment horizontal="center"/>
    </xf>
    <xf numFmtId="0" fontId="13" fillId="4" borderId="14" xfId="0" applyNumberFormat="1" applyFont="1" applyFill="1" applyBorder="1" applyAlignment="1" applyProtection="1">
      <alignment horizontal="center"/>
    </xf>
    <xf numFmtId="171" fontId="13" fillId="4" borderId="14" xfId="0" applyNumberFormat="1" applyFont="1" applyFill="1" applyBorder="1" applyAlignment="1" applyProtection="1">
      <alignment horizontal="center"/>
    </xf>
    <xf numFmtId="166" fontId="13" fillId="4" borderId="14" xfId="0" applyNumberFormat="1" applyFont="1" applyFill="1" applyBorder="1" applyAlignment="1" applyProtection="1">
      <alignment horizontal="left"/>
    </xf>
    <xf numFmtId="166" fontId="11" fillId="4" borderId="14" xfId="0" applyNumberFormat="1" applyFont="1" applyFill="1" applyBorder="1" applyAlignment="1" applyProtection="1">
      <alignment horizontal="center"/>
    </xf>
    <xf numFmtId="164" fontId="13" fillId="4" borderId="14" xfId="0" applyNumberFormat="1" applyFont="1" applyFill="1" applyBorder="1" applyAlignment="1" applyProtection="1">
      <alignment horizontal="center"/>
    </xf>
    <xf numFmtId="166" fontId="13" fillId="4" borderId="14" xfId="0" applyNumberFormat="1" applyFont="1" applyFill="1" applyBorder="1" applyAlignment="1" applyProtection="1">
      <alignment horizontal="center"/>
    </xf>
    <xf numFmtId="166" fontId="11" fillId="4" borderId="0" xfId="4" applyNumberFormat="1" applyFont="1" applyFill="1" applyBorder="1" applyProtection="1"/>
    <xf numFmtId="0" fontId="11" fillId="5" borderId="14" xfId="0" applyFont="1" applyFill="1" applyBorder="1" applyAlignment="1" applyProtection="1">
      <protection locked="0"/>
    </xf>
    <xf numFmtId="174" fontId="11" fillId="5" borderId="14" xfId="0" applyNumberFormat="1" applyFont="1" applyFill="1" applyBorder="1" applyAlignment="1" applyProtection="1">
      <alignment horizontal="center"/>
      <protection locked="0"/>
    </xf>
    <xf numFmtId="171" fontId="11" fillId="5" borderId="14" xfId="4" applyNumberFormat="1" applyFont="1" applyFill="1" applyBorder="1" applyAlignment="1" applyProtection="1">
      <alignment horizontal="center"/>
      <protection locked="0"/>
    </xf>
    <xf numFmtId="171" fontId="11" fillId="5" borderId="14" xfId="0" applyNumberFormat="1" applyFont="1" applyFill="1" applyBorder="1" applyAlignment="1" applyProtection="1">
      <alignment horizontal="center"/>
      <protection locked="0"/>
    </xf>
    <xf numFmtId="171" fontId="11" fillId="7" borderId="14" xfId="0" applyNumberFormat="1" applyFont="1" applyFill="1" applyBorder="1" applyAlignment="1" applyProtection="1">
      <alignment horizontal="center"/>
    </xf>
    <xf numFmtId="0" fontId="11" fillId="4" borderId="14" xfId="0" applyNumberFormat="1" applyFont="1" applyFill="1" applyBorder="1" applyAlignment="1" applyProtection="1">
      <alignment horizontal="center"/>
    </xf>
    <xf numFmtId="166" fontId="11" fillId="7" borderId="14" xfId="4" applyNumberFormat="1" applyFont="1" applyFill="1" applyBorder="1" applyAlignment="1" applyProtection="1"/>
    <xf numFmtId="166" fontId="11" fillId="7" borderId="14" xfId="4" applyNumberFormat="1" applyFont="1" applyFill="1" applyBorder="1" applyProtection="1"/>
    <xf numFmtId="166" fontId="11" fillId="7" borderId="14" xfId="4" applyNumberFormat="1" applyFont="1" applyFill="1" applyBorder="1" applyAlignment="1" applyProtection="1">
      <alignment horizontal="left"/>
    </xf>
    <xf numFmtId="166" fontId="11" fillId="5" borderId="6" xfId="4" applyNumberFormat="1" applyFont="1" applyFill="1" applyBorder="1" applyProtection="1"/>
    <xf numFmtId="171" fontId="11" fillId="4" borderId="0" xfId="4" applyNumberFormat="1" applyFont="1" applyFill="1" applyBorder="1" applyAlignment="1" applyProtection="1">
      <alignment horizontal="center"/>
    </xf>
    <xf numFmtId="0" fontId="11" fillId="4" borderId="15" xfId="0" applyNumberFormat="1" applyFont="1" applyFill="1" applyBorder="1" applyProtection="1"/>
    <xf numFmtId="0" fontId="16" fillId="5" borderId="6" xfId="0" applyNumberFormat="1" applyFont="1" applyFill="1" applyBorder="1" applyProtection="1"/>
    <xf numFmtId="0" fontId="12" fillId="4" borderId="0" xfId="0" applyNumberFormat="1" applyFont="1" applyFill="1" applyBorder="1" applyProtection="1"/>
    <xf numFmtId="2" fontId="12" fillId="4" borderId="0" xfId="0" applyNumberFormat="1" applyFont="1" applyFill="1" applyBorder="1" applyAlignment="1" applyProtection="1">
      <alignment horizontal="center"/>
    </xf>
    <xf numFmtId="0" fontId="12" fillId="4" borderId="14" xfId="0" applyFont="1" applyFill="1" applyBorder="1" applyAlignment="1" applyProtection="1"/>
    <xf numFmtId="171" fontId="12" fillId="4" borderId="14" xfId="0" applyNumberFormat="1" applyFont="1" applyFill="1" applyBorder="1" applyAlignment="1" applyProtection="1">
      <alignment horizontal="center"/>
    </xf>
    <xf numFmtId="174" fontId="12" fillId="4" borderId="14" xfId="0" applyNumberFormat="1" applyFont="1" applyFill="1" applyBorder="1" applyAlignment="1" applyProtection="1">
      <alignment horizontal="center"/>
    </xf>
    <xf numFmtId="171" fontId="59" fillId="6" borderId="14" xfId="0" applyNumberFormat="1" applyFont="1" applyFill="1" applyBorder="1" applyAlignment="1" applyProtection="1">
      <alignment horizontal="center"/>
    </xf>
    <xf numFmtId="166" fontId="59" fillId="6" borderId="14" xfId="0" applyNumberFormat="1" applyFont="1" applyFill="1" applyBorder="1" applyProtection="1"/>
    <xf numFmtId="166" fontId="12" fillId="4" borderId="17" xfId="0" applyNumberFormat="1" applyFont="1" applyFill="1" applyBorder="1" applyProtection="1"/>
    <xf numFmtId="2" fontId="59" fillId="6" borderId="14" xfId="0" applyNumberFormat="1" applyFont="1" applyFill="1" applyBorder="1" applyAlignment="1" applyProtection="1">
      <alignment horizontal="center"/>
    </xf>
    <xf numFmtId="164" fontId="59" fillId="6" borderId="14" xfId="0" applyNumberFormat="1" applyFont="1" applyFill="1" applyBorder="1" applyProtection="1"/>
    <xf numFmtId="0" fontId="26" fillId="5" borderId="6" xfId="0" applyNumberFormat="1" applyFont="1" applyFill="1" applyBorder="1" applyProtection="1"/>
    <xf numFmtId="0" fontId="11" fillId="4" borderId="17" xfId="0" applyFont="1" applyFill="1" applyBorder="1" applyAlignment="1" applyProtection="1"/>
    <xf numFmtId="174" fontId="11" fillId="4" borderId="17" xfId="0" applyNumberFormat="1" applyFont="1" applyFill="1" applyBorder="1" applyAlignment="1" applyProtection="1">
      <alignment horizontal="center"/>
    </xf>
    <xf numFmtId="0" fontId="11" fillId="4" borderId="17" xfId="0" applyNumberFormat="1" applyFont="1" applyFill="1" applyBorder="1" applyAlignment="1" applyProtection="1">
      <alignment horizontal="center"/>
    </xf>
    <xf numFmtId="171" fontId="11" fillId="4" borderId="17" xfId="0" applyNumberFormat="1" applyFont="1" applyFill="1" applyBorder="1" applyAlignment="1" applyProtection="1">
      <alignment horizontal="center"/>
    </xf>
    <xf numFmtId="2" fontId="12" fillId="4" borderId="17" xfId="0" applyNumberFormat="1" applyFont="1" applyFill="1" applyBorder="1" applyAlignment="1" applyProtection="1">
      <alignment horizontal="center"/>
    </xf>
    <xf numFmtId="0" fontId="11" fillId="4" borderId="17" xfId="0" applyNumberFormat="1" applyFont="1" applyFill="1" applyBorder="1" applyProtection="1"/>
    <xf numFmtId="0" fontId="11" fillId="4" borderId="18" xfId="0" applyNumberFormat="1" applyFont="1" applyFill="1" applyBorder="1" applyProtection="1"/>
    <xf numFmtId="166" fontId="12" fillId="5" borderId="0" xfId="0" applyNumberFormat="1" applyFont="1" applyFill="1" applyBorder="1" applyProtection="1"/>
    <xf numFmtId="2" fontId="12" fillId="5" borderId="0" xfId="0" applyNumberFormat="1" applyFont="1" applyFill="1" applyBorder="1" applyAlignment="1" applyProtection="1">
      <alignment horizontal="center"/>
    </xf>
    <xf numFmtId="0" fontId="11" fillId="5" borderId="0" xfId="0" applyNumberFormat="1" applyFont="1" applyFill="1" applyBorder="1" applyProtection="1"/>
    <xf numFmtId="0" fontId="12" fillId="5" borderId="0" xfId="0" applyFont="1" applyFill="1" applyBorder="1" applyAlignment="1" applyProtection="1">
      <alignment horizontal="left"/>
    </xf>
    <xf numFmtId="0" fontId="12" fillId="5" borderId="6" xfId="0" applyNumberFormat="1" applyFont="1" applyFill="1" applyBorder="1" applyProtection="1"/>
    <xf numFmtId="0" fontId="23" fillId="4" borderId="0" xfId="0" applyFont="1" applyFill="1" applyBorder="1" applyProtection="1"/>
    <xf numFmtId="0" fontId="23" fillId="5" borderId="5" xfId="0" applyFont="1" applyFill="1" applyBorder="1" applyProtection="1"/>
    <xf numFmtId="0" fontId="23" fillId="5" borderId="6" xfId="0" applyFont="1" applyFill="1" applyBorder="1" applyProtection="1"/>
    <xf numFmtId="0" fontId="23" fillId="4" borderId="0" xfId="0" applyNumberFormat="1" applyFont="1" applyFill="1" applyBorder="1" applyProtection="1"/>
    <xf numFmtId="164" fontId="23" fillId="4" borderId="0" xfId="0" applyNumberFormat="1" applyFont="1" applyFill="1" applyBorder="1" applyProtection="1"/>
    <xf numFmtId="171" fontId="23" fillId="4" borderId="0" xfId="0" applyNumberFormat="1" applyFont="1" applyFill="1" applyBorder="1" applyAlignment="1" applyProtection="1">
      <alignment horizontal="center"/>
    </xf>
    <xf numFmtId="0" fontId="23" fillId="4" borderId="0" xfId="0" applyNumberFormat="1" applyFont="1" applyFill="1" applyBorder="1" applyAlignment="1" applyProtection="1">
      <alignment horizontal="center"/>
    </xf>
    <xf numFmtId="171" fontId="23" fillId="4" borderId="0" xfId="0" applyNumberFormat="1" applyFont="1" applyFill="1" applyBorder="1" applyProtection="1"/>
    <xf numFmtId="1" fontId="23" fillId="4" borderId="0" xfId="0" applyNumberFormat="1" applyFont="1" applyFill="1" applyBorder="1" applyProtection="1"/>
    <xf numFmtId="0" fontId="12" fillId="4" borderId="0" xfId="0" quotePrefix="1" applyFont="1" applyFill="1" applyBorder="1" applyAlignment="1" applyProtection="1">
      <alignment horizontal="right"/>
    </xf>
    <xf numFmtId="0" fontId="11" fillId="5" borderId="8" xfId="0" applyFont="1" applyFill="1" applyBorder="1" applyAlignment="1" applyProtection="1"/>
    <xf numFmtId="0" fontId="11" fillId="5" borderId="8" xfId="0" applyFont="1" applyFill="1" applyBorder="1" applyAlignment="1" applyProtection="1">
      <alignment horizontal="left"/>
    </xf>
    <xf numFmtId="0" fontId="11" fillId="5" borderId="8" xfId="0" applyFont="1" applyFill="1" applyBorder="1" applyAlignment="1" applyProtection="1">
      <alignment horizontal="center"/>
    </xf>
    <xf numFmtId="174" fontId="11" fillId="5" borderId="8" xfId="0" applyNumberFormat="1" applyFont="1" applyFill="1" applyBorder="1" applyAlignment="1" applyProtection="1">
      <alignment horizontal="center"/>
    </xf>
    <xf numFmtId="0" fontId="11" fillId="5" borderId="8" xfId="0" applyNumberFormat="1" applyFont="1" applyFill="1" applyBorder="1" applyAlignment="1" applyProtection="1">
      <alignment horizontal="center"/>
    </xf>
    <xf numFmtId="171" fontId="11" fillId="5" borderId="8" xfId="4" applyNumberFormat="1" applyFont="1" applyFill="1" applyBorder="1" applyAlignment="1" applyProtection="1">
      <alignment horizontal="center"/>
    </xf>
    <xf numFmtId="171" fontId="11" fillId="5" borderId="8" xfId="0" applyNumberFormat="1" applyFont="1" applyFill="1" applyBorder="1" applyAlignment="1" applyProtection="1">
      <alignment horizontal="center"/>
    </xf>
    <xf numFmtId="166" fontId="11" fillId="5" borderId="8" xfId="4" applyNumberFormat="1" applyFont="1" applyFill="1" applyBorder="1" applyAlignment="1" applyProtection="1"/>
    <xf numFmtId="166" fontId="11" fillId="5" borderId="8" xfId="4" applyNumberFormat="1" applyFont="1" applyFill="1" applyBorder="1" applyProtection="1"/>
    <xf numFmtId="2" fontId="11" fillId="5" borderId="8" xfId="0" applyNumberFormat="1" applyFont="1" applyFill="1" applyBorder="1" applyAlignment="1" applyProtection="1">
      <alignment horizontal="center"/>
    </xf>
    <xf numFmtId="164" fontId="11" fillId="5" borderId="8" xfId="0" applyNumberFormat="1" applyFont="1" applyFill="1" applyBorder="1" applyAlignment="1" applyProtection="1">
      <alignment horizontal="center"/>
    </xf>
    <xf numFmtId="166" fontId="11" fillId="4" borderId="0" xfId="4" applyNumberFormat="1" applyFont="1" applyFill="1" applyBorder="1" applyAlignment="1" applyProtection="1"/>
    <xf numFmtId="164" fontId="11" fillId="4" borderId="0" xfId="0" applyNumberFormat="1" applyFont="1" applyFill="1" applyBorder="1" applyAlignment="1" applyProtection="1">
      <alignment horizontal="center"/>
    </xf>
    <xf numFmtId="0" fontId="12" fillId="4" borderId="0" xfId="0" applyFont="1" applyFill="1" applyBorder="1" applyAlignment="1" applyProtection="1">
      <alignment horizontal="left"/>
    </xf>
    <xf numFmtId="172" fontId="12" fillId="4" borderId="0" xfId="0" applyNumberFormat="1" applyFont="1" applyFill="1" applyBorder="1" applyAlignment="1" applyProtection="1">
      <alignment horizontal="left"/>
    </xf>
    <xf numFmtId="171" fontId="11" fillId="8" borderId="14" xfId="0" applyNumberFormat="1" applyFont="1" applyFill="1" applyBorder="1" applyAlignment="1" applyProtection="1">
      <alignment horizontal="center"/>
    </xf>
    <xf numFmtId="166" fontId="11" fillId="8" borderId="14" xfId="4" applyNumberFormat="1" applyFont="1" applyFill="1" applyBorder="1" applyAlignment="1" applyProtection="1"/>
    <xf numFmtId="166" fontId="11" fillId="8" borderId="14" xfId="4" applyNumberFormat="1" applyFont="1" applyFill="1" applyBorder="1" applyProtection="1"/>
    <xf numFmtId="2" fontId="11" fillId="8" borderId="14" xfId="0" applyNumberFormat="1" applyFont="1" applyFill="1" applyBorder="1" applyAlignment="1" applyProtection="1">
      <alignment horizontal="center"/>
    </xf>
    <xf numFmtId="164" fontId="11" fillId="8" borderId="14" xfId="0" applyNumberFormat="1" applyFont="1" applyFill="1" applyBorder="1" applyAlignment="1" applyProtection="1">
      <alignment horizontal="center"/>
    </xf>
    <xf numFmtId="166" fontId="12" fillId="4" borderId="0" xfId="0" applyNumberFormat="1" applyFont="1" applyFill="1" applyBorder="1" applyProtection="1"/>
    <xf numFmtId="0" fontId="11" fillId="4" borderId="12" xfId="0" applyFont="1" applyFill="1" applyBorder="1" applyAlignment="1" applyProtection="1"/>
    <xf numFmtId="0" fontId="17" fillId="4" borderId="19" xfId="0" applyFont="1" applyFill="1" applyBorder="1" applyAlignment="1" applyProtection="1">
      <alignment horizontal="left"/>
    </xf>
    <xf numFmtId="0" fontId="11" fillId="4" borderId="19" xfId="0" applyFont="1" applyFill="1" applyBorder="1" applyAlignment="1" applyProtection="1">
      <alignment horizontal="left"/>
    </xf>
    <xf numFmtId="0" fontId="11" fillId="4" borderId="19" xfId="0" applyFont="1" applyFill="1" applyBorder="1" applyAlignment="1" applyProtection="1">
      <alignment horizontal="center"/>
    </xf>
    <xf numFmtId="174" fontId="11" fillId="4" borderId="19" xfId="0" applyNumberFormat="1" applyFont="1" applyFill="1" applyBorder="1" applyAlignment="1" applyProtection="1">
      <alignment horizontal="center"/>
    </xf>
    <xf numFmtId="0" fontId="11" fillId="4" borderId="19" xfId="0" applyNumberFormat="1" applyFont="1" applyFill="1" applyBorder="1" applyAlignment="1" applyProtection="1">
      <alignment horizontal="center"/>
    </xf>
    <xf numFmtId="171" fontId="11" fillId="4" borderId="19" xfId="0" applyNumberFormat="1" applyFont="1" applyFill="1" applyBorder="1" applyAlignment="1" applyProtection="1">
      <alignment horizontal="center"/>
    </xf>
    <xf numFmtId="171" fontId="11" fillId="4" borderId="10" xfId="0" applyNumberFormat="1" applyFont="1" applyFill="1" applyBorder="1" applyProtection="1"/>
    <xf numFmtId="0" fontId="11" fillId="4" borderId="12" xfId="0" applyNumberFormat="1" applyFont="1" applyFill="1" applyBorder="1" applyAlignment="1" applyProtection="1"/>
    <xf numFmtId="0" fontId="11" fillId="4" borderId="19" xfId="0" applyFont="1" applyFill="1" applyBorder="1" applyProtection="1"/>
    <xf numFmtId="166" fontId="56" fillId="4" borderId="14" xfId="0" applyNumberFormat="1" applyFont="1" applyFill="1" applyBorder="1" applyAlignment="1" applyProtection="1">
      <alignment horizontal="left"/>
    </xf>
    <xf numFmtId="0" fontId="73" fillId="4" borderId="0" xfId="0" applyFont="1" applyFill="1" applyBorder="1" applyProtection="1"/>
    <xf numFmtId="2" fontId="11" fillId="4" borderId="0" xfId="0" applyNumberFormat="1" applyFont="1" applyFill="1" applyBorder="1" applyProtection="1"/>
    <xf numFmtId="1" fontId="66" fillId="4" borderId="0" xfId="0" applyNumberFormat="1" applyFont="1" applyFill="1" applyBorder="1" applyAlignment="1" applyProtection="1">
      <alignment horizontal="center"/>
    </xf>
    <xf numFmtId="0" fontId="73" fillId="5" borderId="3" xfId="0" applyFont="1" applyFill="1" applyBorder="1" applyProtection="1"/>
    <xf numFmtId="2" fontId="11" fillId="5" borderId="3" xfId="0" applyNumberFormat="1" applyFont="1" applyFill="1" applyBorder="1" applyProtection="1"/>
    <xf numFmtId="0" fontId="73" fillId="5" borderId="0" xfId="0" applyFont="1" applyFill="1" applyBorder="1" applyProtection="1"/>
    <xf numFmtId="2" fontId="11" fillId="5" borderId="0" xfId="0" applyNumberFormat="1" applyFont="1" applyFill="1" applyBorder="1" applyProtection="1"/>
    <xf numFmtId="0" fontId="36" fillId="4" borderId="0" xfId="0" applyFont="1" applyFill="1" applyBorder="1" applyProtection="1"/>
    <xf numFmtId="0" fontId="29" fillId="5" borderId="5" xfId="0" applyFont="1" applyFill="1" applyBorder="1" applyAlignment="1" applyProtection="1">
      <alignment horizontal="left"/>
    </xf>
    <xf numFmtId="0" fontId="36" fillId="5" borderId="0" xfId="0" applyFont="1" applyFill="1" applyBorder="1" applyProtection="1"/>
    <xf numFmtId="0" fontId="36" fillId="5" borderId="0" xfId="0" applyFont="1" applyFill="1" applyBorder="1" applyAlignment="1" applyProtection="1">
      <alignment horizontal="center"/>
    </xf>
    <xf numFmtId="174" fontId="36" fillId="5" borderId="0" xfId="0" applyNumberFormat="1" applyFont="1" applyFill="1" applyBorder="1" applyAlignment="1" applyProtection="1">
      <alignment horizontal="center"/>
    </xf>
    <xf numFmtId="0" fontId="36" fillId="5" borderId="0" xfId="0" applyNumberFormat="1" applyFont="1" applyFill="1" applyBorder="1" applyAlignment="1" applyProtection="1">
      <alignment horizontal="center"/>
    </xf>
    <xf numFmtId="171" fontId="36" fillId="5" borderId="0" xfId="0" applyNumberFormat="1" applyFont="1" applyFill="1" applyBorder="1" applyAlignment="1" applyProtection="1">
      <alignment horizontal="center"/>
    </xf>
    <xf numFmtId="171" fontId="36" fillId="5" borderId="0" xfId="0" applyNumberFormat="1" applyFont="1" applyFill="1" applyBorder="1" applyProtection="1"/>
    <xf numFmtId="0" fontId="36" fillId="5" borderId="0" xfId="0" applyNumberFormat="1" applyFont="1" applyFill="1" applyBorder="1" applyAlignment="1" applyProtection="1"/>
    <xf numFmtId="0" fontId="74" fillId="5" borderId="0" xfId="0" applyFont="1" applyFill="1" applyBorder="1" applyProtection="1"/>
    <xf numFmtId="2" fontId="36" fillId="5" borderId="0" xfId="0" applyNumberFormat="1" applyFont="1" applyFill="1" applyBorder="1" applyProtection="1"/>
    <xf numFmtId="164" fontId="36" fillId="5" borderId="0" xfId="0" applyNumberFormat="1" applyFont="1" applyFill="1" applyBorder="1" applyProtection="1"/>
    <xf numFmtId="0" fontId="36" fillId="5" borderId="6" xfId="0" applyFont="1" applyFill="1" applyBorder="1" applyProtection="1"/>
    <xf numFmtId="0" fontId="75" fillId="4" borderId="0" xfId="0" applyFont="1" applyFill="1" applyBorder="1" applyAlignment="1" applyProtection="1">
      <alignment horizontal="center"/>
    </xf>
    <xf numFmtId="1" fontId="75" fillId="4" borderId="0" xfId="0" applyNumberFormat="1" applyFont="1" applyFill="1" applyBorder="1" applyAlignment="1" applyProtection="1">
      <alignment horizontal="center"/>
    </xf>
    <xf numFmtId="0" fontId="36" fillId="4" borderId="0" xfId="0" applyNumberFormat="1" applyFont="1" applyFill="1" applyBorder="1" applyProtection="1"/>
    <xf numFmtId="171" fontId="36" fillId="4" borderId="0" xfId="0" applyNumberFormat="1" applyFont="1" applyFill="1" applyBorder="1" applyAlignment="1" applyProtection="1">
      <alignment horizontal="center"/>
    </xf>
    <xf numFmtId="0" fontId="36" fillId="4" borderId="0" xfId="0" applyNumberFormat="1" applyFont="1" applyFill="1" applyBorder="1" applyAlignment="1" applyProtection="1">
      <alignment horizontal="center"/>
    </xf>
    <xf numFmtId="171" fontId="36" fillId="4" borderId="0" xfId="0" applyNumberFormat="1" applyFont="1" applyFill="1" applyBorder="1" applyProtection="1"/>
    <xf numFmtId="1" fontId="36" fillId="4" borderId="0" xfId="0" applyNumberFormat="1" applyFont="1" applyFill="1" applyBorder="1" applyProtection="1"/>
    <xf numFmtId="2" fontId="19" fillId="5" borderId="0" xfId="0" applyNumberFormat="1" applyFont="1" applyFill="1" applyBorder="1" applyProtection="1"/>
    <xf numFmtId="0" fontId="21" fillId="5" borderId="0" xfId="0" applyFont="1" applyFill="1" applyBorder="1" applyAlignment="1" applyProtection="1">
      <alignment horizontal="center"/>
    </xf>
    <xf numFmtId="0" fontId="76" fillId="5" borderId="0" xfId="0" applyFont="1" applyFill="1" applyBorder="1" applyProtection="1"/>
    <xf numFmtId="2" fontId="21" fillId="5" borderId="0" xfId="0" applyNumberFormat="1" applyFont="1" applyFill="1" applyBorder="1" applyProtection="1"/>
    <xf numFmtId="0" fontId="77" fillId="4" borderId="0" xfId="0" applyFont="1" applyFill="1" applyBorder="1" applyAlignment="1" applyProtection="1">
      <alignment horizontal="center"/>
    </xf>
    <xf numFmtId="0" fontId="78" fillId="4" borderId="0" xfId="0" applyFont="1" applyFill="1" applyBorder="1" applyAlignment="1" applyProtection="1">
      <alignment horizontal="center"/>
    </xf>
    <xf numFmtId="1" fontId="78" fillId="4" borderId="0" xfId="0" applyNumberFormat="1" applyFont="1" applyFill="1" applyBorder="1" applyAlignment="1" applyProtection="1">
      <alignment horizontal="center"/>
    </xf>
    <xf numFmtId="0" fontId="22" fillId="5" borderId="0" xfId="0" applyFont="1" applyFill="1" applyBorder="1" applyAlignment="1" applyProtection="1">
      <alignment horizontal="left"/>
    </xf>
    <xf numFmtId="0" fontId="14" fillId="5" borderId="0" xfId="0" applyFont="1" applyFill="1" applyBorder="1" applyAlignment="1" applyProtection="1">
      <alignment horizontal="left" indent="1"/>
    </xf>
    <xf numFmtId="0" fontId="24" fillId="4" borderId="10" xfId="0" applyFont="1" applyFill="1" applyBorder="1" applyProtection="1"/>
    <xf numFmtId="0" fontId="24" fillId="4" borderId="11" xfId="0" applyFont="1" applyFill="1" applyBorder="1" applyAlignment="1" applyProtection="1">
      <alignment horizontal="left"/>
    </xf>
    <xf numFmtId="0" fontId="16" fillId="4" borderId="11" xfId="0" applyFont="1" applyFill="1" applyBorder="1" applyAlignment="1" applyProtection="1">
      <alignment horizontal="left"/>
    </xf>
    <xf numFmtId="0" fontId="24" fillId="4" borderId="11" xfId="0" applyFont="1" applyFill="1" applyBorder="1" applyAlignment="1" applyProtection="1">
      <alignment horizontal="center"/>
    </xf>
    <xf numFmtId="174" fontId="24" fillId="4" borderId="11" xfId="0" applyNumberFormat="1" applyFont="1" applyFill="1" applyBorder="1" applyAlignment="1" applyProtection="1">
      <alignment horizontal="center"/>
    </xf>
    <xf numFmtId="0" fontId="24" fillId="4" borderId="11" xfId="0" applyNumberFormat="1" applyFont="1" applyFill="1" applyBorder="1" applyAlignment="1" applyProtection="1">
      <alignment horizontal="center"/>
    </xf>
    <xf numFmtId="171" fontId="24" fillId="4" borderId="11" xfId="0" applyNumberFormat="1" applyFont="1" applyFill="1" applyBorder="1" applyAlignment="1" applyProtection="1">
      <alignment horizontal="center"/>
    </xf>
    <xf numFmtId="171" fontId="24" fillId="4" borderId="11" xfId="0" applyNumberFormat="1" applyFont="1" applyFill="1" applyBorder="1" applyProtection="1"/>
    <xf numFmtId="0" fontId="24" fillId="4" borderId="11" xfId="0" applyFont="1" applyFill="1" applyBorder="1" applyProtection="1"/>
    <xf numFmtId="0" fontId="24" fillId="4" borderId="11" xfId="0" applyNumberFormat="1" applyFont="1" applyFill="1" applyBorder="1" applyAlignment="1" applyProtection="1"/>
    <xf numFmtId="0" fontId="73" fillId="4" borderId="11" xfId="0" applyFont="1" applyFill="1" applyBorder="1" applyProtection="1"/>
    <xf numFmtId="2" fontId="24" fillId="4" borderId="11" xfId="0" applyNumberFormat="1" applyFont="1" applyFill="1" applyBorder="1" applyProtection="1"/>
    <xf numFmtId="0" fontId="54" fillId="4" borderId="14" xfId="0" applyFont="1" applyFill="1" applyBorder="1" applyAlignment="1" applyProtection="1">
      <alignment horizontal="left"/>
    </xf>
    <xf numFmtId="0" fontId="79" fillId="4" borderId="14" xfId="0" applyFont="1" applyFill="1" applyBorder="1" applyAlignment="1" applyProtection="1">
      <alignment horizontal="left"/>
    </xf>
    <xf numFmtId="0" fontId="54" fillId="4" borderId="0" xfId="0" applyNumberFormat="1" applyFont="1" applyFill="1" applyBorder="1" applyAlignment="1" applyProtection="1">
      <alignment horizontal="center"/>
    </xf>
    <xf numFmtId="0" fontId="56" fillId="4" borderId="0" xfId="0" applyNumberFormat="1" applyFont="1" applyFill="1" applyBorder="1" applyAlignment="1" applyProtection="1">
      <alignment horizontal="center"/>
    </xf>
    <xf numFmtId="1" fontId="70" fillId="4" borderId="0" xfId="0" applyNumberFormat="1" applyFont="1" applyFill="1" applyBorder="1" applyAlignment="1" applyProtection="1">
      <alignment horizontal="center"/>
    </xf>
    <xf numFmtId="166" fontId="54" fillId="4" borderId="0" xfId="4" applyNumberFormat="1" applyFont="1" applyFill="1" applyBorder="1" applyProtection="1"/>
    <xf numFmtId="166" fontId="73" fillId="4" borderId="14" xfId="0" applyNumberFormat="1" applyFont="1" applyFill="1" applyBorder="1" applyAlignment="1" applyProtection="1">
      <alignment horizontal="center"/>
    </xf>
    <xf numFmtId="166" fontId="13" fillId="4" borderId="15" xfId="0" applyNumberFormat="1" applyFont="1" applyFill="1" applyBorder="1" applyAlignment="1" applyProtection="1">
      <alignment horizontal="center"/>
    </xf>
    <xf numFmtId="166" fontId="80" fillId="7" borderId="14" xfId="4" applyNumberFormat="1" applyFont="1" applyFill="1" applyBorder="1" applyProtection="1"/>
    <xf numFmtId="22" fontId="66" fillId="4" borderId="0" xfId="0" applyNumberFormat="1" applyFont="1" applyFill="1" applyBorder="1" applyAlignment="1" applyProtection="1">
      <alignment horizontal="center"/>
    </xf>
    <xf numFmtId="2" fontId="66" fillId="4" borderId="0" xfId="0" applyNumberFormat="1" applyFont="1" applyFill="1" applyBorder="1" applyAlignment="1" applyProtection="1">
      <alignment horizontal="center"/>
    </xf>
    <xf numFmtId="0" fontId="54" fillId="4" borderId="0" xfId="0" applyNumberFormat="1" applyFont="1" applyFill="1" applyBorder="1" applyProtection="1"/>
    <xf numFmtId="0" fontId="12" fillId="4" borderId="17" xfId="0" applyFont="1" applyFill="1" applyBorder="1" applyAlignment="1" applyProtection="1">
      <alignment horizontal="center"/>
    </xf>
    <xf numFmtId="174" fontId="12" fillId="4" borderId="17" xfId="0" applyNumberFormat="1" applyFont="1" applyFill="1" applyBorder="1" applyAlignment="1" applyProtection="1">
      <alignment horizontal="center"/>
    </xf>
    <xf numFmtId="0" fontId="12" fillId="4" borderId="17" xfId="0" applyNumberFormat="1" applyFont="1" applyFill="1" applyBorder="1" applyAlignment="1" applyProtection="1">
      <alignment horizontal="center"/>
    </xf>
    <xf numFmtId="171" fontId="59" fillId="6" borderId="17" xfId="0" applyNumberFormat="1" applyFont="1" applyFill="1" applyBorder="1" applyAlignment="1" applyProtection="1">
      <alignment horizontal="center"/>
    </xf>
    <xf numFmtId="166" fontId="59" fillId="6" borderId="17" xfId="0" applyNumberFormat="1" applyFont="1" applyFill="1" applyBorder="1" applyProtection="1"/>
    <xf numFmtId="166" fontId="12" fillId="4" borderId="17" xfId="0" applyNumberFormat="1" applyFont="1" applyFill="1" applyBorder="1" applyAlignment="1" applyProtection="1">
      <alignment horizontal="center"/>
    </xf>
    <xf numFmtId="2" fontId="59" fillId="6" borderId="17" xfId="0" applyNumberFormat="1" applyFont="1" applyFill="1" applyBorder="1" applyProtection="1"/>
    <xf numFmtId="0" fontId="65" fillId="4" borderId="0" xfId="0" applyFont="1" applyFill="1" applyBorder="1" applyAlignment="1" applyProtection="1">
      <alignment horizontal="center"/>
    </xf>
    <xf numFmtId="166" fontId="12" fillId="4" borderId="0" xfId="0" applyNumberFormat="1" applyFont="1" applyFill="1" applyBorder="1" applyAlignment="1" applyProtection="1">
      <alignment horizontal="center"/>
    </xf>
    <xf numFmtId="166" fontId="81" fillId="4" borderId="0" xfId="0" applyNumberFormat="1" applyFont="1" applyFill="1" applyBorder="1" applyProtection="1"/>
    <xf numFmtId="2" fontId="12" fillId="4" borderId="0" xfId="0" applyNumberFormat="1" applyFont="1" applyFill="1" applyBorder="1" applyProtection="1"/>
    <xf numFmtId="166" fontId="11" fillId="5" borderId="8" xfId="4" applyNumberFormat="1" applyFont="1" applyFill="1" applyBorder="1" applyAlignment="1" applyProtection="1">
      <alignment horizontal="center"/>
    </xf>
    <xf numFmtId="166" fontId="73" fillId="5" borderId="8" xfId="4" applyNumberFormat="1" applyFont="1" applyFill="1" applyBorder="1" applyProtection="1"/>
    <xf numFmtId="171" fontId="11" fillId="5" borderId="3" xfId="4" applyNumberFormat="1" applyFont="1" applyFill="1" applyBorder="1" applyAlignment="1" applyProtection="1">
      <alignment horizontal="center"/>
    </xf>
    <xf numFmtId="166" fontId="11" fillId="5" borderId="3" xfId="4" applyNumberFormat="1" applyFont="1" applyFill="1" applyBorder="1" applyAlignment="1" applyProtection="1"/>
    <xf numFmtId="166" fontId="11" fillId="5" borderId="3" xfId="4" applyNumberFormat="1" applyFont="1" applyFill="1" applyBorder="1" applyProtection="1"/>
    <xf numFmtId="166" fontId="11" fillId="5" borderId="3" xfId="4" applyNumberFormat="1" applyFont="1" applyFill="1" applyBorder="1" applyAlignment="1" applyProtection="1">
      <alignment horizontal="center"/>
    </xf>
    <xf numFmtId="166" fontId="73" fillId="5" borderId="3" xfId="4" applyNumberFormat="1" applyFont="1" applyFill="1" applyBorder="1" applyProtection="1"/>
    <xf numFmtId="164" fontId="11" fillId="5" borderId="3" xfId="0" applyNumberFormat="1" applyFont="1" applyFill="1" applyBorder="1" applyAlignment="1" applyProtection="1">
      <alignment horizontal="center"/>
    </xf>
    <xf numFmtId="171" fontId="11" fillId="5" borderId="0" xfId="4" applyNumberFormat="1" applyFont="1" applyFill="1" applyBorder="1" applyAlignment="1" applyProtection="1">
      <alignment horizontal="center"/>
    </xf>
    <xf numFmtId="166" fontId="11" fillId="5" borderId="0" xfId="4" applyNumberFormat="1" applyFont="1" applyFill="1" applyBorder="1" applyAlignment="1" applyProtection="1"/>
    <xf numFmtId="166" fontId="11" fillId="5" borderId="0" xfId="4" applyNumberFormat="1" applyFont="1" applyFill="1" applyBorder="1" applyProtection="1"/>
    <xf numFmtId="166" fontId="11" fillId="5" borderId="0" xfId="4" applyNumberFormat="1" applyFont="1" applyFill="1" applyBorder="1" applyAlignment="1" applyProtection="1">
      <alignment horizontal="center"/>
    </xf>
    <xf numFmtId="166" fontId="73" fillId="5" borderId="0" xfId="4" applyNumberFormat="1" applyFont="1" applyFill="1" applyBorder="1" applyProtection="1"/>
    <xf numFmtId="164" fontId="11" fillId="5" borderId="0" xfId="0" applyNumberFormat="1" applyFont="1" applyFill="1" applyBorder="1" applyAlignment="1" applyProtection="1">
      <alignment horizontal="center"/>
    </xf>
    <xf numFmtId="166" fontId="12" fillId="5" borderId="8" xfId="0" applyNumberFormat="1" applyFont="1" applyFill="1" applyBorder="1" applyProtection="1"/>
    <xf numFmtId="166" fontId="12" fillId="5" borderId="8" xfId="0" applyNumberFormat="1" applyFont="1" applyFill="1" applyBorder="1" applyAlignment="1" applyProtection="1">
      <alignment horizontal="center"/>
    </xf>
    <xf numFmtId="166" fontId="81" fillId="5" borderId="8" xfId="0" applyNumberFormat="1" applyFont="1" applyFill="1" applyBorder="1" applyProtection="1"/>
    <xf numFmtId="2" fontId="12" fillId="5" borderId="8" xfId="0" applyNumberFormat="1" applyFont="1" applyFill="1" applyBorder="1" applyProtection="1"/>
    <xf numFmtId="0" fontId="18" fillId="4" borderId="0" xfId="0" applyFont="1" applyFill="1" applyBorder="1" applyAlignment="1" applyProtection="1">
      <alignment horizontal="left"/>
    </xf>
    <xf numFmtId="0" fontId="18" fillId="4" borderId="0" xfId="0" applyFont="1" applyFill="1" applyBorder="1" applyAlignment="1" applyProtection="1">
      <alignment horizontal="center"/>
    </xf>
    <xf numFmtId="174" fontId="18" fillId="4" borderId="0" xfId="0" applyNumberFormat="1" applyFont="1" applyFill="1" applyBorder="1" applyAlignment="1" applyProtection="1">
      <alignment horizontal="center"/>
    </xf>
    <xf numFmtId="0" fontId="18" fillId="4" borderId="0" xfId="0" applyNumberFormat="1" applyFont="1" applyFill="1" applyBorder="1" applyAlignment="1" applyProtection="1">
      <alignment horizontal="center"/>
    </xf>
    <xf numFmtId="177" fontId="18" fillId="4" borderId="0" xfId="0" applyNumberFormat="1" applyFont="1" applyFill="1" applyBorder="1" applyAlignment="1" applyProtection="1">
      <alignment horizontal="center"/>
    </xf>
    <xf numFmtId="164" fontId="18" fillId="4" borderId="0" xfId="0" applyNumberFormat="1" applyFont="1" applyFill="1" applyBorder="1" applyAlignment="1" applyProtection="1">
      <alignment horizontal="right"/>
    </xf>
    <xf numFmtId="164" fontId="18" fillId="4" borderId="0" xfId="0" applyNumberFormat="1" applyFont="1" applyFill="1" applyBorder="1" applyAlignment="1" applyProtection="1">
      <alignment horizontal="center"/>
    </xf>
    <xf numFmtId="164" fontId="81" fillId="4" borderId="0" xfId="0" applyNumberFormat="1" applyFont="1" applyFill="1" applyBorder="1" applyAlignment="1" applyProtection="1">
      <alignment horizontal="right"/>
    </xf>
    <xf numFmtId="2" fontId="18" fillId="4" borderId="0" xfId="0" applyNumberFormat="1" applyFont="1" applyFill="1" applyBorder="1" applyAlignment="1" applyProtection="1">
      <alignment horizontal="right"/>
    </xf>
    <xf numFmtId="0" fontId="80" fillId="4" borderId="0" xfId="0" applyFont="1" applyFill="1" applyBorder="1" applyProtection="1"/>
    <xf numFmtId="0" fontId="80" fillId="5" borderId="3" xfId="0" applyFont="1" applyFill="1" applyBorder="1" applyProtection="1"/>
    <xf numFmtId="0" fontId="80" fillId="5" borderId="0" xfId="0" applyFont="1" applyFill="1" applyBorder="1" applyProtection="1"/>
    <xf numFmtId="0" fontId="82" fillId="5" borderId="0" xfId="0" applyFont="1" applyFill="1" applyBorder="1" applyProtection="1"/>
    <xf numFmtId="2" fontId="71" fillId="5" borderId="0" xfId="0" applyNumberFormat="1" applyFont="1" applyFill="1" applyBorder="1" applyProtection="1"/>
    <xf numFmtId="0" fontId="83" fillId="5" borderId="0" xfId="0" applyFont="1" applyFill="1" applyBorder="1" applyProtection="1"/>
    <xf numFmtId="0" fontId="80" fillId="4" borderId="11" xfId="0" applyFont="1" applyFill="1" applyBorder="1" applyProtection="1"/>
    <xf numFmtId="2" fontId="11" fillId="4" borderId="11" xfId="0" applyNumberFormat="1" applyFont="1" applyFill="1" applyBorder="1" applyProtection="1"/>
    <xf numFmtId="166" fontId="80" fillId="4" borderId="14" xfId="0" applyNumberFormat="1" applyFont="1" applyFill="1" applyBorder="1" applyAlignment="1" applyProtection="1">
      <alignment horizontal="center"/>
    </xf>
    <xf numFmtId="166" fontId="11" fillId="4" borderId="15" xfId="4" applyNumberFormat="1" applyFont="1" applyFill="1" applyBorder="1" applyProtection="1"/>
    <xf numFmtId="0" fontId="12" fillId="4" borderId="14" xfId="0" applyNumberFormat="1" applyFont="1" applyFill="1" applyBorder="1" applyAlignment="1" applyProtection="1">
      <alignment horizontal="center"/>
    </xf>
    <xf numFmtId="166" fontId="12" fillId="4" borderId="14" xfId="0" applyNumberFormat="1" applyFont="1" applyFill="1" applyBorder="1" applyAlignment="1" applyProtection="1">
      <alignment horizontal="center"/>
    </xf>
    <xf numFmtId="2" fontId="59" fillId="6" borderId="14" xfId="0" applyNumberFormat="1" applyFont="1" applyFill="1" applyBorder="1" applyProtection="1"/>
    <xf numFmtId="166" fontId="84" fillId="4" borderId="17" xfId="0" applyNumberFormat="1" applyFont="1" applyFill="1" applyBorder="1" applyProtection="1"/>
    <xf numFmtId="2" fontId="12" fillId="4" borderId="17" xfId="0" applyNumberFormat="1" applyFont="1" applyFill="1" applyBorder="1" applyProtection="1"/>
    <xf numFmtId="0" fontId="11" fillId="4" borderId="18" xfId="0" applyNumberFormat="1" applyFont="1" applyFill="1" applyBorder="1" applyAlignment="1" applyProtection="1">
      <alignment horizontal="center"/>
    </xf>
    <xf numFmtId="166" fontId="80" fillId="5" borderId="0" xfId="4" applyNumberFormat="1" applyFont="1" applyFill="1" applyBorder="1" applyProtection="1"/>
    <xf numFmtId="166" fontId="11" fillId="5" borderId="6" xfId="0" applyNumberFormat="1" applyFont="1" applyFill="1" applyBorder="1" applyAlignment="1" applyProtection="1">
      <alignment horizontal="center"/>
    </xf>
    <xf numFmtId="166" fontId="11" fillId="4" borderId="0" xfId="0" applyNumberFormat="1" applyFont="1" applyFill="1" applyBorder="1" applyAlignment="1" applyProtection="1">
      <alignment horizontal="center"/>
    </xf>
    <xf numFmtId="1" fontId="11" fillId="4" borderId="0" xfId="0" applyNumberFormat="1" applyFont="1" applyFill="1" applyBorder="1" applyAlignment="1" applyProtection="1">
      <alignment horizontal="center"/>
    </xf>
    <xf numFmtId="166" fontId="13" fillId="5" borderId="6" xfId="0" applyNumberFormat="1" applyFont="1" applyFill="1" applyBorder="1" applyAlignment="1" applyProtection="1">
      <alignment horizontal="center"/>
    </xf>
    <xf numFmtId="166" fontId="13" fillId="4" borderId="0" xfId="0" applyNumberFormat="1" applyFont="1" applyFill="1" applyBorder="1" applyAlignment="1" applyProtection="1">
      <alignment horizontal="center"/>
    </xf>
    <xf numFmtId="171" fontId="13" fillId="4" borderId="0" xfId="0" applyNumberFormat="1" applyFont="1" applyFill="1" applyBorder="1" applyAlignment="1" applyProtection="1">
      <alignment horizontal="center"/>
    </xf>
    <xf numFmtId="1" fontId="13" fillId="4" borderId="0" xfId="0" applyNumberFormat="1" applyFont="1" applyFill="1" applyBorder="1" applyAlignment="1" applyProtection="1">
      <alignment horizontal="center"/>
    </xf>
    <xf numFmtId="166" fontId="80" fillId="5" borderId="8" xfId="4" applyNumberFormat="1" applyFont="1" applyFill="1" applyBorder="1" applyProtection="1"/>
    <xf numFmtId="166" fontId="11" fillId="4" borderId="0" xfId="4" applyNumberFormat="1" applyFont="1" applyFill="1" applyBorder="1" applyAlignment="1" applyProtection="1">
      <alignment horizontal="center"/>
    </xf>
    <xf numFmtId="166" fontId="80" fillId="4" borderId="0" xfId="4" applyNumberFormat="1" applyFont="1" applyFill="1" applyBorder="1" applyProtection="1"/>
    <xf numFmtId="166" fontId="24" fillId="5" borderId="0" xfId="0" applyNumberFormat="1" applyFont="1" applyFill="1" applyBorder="1" applyProtection="1"/>
    <xf numFmtId="0" fontId="25" fillId="4" borderId="0" xfId="0" applyFont="1" applyFill="1" applyBorder="1" applyProtection="1"/>
    <xf numFmtId="0" fontId="56" fillId="5" borderId="0" xfId="0" applyNumberFormat="1" applyFont="1" applyFill="1" applyBorder="1" applyAlignment="1" applyProtection="1">
      <alignment horizontal="right"/>
    </xf>
    <xf numFmtId="0" fontId="57" fillId="5" borderId="0" xfId="0" applyNumberFormat="1" applyFont="1" applyFill="1" applyBorder="1" applyProtection="1"/>
    <xf numFmtId="0" fontId="57" fillId="5" borderId="0" xfId="0" quotePrefix="1" applyNumberFormat="1" applyFont="1" applyFill="1" applyBorder="1" applyAlignment="1" applyProtection="1">
      <alignment horizontal="center"/>
    </xf>
    <xf numFmtId="0" fontId="57" fillId="5" borderId="6" xfId="0" quotePrefix="1" applyNumberFormat="1" applyFont="1" applyFill="1" applyBorder="1" applyAlignment="1" applyProtection="1">
      <alignment horizontal="center"/>
    </xf>
    <xf numFmtId="0" fontId="17" fillId="5" borderId="0" xfId="0" applyFont="1" applyFill="1" applyBorder="1" applyProtection="1"/>
    <xf numFmtId="166" fontId="17" fillId="5" borderId="0" xfId="0" quotePrefix="1" applyNumberFormat="1" applyFont="1" applyFill="1" applyBorder="1" applyAlignment="1" applyProtection="1">
      <alignment horizontal="center"/>
    </xf>
    <xf numFmtId="0" fontId="17" fillId="5" borderId="0" xfId="0" quotePrefix="1" applyNumberFormat="1" applyFont="1" applyFill="1" applyBorder="1" applyAlignment="1" applyProtection="1">
      <alignment horizontal="center"/>
    </xf>
    <xf numFmtId="0" fontId="17" fillId="5" borderId="6" xfId="0" quotePrefix="1" applyNumberFormat="1" applyFont="1" applyFill="1" applyBorder="1" applyAlignment="1" applyProtection="1">
      <alignment horizontal="center"/>
    </xf>
    <xf numFmtId="0" fontId="11" fillId="4" borderId="11" xfId="0" applyFont="1" applyFill="1" applyBorder="1" applyAlignment="1" applyProtection="1">
      <alignment horizontal="right"/>
    </xf>
    <xf numFmtId="166" fontId="17" fillId="4" borderId="11" xfId="0" quotePrefix="1" applyNumberFormat="1" applyFont="1" applyFill="1" applyBorder="1" applyAlignment="1" applyProtection="1">
      <alignment horizontal="right"/>
    </xf>
    <xf numFmtId="0" fontId="58" fillId="5" borderId="5" xfId="0" applyFont="1" applyFill="1" applyBorder="1" applyProtection="1"/>
    <xf numFmtId="0" fontId="58" fillId="4" borderId="13" xfId="0" applyFont="1" applyFill="1" applyBorder="1" applyProtection="1"/>
    <xf numFmtId="166" fontId="54" fillId="4" borderId="14" xfId="0" applyNumberFormat="1" applyFont="1" applyFill="1" applyBorder="1" applyProtection="1"/>
    <xf numFmtId="166" fontId="57" fillId="4" borderId="14" xfId="0" quotePrefix="1" applyNumberFormat="1" applyFont="1" applyFill="1" applyBorder="1" applyAlignment="1" applyProtection="1">
      <alignment horizontal="right"/>
    </xf>
    <xf numFmtId="0" fontId="58" fillId="4" borderId="0" xfId="0" applyFont="1" applyFill="1" applyBorder="1" applyProtection="1"/>
    <xf numFmtId="166" fontId="11" fillId="4" borderId="14" xfId="0" applyNumberFormat="1" applyFont="1" applyFill="1" applyBorder="1" applyProtection="1"/>
    <xf numFmtId="166" fontId="17" fillId="4" borderId="14" xfId="0" quotePrefix="1" applyNumberFormat="1" applyFont="1" applyFill="1" applyBorder="1" applyAlignment="1" applyProtection="1">
      <alignment horizontal="right"/>
    </xf>
    <xf numFmtId="166" fontId="17" fillId="4" borderId="15" xfId="4" applyNumberFormat="1" applyFont="1" applyFill="1" applyBorder="1" applyAlignment="1" applyProtection="1">
      <alignment horizontal="left"/>
    </xf>
    <xf numFmtId="164" fontId="17" fillId="5" borderId="6" xfId="4" applyNumberFormat="1" applyFont="1" applyFill="1" applyBorder="1" applyAlignment="1" applyProtection="1">
      <alignment horizontal="left"/>
    </xf>
    <xf numFmtId="164" fontId="11" fillId="4" borderId="15" xfId="4" applyNumberFormat="1" applyFont="1" applyFill="1" applyBorder="1" applyAlignment="1" applyProtection="1">
      <alignment horizontal="left"/>
    </xf>
    <xf numFmtId="164" fontId="11" fillId="5" borderId="6" xfId="4" applyNumberFormat="1" applyFont="1" applyFill="1" applyBorder="1" applyAlignment="1" applyProtection="1">
      <alignment horizontal="left"/>
    </xf>
    <xf numFmtId="0" fontId="41" fillId="4" borderId="14" xfId="0" applyFont="1" applyFill="1" applyBorder="1" applyProtection="1"/>
    <xf numFmtId="0" fontId="28" fillId="4" borderId="14" xfId="0" applyFont="1" applyFill="1" applyBorder="1" applyProtection="1"/>
    <xf numFmtId="0" fontId="28" fillId="4" borderId="14" xfId="0" applyFont="1" applyFill="1" applyBorder="1" applyAlignment="1" applyProtection="1">
      <alignment horizontal="center"/>
    </xf>
    <xf numFmtId="0" fontId="41" fillId="4" borderId="14" xfId="4" applyNumberFormat="1" applyFont="1" applyFill="1" applyBorder="1" applyAlignment="1" applyProtection="1">
      <alignment horizontal="center"/>
    </xf>
    <xf numFmtId="166" fontId="64" fillId="6" borderId="14" xfId="4" applyNumberFormat="1" applyFont="1" applyFill="1" applyBorder="1" applyAlignment="1" applyProtection="1">
      <alignment horizontal="left"/>
    </xf>
    <xf numFmtId="164" fontId="13" fillId="5" borderId="6" xfId="4" applyNumberFormat="1" applyFont="1" applyFill="1" applyBorder="1" applyAlignment="1" applyProtection="1">
      <alignment horizontal="left"/>
    </xf>
    <xf numFmtId="166" fontId="28" fillId="4" borderId="14" xfId="4" applyNumberFormat="1" applyFont="1" applyFill="1" applyBorder="1" applyAlignment="1" applyProtection="1">
      <alignment horizontal="left"/>
    </xf>
    <xf numFmtId="164" fontId="13" fillId="4" borderId="14" xfId="4" applyNumberFormat="1" applyFont="1" applyFill="1" applyBorder="1" applyAlignment="1" applyProtection="1">
      <alignment horizontal="left"/>
    </xf>
    <xf numFmtId="164" fontId="13" fillId="4" borderId="15" xfId="4" applyNumberFormat="1" applyFont="1" applyFill="1" applyBorder="1" applyAlignment="1" applyProtection="1">
      <alignment horizontal="left"/>
    </xf>
    <xf numFmtId="166" fontId="11" fillId="5" borderId="14" xfId="4" applyNumberFormat="1" applyFont="1" applyFill="1" applyBorder="1" applyAlignment="1" applyProtection="1">
      <alignment horizontal="left"/>
    </xf>
    <xf numFmtId="166" fontId="11" fillId="4" borderId="15" xfId="4" applyNumberFormat="1" applyFont="1" applyFill="1" applyBorder="1" applyAlignment="1" applyProtection="1">
      <alignment horizontal="left"/>
    </xf>
    <xf numFmtId="166" fontId="11" fillId="5" borderId="14" xfId="4" applyNumberFormat="1" applyFont="1" applyFill="1" applyBorder="1" applyAlignment="1" applyProtection="1">
      <alignment horizontal="left"/>
      <protection locked="0"/>
    </xf>
    <xf numFmtId="164" fontId="12" fillId="4" borderId="14" xfId="4" applyNumberFormat="1" applyFont="1" applyFill="1" applyBorder="1" applyAlignment="1" applyProtection="1">
      <alignment horizontal="left"/>
    </xf>
    <xf numFmtId="164" fontId="64" fillId="6" borderId="14" xfId="4" applyNumberFormat="1" applyFont="1" applyFill="1" applyBorder="1" applyAlignment="1" applyProtection="1">
      <alignment horizontal="left"/>
    </xf>
    <xf numFmtId="164" fontId="11" fillId="4" borderId="14" xfId="0" applyNumberFormat="1" applyFont="1" applyFill="1" applyBorder="1" applyAlignment="1" applyProtection="1">
      <alignment horizontal="left"/>
    </xf>
    <xf numFmtId="164" fontId="11" fillId="4" borderId="15" xfId="0" applyNumberFormat="1" applyFont="1" applyFill="1" applyBorder="1" applyAlignment="1" applyProtection="1">
      <alignment horizontal="left"/>
    </xf>
    <xf numFmtId="0" fontId="42" fillId="4" borderId="14" xfId="0" applyFont="1" applyFill="1" applyBorder="1" applyProtection="1"/>
    <xf numFmtId="164" fontId="17" fillId="4" borderId="14" xfId="4" applyNumberFormat="1" applyFont="1" applyFill="1" applyBorder="1" applyAlignment="1" applyProtection="1">
      <alignment horizontal="left"/>
    </xf>
    <xf numFmtId="164" fontId="17" fillId="4" borderId="15" xfId="4" applyNumberFormat="1" applyFont="1" applyFill="1" applyBorder="1" applyAlignment="1" applyProtection="1">
      <alignment horizontal="left"/>
    </xf>
    <xf numFmtId="0" fontId="85" fillId="4" borderId="14" xfId="0" applyFont="1" applyFill="1" applyBorder="1" applyProtection="1"/>
    <xf numFmtId="164" fontId="63" fillId="6" borderId="14" xfId="4" applyNumberFormat="1" applyFont="1" applyFill="1" applyBorder="1" applyAlignment="1" applyProtection="1">
      <alignment horizontal="left"/>
    </xf>
    <xf numFmtId="166" fontId="13" fillId="4" borderId="14" xfId="4" applyNumberFormat="1" applyFont="1" applyFill="1" applyBorder="1" applyAlignment="1" applyProtection="1">
      <alignment horizontal="left"/>
    </xf>
    <xf numFmtId="166" fontId="13" fillId="4" borderId="15" xfId="4" applyNumberFormat="1" applyFont="1" applyFill="1" applyBorder="1" applyAlignment="1" applyProtection="1">
      <alignment horizontal="left"/>
    </xf>
    <xf numFmtId="166" fontId="59" fillId="6" borderId="14" xfId="4" applyNumberFormat="1" applyFont="1" applyFill="1" applyBorder="1" applyAlignment="1" applyProtection="1">
      <alignment horizontal="left"/>
    </xf>
    <xf numFmtId="166" fontId="12" fillId="4" borderId="15" xfId="4" applyNumberFormat="1" applyFont="1" applyFill="1" applyBorder="1" applyAlignment="1" applyProtection="1">
      <alignment horizontal="left"/>
    </xf>
    <xf numFmtId="164" fontId="12" fillId="5" borderId="6" xfId="4" applyNumberFormat="1" applyFont="1" applyFill="1" applyBorder="1" applyAlignment="1" applyProtection="1">
      <alignment horizontal="left"/>
    </xf>
    <xf numFmtId="164" fontId="12" fillId="4" borderId="17" xfId="4" applyNumberFormat="1" applyFont="1" applyFill="1" applyBorder="1" applyAlignment="1" applyProtection="1">
      <alignment horizontal="left"/>
    </xf>
    <xf numFmtId="164" fontId="12" fillId="4" borderId="18" xfId="4" applyNumberFormat="1" applyFont="1" applyFill="1" applyBorder="1" applyAlignment="1" applyProtection="1">
      <alignment horizontal="left"/>
    </xf>
    <xf numFmtId="0" fontId="59" fillId="5" borderId="0" xfId="0" applyFont="1" applyFill="1" applyBorder="1" applyProtection="1"/>
    <xf numFmtId="0" fontId="59" fillId="5" borderId="0" xfId="0" applyFont="1" applyFill="1" applyBorder="1" applyAlignment="1" applyProtection="1">
      <alignment horizontal="left"/>
    </xf>
    <xf numFmtId="0" fontId="59" fillId="5" borderId="0" xfId="0" applyFont="1" applyFill="1" applyBorder="1" applyAlignment="1" applyProtection="1">
      <alignment horizontal="center"/>
    </xf>
    <xf numFmtId="164" fontId="59" fillId="5" borderId="0" xfId="4" applyNumberFormat="1" applyFont="1" applyFill="1" applyBorder="1" applyAlignment="1" applyProtection="1">
      <alignment horizontal="left"/>
    </xf>
    <xf numFmtId="164" fontId="12" fillId="4" borderId="11" xfId="4" applyNumberFormat="1" applyFont="1" applyFill="1" applyBorder="1" applyAlignment="1" applyProtection="1">
      <alignment horizontal="left"/>
    </xf>
    <xf numFmtId="164" fontId="12" fillId="4" borderId="12" xfId="4" applyNumberFormat="1" applyFont="1" applyFill="1" applyBorder="1" applyAlignment="1" applyProtection="1">
      <alignment horizontal="left"/>
    </xf>
    <xf numFmtId="0" fontId="26" fillId="4" borderId="0" xfId="0" applyFont="1" applyFill="1" applyBorder="1" applyProtection="1"/>
    <xf numFmtId="0" fontId="26" fillId="5" borderId="5" xfId="0" applyFont="1" applyFill="1" applyBorder="1" applyProtection="1"/>
    <xf numFmtId="0" fontId="26" fillId="4" borderId="13" xfId="0" applyFont="1" applyFill="1" applyBorder="1" applyProtection="1"/>
    <xf numFmtId="0" fontId="26" fillId="4" borderId="14" xfId="0" applyFont="1" applyFill="1" applyBorder="1" applyProtection="1"/>
    <xf numFmtId="0" fontId="26" fillId="4" borderId="14" xfId="0" applyFont="1" applyFill="1" applyBorder="1" applyAlignment="1" applyProtection="1">
      <alignment horizontal="center"/>
    </xf>
    <xf numFmtId="0" fontId="26" fillId="4" borderId="14" xfId="0" applyFont="1" applyFill="1" applyBorder="1" applyAlignment="1" applyProtection="1">
      <alignment horizontal="left"/>
    </xf>
    <xf numFmtId="164" fontId="26" fillId="4" borderId="14" xfId="4" applyNumberFormat="1" applyFont="1" applyFill="1" applyBorder="1" applyAlignment="1" applyProtection="1">
      <alignment horizontal="left"/>
    </xf>
    <xf numFmtId="164" fontId="26" fillId="4" borderId="15" xfId="4" applyNumberFormat="1" applyFont="1" applyFill="1" applyBorder="1" applyAlignment="1" applyProtection="1">
      <alignment horizontal="left"/>
    </xf>
    <xf numFmtId="164" fontId="26" fillId="5" borderId="6" xfId="4" applyNumberFormat="1" applyFont="1" applyFill="1" applyBorder="1" applyAlignment="1" applyProtection="1">
      <alignment horizontal="left"/>
    </xf>
    <xf numFmtId="164" fontId="12" fillId="4" borderId="15" xfId="4" applyNumberFormat="1" applyFont="1" applyFill="1" applyBorder="1" applyAlignment="1" applyProtection="1">
      <alignment horizontal="left"/>
    </xf>
    <xf numFmtId="166" fontId="11" fillId="4" borderId="14" xfId="4" applyNumberFormat="1" applyFont="1" applyFill="1" applyBorder="1" applyAlignment="1" applyProtection="1">
      <alignment horizontal="left"/>
    </xf>
    <xf numFmtId="0" fontId="12" fillId="5" borderId="0" xfId="0" applyFont="1" applyFill="1" applyBorder="1" applyAlignment="1" applyProtection="1">
      <alignment horizontal="center"/>
    </xf>
    <xf numFmtId="164" fontId="12" fillId="5" borderId="0" xfId="4" applyNumberFormat="1" applyFont="1" applyFill="1" applyBorder="1" applyAlignment="1" applyProtection="1">
      <alignment horizontal="left"/>
    </xf>
    <xf numFmtId="0" fontId="24" fillId="4" borderId="14" xfId="0" applyFont="1" applyFill="1" applyBorder="1" applyAlignment="1" applyProtection="1">
      <alignment horizontal="left"/>
    </xf>
    <xf numFmtId="166" fontId="13" fillId="4" borderId="17" xfId="4" applyNumberFormat="1" applyFont="1" applyFill="1" applyBorder="1" applyAlignment="1" applyProtection="1">
      <alignment horizontal="left"/>
    </xf>
    <xf numFmtId="164" fontId="13" fillId="4" borderId="17" xfId="4" applyNumberFormat="1" applyFont="1" applyFill="1" applyBorder="1" applyAlignment="1" applyProtection="1">
      <alignment horizontal="left"/>
    </xf>
    <xf numFmtId="164" fontId="13" fillId="4" borderId="18" xfId="4" applyNumberFormat="1" applyFont="1" applyFill="1" applyBorder="1" applyAlignment="1" applyProtection="1">
      <alignment horizontal="left"/>
    </xf>
    <xf numFmtId="166" fontId="13" fillId="5" borderId="0" xfId="4" applyNumberFormat="1" applyFont="1" applyFill="1" applyBorder="1" applyAlignment="1" applyProtection="1">
      <alignment horizontal="left"/>
    </xf>
    <xf numFmtId="164" fontId="13" fillId="5" borderId="0" xfId="4" applyNumberFormat="1" applyFont="1" applyFill="1" applyBorder="1" applyAlignment="1" applyProtection="1">
      <alignment horizontal="left"/>
    </xf>
    <xf numFmtId="166" fontId="13" fillId="4" borderId="11" xfId="4" applyNumberFormat="1" applyFont="1" applyFill="1" applyBorder="1" applyAlignment="1" applyProtection="1">
      <alignment horizontal="left"/>
    </xf>
    <xf numFmtId="164" fontId="13" fillId="4" borderId="11" xfId="4" applyNumberFormat="1" applyFont="1" applyFill="1" applyBorder="1" applyAlignment="1" applyProtection="1">
      <alignment horizontal="left"/>
    </xf>
    <xf numFmtId="164" fontId="13" fillId="4" borderId="12" xfId="4" applyNumberFormat="1" applyFont="1" applyFill="1" applyBorder="1" applyAlignment="1" applyProtection="1">
      <alignment horizontal="left"/>
    </xf>
    <xf numFmtId="1" fontId="12" fillId="5" borderId="0" xfId="0" applyNumberFormat="1" applyFont="1" applyFill="1" applyBorder="1" applyProtection="1"/>
    <xf numFmtId="166" fontId="17" fillId="5" borderId="0" xfId="0" applyNumberFormat="1" applyFont="1" applyFill="1" applyBorder="1" applyAlignment="1" applyProtection="1">
      <alignment horizontal="left"/>
    </xf>
    <xf numFmtId="164" fontId="12" fillId="5" borderId="0" xfId="0" applyNumberFormat="1" applyFont="1" applyFill="1" applyBorder="1" applyAlignment="1" applyProtection="1">
      <alignment horizontal="left"/>
    </xf>
    <xf numFmtId="164" fontId="12" fillId="5" borderId="6" xfId="0" applyNumberFormat="1" applyFont="1" applyFill="1" applyBorder="1" applyAlignment="1" applyProtection="1">
      <alignment horizontal="left"/>
    </xf>
    <xf numFmtId="166" fontId="11" fillId="5" borderId="8" xfId="0" applyNumberFormat="1" applyFont="1" applyFill="1" applyBorder="1" applyProtection="1"/>
    <xf numFmtId="0" fontId="13" fillId="5" borderId="0" xfId="0" applyNumberFormat="1" applyFont="1" applyFill="1" applyBorder="1" applyAlignment="1" applyProtection="1">
      <alignment horizontal="right"/>
    </xf>
    <xf numFmtId="0" fontId="17" fillId="5" borderId="0" xfId="0" applyNumberFormat="1" applyFont="1" applyFill="1" applyBorder="1" applyProtection="1"/>
    <xf numFmtId="0" fontId="17" fillId="5" borderId="0" xfId="0" applyNumberFormat="1" applyFont="1" applyFill="1" applyBorder="1" applyAlignment="1" applyProtection="1">
      <alignment horizontal="center"/>
    </xf>
    <xf numFmtId="0" fontId="16" fillId="5" borderId="0" xfId="0" quotePrefix="1" applyNumberFormat="1" applyFont="1" applyFill="1" applyBorder="1" applyAlignment="1" applyProtection="1">
      <alignment horizontal="center"/>
    </xf>
    <xf numFmtId="1" fontId="11" fillId="4" borderId="11" xfId="0" applyNumberFormat="1" applyFont="1" applyFill="1" applyBorder="1" applyProtection="1"/>
    <xf numFmtId="1" fontId="11" fillId="4" borderId="11" xfId="0" applyNumberFormat="1" applyFont="1" applyFill="1" applyBorder="1" applyAlignment="1" applyProtection="1">
      <alignment horizontal="center"/>
    </xf>
    <xf numFmtId="166" fontId="11" fillId="4" borderId="11" xfId="4" applyNumberFormat="1" applyFont="1" applyFill="1" applyBorder="1" applyProtection="1"/>
    <xf numFmtId="165" fontId="11" fillId="4" borderId="11" xfId="4" applyNumberFormat="1" applyFont="1" applyFill="1" applyBorder="1" applyProtection="1"/>
    <xf numFmtId="165" fontId="11" fillId="4" borderId="12" xfId="4" applyNumberFormat="1" applyFont="1" applyFill="1" applyBorder="1" applyProtection="1"/>
    <xf numFmtId="1" fontId="58" fillId="4" borderId="14" xfId="0" applyNumberFormat="1" applyFont="1" applyFill="1" applyBorder="1" applyProtection="1"/>
    <xf numFmtId="166" fontId="11" fillId="4" borderId="14" xfId="4" applyNumberFormat="1" applyFont="1" applyFill="1" applyBorder="1" applyProtection="1"/>
    <xf numFmtId="0" fontId="17" fillId="4" borderId="14" xfId="0" quotePrefix="1" applyFont="1" applyFill="1" applyBorder="1" applyAlignment="1" applyProtection="1">
      <alignment horizontal="center"/>
    </xf>
    <xf numFmtId="0" fontId="17" fillId="4" borderId="15" xfId="0" quotePrefix="1" applyFont="1" applyFill="1" applyBorder="1" applyAlignment="1" applyProtection="1">
      <alignment horizontal="center"/>
    </xf>
    <xf numFmtId="1" fontId="11" fillId="4" borderId="14" xfId="0" applyNumberFormat="1" applyFont="1" applyFill="1" applyBorder="1" applyProtection="1"/>
    <xf numFmtId="166" fontId="60" fillId="6" borderId="14" xfId="4" applyNumberFormat="1" applyFont="1" applyFill="1" applyBorder="1" applyProtection="1"/>
    <xf numFmtId="166" fontId="12" fillId="4" borderId="15" xfId="4" applyNumberFormat="1" applyFont="1" applyFill="1" applyBorder="1" applyProtection="1"/>
    <xf numFmtId="0" fontId="13" fillId="4" borderId="17" xfId="0" applyFont="1" applyFill="1" applyBorder="1" applyAlignment="1" applyProtection="1">
      <alignment horizontal="right"/>
    </xf>
    <xf numFmtId="0" fontId="17" fillId="4" borderId="17" xfId="0" applyFont="1" applyFill="1" applyBorder="1" applyProtection="1"/>
    <xf numFmtId="166" fontId="17" fillId="4" borderId="17" xfId="0" quotePrefix="1" applyNumberFormat="1" applyFont="1" applyFill="1" applyBorder="1" applyAlignment="1" applyProtection="1">
      <alignment horizontal="center"/>
    </xf>
    <xf numFmtId="0" fontId="17" fillId="4" borderId="17" xfId="0" quotePrefix="1" applyNumberFormat="1" applyFont="1" applyFill="1" applyBorder="1" applyAlignment="1" applyProtection="1">
      <alignment horizontal="center"/>
    </xf>
    <xf numFmtId="0" fontId="17" fillId="4" borderId="18" xfId="0" quotePrefix="1" applyNumberFormat="1" applyFont="1" applyFill="1" applyBorder="1" applyAlignment="1" applyProtection="1">
      <alignment horizontal="center"/>
    </xf>
    <xf numFmtId="0" fontId="17" fillId="4" borderId="11" xfId="0" quotePrefix="1" applyNumberFormat="1" applyFont="1" applyFill="1" applyBorder="1" applyAlignment="1" applyProtection="1">
      <alignment horizontal="center"/>
    </xf>
    <xf numFmtId="0" fontId="17" fillId="4" borderId="11" xfId="0" quotePrefix="1" applyFont="1" applyFill="1" applyBorder="1" applyAlignment="1" applyProtection="1">
      <alignment horizontal="center"/>
    </xf>
    <xf numFmtId="0" fontId="17" fillId="4" borderId="12" xfId="0" quotePrefix="1" applyFont="1" applyFill="1" applyBorder="1" applyAlignment="1" applyProtection="1">
      <alignment horizontal="center"/>
    </xf>
    <xf numFmtId="0" fontId="17" fillId="5" borderId="6" xfId="0" quotePrefix="1" applyFont="1" applyFill="1" applyBorder="1" applyAlignment="1" applyProtection="1">
      <alignment horizontal="center"/>
    </xf>
    <xf numFmtId="166" fontId="13" fillId="4" borderId="14" xfId="4" applyNumberFormat="1" applyFont="1" applyFill="1" applyBorder="1" applyAlignment="1" applyProtection="1">
      <alignment horizontal="right"/>
    </xf>
    <xf numFmtId="1" fontId="13" fillId="4" borderId="14" xfId="4" applyNumberFormat="1" applyFont="1" applyFill="1" applyBorder="1" applyAlignment="1" applyProtection="1">
      <alignment horizontal="right"/>
    </xf>
    <xf numFmtId="1" fontId="13" fillId="4" borderId="15" xfId="4" applyNumberFormat="1" applyFont="1" applyFill="1" applyBorder="1" applyAlignment="1" applyProtection="1">
      <alignment horizontal="right"/>
    </xf>
    <xf numFmtId="1" fontId="13" fillId="5" borderId="6" xfId="4" applyNumberFormat="1" applyFont="1" applyFill="1" applyBorder="1" applyAlignment="1" applyProtection="1">
      <alignment horizontal="right"/>
    </xf>
    <xf numFmtId="49" fontId="11" fillId="4" borderId="14" xfId="0" applyNumberFormat="1" applyFont="1" applyFill="1" applyBorder="1" applyAlignment="1" applyProtection="1">
      <alignment horizontal="center"/>
      <protection locked="0"/>
    </xf>
    <xf numFmtId="165" fontId="11" fillId="5" borderId="6" xfId="4" applyNumberFormat="1" applyFont="1" applyFill="1" applyBorder="1" applyProtection="1"/>
    <xf numFmtId="1" fontId="11" fillId="5" borderId="14" xfId="0" applyNumberFormat="1" applyFont="1" applyFill="1" applyBorder="1" applyProtection="1">
      <protection locked="0"/>
    </xf>
    <xf numFmtId="165" fontId="11" fillId="5" borderId="6" xfId="4" applyNumberFormat="1" applyFont="1" applyFill="1" applyBorder="1" applyAlignment="1" applyProtection="1">
      <alignment horizontal="left"/>
    </xf>
    <xf numFmtId="165" fontId="12" fillId="5" borderId="6" xfId="4" applyNumberFormat="1" applyFont="1" applyFill="1" applyBorder="1" applyProtection="1"/>
    <xf numFmtId="166" fontId="11" fillId="4" borderId="17" xfId="4" applyNumberFormat="1" applyFont="1" applyFill="1" applyBorder="1" applyProtection="1"/>
    <xf numFmtId="166" fontId="11" fillId="4" borderId="18" xfId="4" applyNumberFormat="1" applyFont="1" applyFill="1" applyBorder="1" applyProtection="1"/>
    <xf numFmtId="166" fontId="11" fillId="4" borderId="12" xfId="4" applyNumberFormat="1" applyFont="1" applyFill="1" applyBorder="1" applyProtection="1"/>
    <xf numFmtId="1" fontId="12" fillId="4" borderId="14" xfId="0" applyNumberFormat="1" applyFont="1" applyFill="1" applyBorder="1" applyProtection="1"/>
    <xf numFmtId="166" fontId="12" fillId="4" borderId="14" xfId="4" applyNumberFormat="1" applyFont="1" applyFill="1" applyBorder="1" applyProtection="1"/>
    <xf numFmtId="1" fontId="17" fillId="4" borderId="14" xfId="0" applyNumberFormat="1" applyFont="1" applyFill="1" applyBorder="1" applyProtection="1"/>
    <xf numFmtId="1" fontId="12" fillId="4" borderId="14" xfId="0" applyNumberFormat="1" applyFont="1" applyFill="1" applyBorder="1" applyAlignment="1" applyProtection="1">
      <alignment horizontal="center"/>
    </xf>
    <xf numFmtId="1" fontId="11" fillId="5" borderId="14" xfId="0" applyNumberFormat="1" applyFont="1" applyFill="1" applyBorder="1" applyAlignment="1" applyProtection="1">
      <alignment horizontal="left"/>
      <protection locked="0"/>
    </xf>
    <xf numFmtId="1" fontId="11" fillId="4" borderId="17" xfId="0" applyNumberFormat="1" applyFont="1" applyFill="1" applyBorder="1" applyProtection="1"/>
    <xf numFmtId="1" fontId="11" fillId="4" borderId="17" xfId="0" applyNumberFormat="1" applyFont="1" applyFill="1" applyBorder="1" applyAlignment="1" applyProtection="1">
      <alignment horizontal="center"/>
    </xf>
    <xf numFmtId="165" fontId="11" fillId="4" borderId="17" xfId="4" applyNumberFormat="1" applyFont="1" applyFill="1" applyBorder="1" applyProtection="1"/>
    <xf numFmtId="165" fontId="11" fillId="4" borderId="18" xfId="4" applyNumberFormat="1" applyFont="1" applyFill="1" applyBorder="1" applyProtection="1"/>
    <xf numFmtId="1" fontId="11" fillId="5" borderId="0" xfId="0" applyNumberFormat="1" applyFont="1" applyFill="1" applyBorder="1" applyProtection="1"/>
    <xf numFmtId="1" fontId="11" fillId="5" borderId="0" xfId="0" applyNumberFormat="1" applyFont="1" applyFill="1" applyBorder="1" applyAlignment="1" applyProtection="1">
      <alignment horizontal="center"/>
    </xf>
    <xf numFmtId="165" fontId="11" fillId="5" borderId="0" xfId="4" applyNumberFormat="1" applyFont="1" applyFill="1" applyBorder="1" applyProtection="1"/>
    <xf numFmtId="1" fontId="12" fillId="4" borderId="11" xfId="0" applyNumberFormat="1" applyFont="1" applyFill="1" applyBorder="1" applyProtection="1"/>
    <xf numFmtId="166" fontId="59" fillId="6" borderId="14" xfId="4" applyNumberFormat="1" applyFont="1" applyFill="1" applyBorder="1" applyProtection="1"/>
    <xf numFmtId="0" fontId="12" fillId="4" borderId="17" xfId="0" applyFont="1" applyFill="1" applyBorder="1" applyAlignment="1" applyProtection="1">
      <alignment horizontal="right"/>
    </xf>
    <xf numFmtId="166" fontId="18" fillId="4" borderId="17" xfId="4" applyNumberFormat="1" applyFont="1" applyFill="1" applyBorder="1" applyProtection="1"/>
    <xf numFmtId="165" fontId="12" fillId="4" borderId="17" xfId="4" applyNumberFormat="1" applyFont="1" applyFill="1" applyBorder="1" applyProtection="1"/>
    <xf numFmtId="165" fontId="12" fillId="4" borderId="18" xfId="4" applyNumberFormat="1" applyFont="1" applyFill="1" applyBorder="1" applyProtection="1"/>
    <xf numFmtId="0" fontId="12" fillId="5" borderId="0" xfId="0" applyFont="1" applyFill="1" applyBorder="1" applyAlignment="1" applyProtection="1">
      <alignment horizontal="right"/>
    </xf>
    <xf numFmtId="166" fontId="18" fillId="5" borderId="0" xfId="4" applyNumberFormat="1" applyFont="1" applyFill="1" applyBorder="1" applyProtection="1"/>
    <xf numFmtId="165" fontId="12" fillId="5" borderId="0" xfId="4" applyNumberFormat="1" applyFont="1" applyFill="1" applyBorder="1" applyProtection="1"/>
    <xf numFmtId="0" fontId="12" fillId="4" borderId="11" xfId="0" applyFont="1" applyFill="1" applyBorder="1" applyAlignment="1" applyProtection="1">
      <alignment horizontal="right"/>
    </xf>
    <xf numFmtId="166" fontId="18" fillId="4" borderId="11" xfId="4" applyNumberFormat="1" applyFont="1" applyFill="1" applyBorder="1" applyProtection="1"/>
    <xf numFmtId="165" fontId="12" fillId="4" borderId="11" xfId="4" applyNumberFormat="1" applyFont="1" applyFill="1" applyBorder="1" applyProtection="1"/>
    <xf numFmtId="165" fontId="12" fillId="4" borderId="12" xfId="4" applyNumberFormat="1" applyFont="1" applyFill="1" applyBorder="1" applyProtection="1"/>
    <xf numFmtId="0" fontId="70" fillId="4" borderId="0" xfId="0" applyNumberFormat="1" applyFont="1" applyFill="1" applyBorder="1" applyAlignment="1" applyProtection="1">
      <alignment horizontal="right"/>
    </xf>
    <xf numFmtId="0" fontId="67" fillId="4" borderId="0" xfId="0" applyFont="1" applyFill="1" applyBorder="1" applyAlignment="1" applyProtection="1">
      <alignment horizontal="right"/>
    </xf>
    <xf numFmtId="166" fontId="66" fillId="4" borderId="0" xfId="0" applyNumberFormat="1" applyFont="1" applyFill="1" applyBorder="1" applyProtection="1"/>
    <xf numFmtId="0" fontId="65" fillId="4" borderId="0" xfId="0" applyFont="1" applyFill="1" applyBorder="1" applyAlignment="1" applyProtection="1">
      <alignment horizontal="left"/>
    </xf>
    <xf numFmtId="166" fontId="65" fillId="4" borderId="0" xfId="0" applyNumberFormat="1" applyFont="1" applyFill="1" applyBorder="1" applyProtection="1"/>
    <xf numFmtId="0" fontId="70" fillId="4" borderId="0" xfId="0" applyFont="1" applyFill="1" applyBorder="1" applyAlignment="1" applyProtection="1">
      <alignment horizontal="right"/>
    </xf>
    <xf numFmtId="0" fontId="70" fillId="4" borderId="0" xfId="0" applyFont="1" applyFill="1" applyBorder="1" applyAlignment="1" applyProtection="1">
      <alignment horizontal="left"/>
    </xf>
    <xf numFmtId="0" fontId="12" fillId="4" borderId="0" xfId="0" applyFont="1" applyFill="1" applyBorder="1" applyAlignment="1" applyProtection="1">
      <alignment horizontal="center"/>
    </xf>
    <xf numFmtId="0" fontId="12" fillId="4" borderId="0" xfId="0" applyFont="1" applyFill="1" applyBorder="1" applyAlignment="1" applyProtection="1">
      <alignment horizontal="right"/>
    </xf>
    <xf numFmtId="0" fontId="23" fillId="4" borderId="0" xfId="0" applyFont="1" applyFill="1" applyBorder="1" applyAlignment="1" applyProtection="1">
      <alignment horizontal="center"/>
    </xf>
    <xf numFmtId="166" fontId="23" fillId="4" borderId="0" xfId="0" applyNumberFormat="1" applyFont="1" applyFill="1" applyBorder="1" applyProtection="1"/>
    <xf numFmtId="0" fontId="11" fillId="5" borderId="3" xfId="0" applyNumberFormat="1" applyFont="1" applyFill="1" applyBorder="1" applyProtection="1"/>
    <xf numFmtId="0" fontId="33" fillId="4" borderId="0" xfId="0" applyFont="1" applyFill="1" applyBorder="1" applyProtection="1"/>
    <xf numFmtId="0" fontId="33" fillId="5" borderId="0" xfId="0" applyFont="1" applyFill="1" applyBorder="1" applyProtection="1"/>
    <xf numFmtId="0" fontId="33" fillId="5" borderId="6" xfId="0" applyFont="1" applyFill="1" applyBorder="1" applyProtection="1"/>
    <xf numFmtId="0" fontId="30" fillId="4" borderId="0" xfId="0" applyFont="1" applyFill="1" applyBorder="1" applyProtection="1"/>
    <xf numFmtId="0" fontId="32" fillId="5" borderId="5" xfId="0" applyFont="1" applyFill="1" applyBorder="1" applyProtection="1"/>
    <xf numFmtId="0" fontId="17" fillId="5" borderId="0" xfId="0" applyFont="1" applyFill="1" applyBorder="1" applyAlignment="1" applyProtection="1">
      <alignment horizontal="right"/>
    </xf>
    <xf numFmtId="0" fontId="30" fillId="5" borderId="6" xfId="0" applyFont="1" applyFill="1" applyBorder="1" applyProtection="1"/>
    <xf numFmtId="0" fontId="58" fillId="5" borderId="0" xfId="0" applyFont="1" applyFill="1" applyBorder="1" applyAlignment="1" applyProtection="1">
      <alignment horizontal="left"/>
    </xf>
    <xf numFmtId="0" fontId="57" fillId="5" borderId="0" xfId="0" applyFont="1" applyFill="1" applyBorder="1" applyAlignment="1" applyProtection="1">
      <alignment horizontal="right"/>
    </xf>
    <xf numFmtId="0" fontId="56" fillId="5" borderId="0" xfId="0" applyFont="1" applyFill="1" applyBorder="1" applyAlignment="1" applyProtection="1">
      <alignment horizontal="left"/>
    </xf>
    <xf numFmtId="0" fontId="32" fillId="5" borderId="0" xfId="0" applyFont="1" applyFill="1" applyBorder="1" applyProtection="1"/>
    <xf numFmtId="0" fontId="13" fillId="5" borderId="5" xfId="0" applyFont="1" applyFill="1" applyBorder="1" applyAlignment="1" applyProtection="1">
      <alignment horizontal="right"/>
    </xf>
    <xf numFmtId="0" fontId="27" fillId="5" borderId="0" xfId="0" applyNumberFormat="1" applyFont="1" applyFill="1" applyBorder="1" applyAlignment="1" applyProtection="1">
      <alignment horizontal="right"/>
    </xf>
    <xf numFmtId="0" fontId="13" fillId="4" borderId="0" xfId="0" applyFont="1" applyFill="1" applyBorder="1" applyAlignment="1" applyProtection="1">
      <alignment horizontal="right"/>
    </xf>
    <xf numFmtId="0" fontId="17" fillId="4" borderId="0" xfId="0" applyFont="1" applyFill="1" applyBorder="1" applyAlignment="1" applyProtection="1">
      <alignment horizontal="left"/>
    </xf>
    <xf numFmtId="0" fontId="11" fillId="4" borderId="0" xfId="0" applyFont="1" applyFill="1" applyBorder="1" applyAlignment="1" applyProtection="1">
      <alignment horizontal="left" indent="2"/>
    </xf>
    <xf numFmtId="0" fontId="11" fillId="4" borderId="0" xfId="0" applyFont="1" applyFill="1" applyBorder="1" applyAlignment="1" applyProtection="1">
      <alignment horizontal="right"/>
    </xf>
    <xf numFmtId="164" fontId="11" fillId="5" borderId="13" xfId="0" applyNumberFormat="1" applyFont="1" applyFill="1" applyBorder="1" applyProtection="1">
      <protection locked="0"/>
    </xf>
    <xf numFmtId="164" fontId="11" fillId="5" borderId="14" xfId="0" applyNumberFormat="1" applyFont="1" applyFill="1" applyBorder="1" applyProtection="1">
      <protection locked="0"/>
    </xf>
    <xf numFmtId="0" fontId="12" fillId="4" borderId="0" xfId="0" applyFont="1" applyFill="1" applyBorder="1" applyAlignment="1" applyProtection="1">
      <alignment horizontal="left" indent="2"/>
    </xf>
    <xf numFmtId="164" fontId="59" fillId="6" borderId="13" xfId="0" applyNumberFormat="1" applyFont="1" applyFill="1" applyBorder="1" applyAlignment="1" applyProtection="1"/>
    <xf numFmtId="164" fontId="59" fillId="6" borderId="14" xfId="0" applyNumberFormat="1" applyFont="1" applyFill="1" applyBorder="1" applyAlignment="1" applyProtection="1"/>
    <xf numFmtId="0" fontId="27" fillId="5" borderId="5" xfId="0" applyFont="1" applyFill="1" applyBorder="1" applyAlignment="1" applyProtection="1">
      <alignment horizontal="right"/>
    </xf>
    <xf numFmtId="0" fontId="16" fillId="5" borderId="0" xfId="0" applyFont="1" applyFill="1" applyBorder="1" applyAlignment="1" applyProtection="1">
      <alignment horizontal="center"/>
    </xf>
    <xf numFmtId="164" fontId="11" fillId="7" borderId="13" xfId="0" applyNumberFormat="1" applyFont="1" applyFill="1" applyBorder="1" applyProtection="1"/>
    <xf numFmtId="0" fontId="25" fillId="5" borderId="0" xfId="0" applyFont="1" applyFill="1" applyBorder="1" applyAlignment="1" applyProtection="1">
      <alignment horizontal="left"/>
    </xf>
    <xf numFmtId="0" fontId="25" fillId="5" borderId="0" xfId="0" applyFont="1" applyFill="1" applyBorder="1" applyAlignment="1" applyProtection="1">
      <alignment horizontal="center"/>
    </xf>
    <xf numFmtId="0" fontId="21" fillId="5" borderId="0" xfId="0" applyFont="1" applyFill="1" applyBorder="1" applyAlignment="1" applyProtection="1">
      <alignment horizontal="left"/>
    </xf>
    <xf numFmtId="0" fontId="34" fillId="5" borderId="0" xfId="0" applyFont="1" applyFill="1" applyBorder="1" applyProtection="1"/>
    <xf numFmtId="0" fontId="56" fillId="5" borderId="0" xfId="0" applyFont="1" applyFill="1" applyBorder="1" applyAlignment="1" applyProtection="1">
      <alignment horizontal="center"/>
    </xf>
    <xf numFmtId="0" fontId="56" fillId="5" borderId="0" xfId="0" applyNumberFormat="1" applyFont="1" applyFill="1" applyBorder="1" applyAlignment="1" applyProtection="1">
      <alignment horizontal="center"/>
    </xf>
    <xf numFmtId="1" fontId="56" fillId="5" borderId="0" xfId="0" quotePrefix="1" applyNumberFormat="1" applyFont="1" applyFill="1" applyBorder="1" applyAlignment="1" applyProtection="1">
      <alignment horizontal="center"/>
    </xf>
    <xf numFmtId="1" fontId="56" fillId="5" borderId="0" xfId="0" applyNumberFormat="1" applyFont="1" applyFill="1" applyBorder="1" applyAlignment="1" applyProtection="1">
      <alignment horizontal="center"/>
    </xf>
    <xf numFmtId="0" fontId="13" fillId="4" borderId="0" xfId="0" applyFont="1" applyFill="1" applyBorder="1" applyAlignment="1" applyProtection="1">
      <alignment horizontal="center"/>
    </xf>
    <xf numFmtId="0" fontId="13" fillId="5" borderId="0" xfId="0" applyFont="1" applyFill="1" applyBorder="1" applyAlignment="1" applyProtection="1">
      <alignment horizontal="left"/>
    </xf>
    <xf numFmtId="0" fontId="13" fillId="5" borderId="0" xfId="0" applyNumberFormat="1" applyFont="1" applyFill="1" applyBorder="1" applyAlignment="1" applyProtection="1">
      <alignment horizontal="center"/>
    </xf>
    <xf numFmtId="0" fontId="13" fillId="4" borderId="10" xfId="0" applyFont="1" applyFill="1" applyBorder="1" applyAlignment="1" applyProtection="1">
      <alignment horizontal="center"/>
    </xf>
    <xf numFmtId="0" fontId="13" fillId="4" borderId="11" xfId="0" applyFont="1" applyFill="1" applyBorder="1" applyAlignment="1" applyProtection="1">
      <alignment horizontal="left"/>
    </xf>
    <xf numFmtId="0" fontId="13" fillId="4" borderId="11" xfId="0" applyFont="1" applyFill="1" applyBorder="1" applyAlignment="1" applyProtection="1">
      <alignment horizontal="center"/>
    </xf>
    <xf numFmtId="0" fontId="13" fillId="4" borderId="11" xfId="0" applyNumberFormat="1" applyFont="1" applyFill="1" applyBorder="1" applyAlignment="1" applyProtection="1">
      <alignment horizontal="center"/>
    </xf>
    <xf numFmtId="0" fontId="13" fillId="4" borderId="12" xfId="0" applyFont="1" applyFill="1" applyBorder="1" applyAlignment="1" applyProtection="1">
      <alignment horizontal="center"/>
    </xf>
    <xf numFmtId="0" fontId="60" fillId="4" borderId="0" xfId="0" applyFont="1" applyFill="1" applyBorder="1" applyProtection="1"/>
    <xf numFmtId="0" fontId="60" fillId="5" borderId="0" xfId="0" applyFont="1" applyFill="1" applyBorder="1" applyProtection="1"/>
    <xf numFmtId="0" fontId="60" fillId="4" borderId="13" xfId="0" applyFont="1" applyFill="1" applyBorder="1" applyProtection="1"/>
    <xf numFmtId="0" fontId="60" fillId="4" borderId="14" xfId="0" applyFont="1" applyFill="1" applyBorder="1" applyAlignment="1" applyProtection="1">
      <alignment horizontal="left"/>
    </xf>
    <xf numFmtId="0" fontId="60" fillId="4" borderId="14" xfId="0" applyFont="1" applyFill="1" applyBorder="1" applyAlignment="1" applyProtection="1">
      <alignment horizontal="center"/>
    </xf>
    <xf numFmtId="0" fontId="60" fillId="4" borderId="14" xfId="0" applyFont="1" applyFill="1" applyBorder="1" applyProtection="1"/>
    <xf numFmtId="0" fontId="60" fillId="4" borderId="15" xfId="0" applyFont="1" applyFill="1" applyBorder="1" applyProtection="1"/>
    <xf numFmtId="0" fontId="13" fillId="4" borderId="13" xfId="0" applyFont="1" applyFill="1" applyBorder="1" applyAlignment="1" applyProtection="1">
      <alignment horizontal="center"/>
    </xf>
    <xf numFmtId="0" fontId="13" fillId="4" borderId="15" xfId="0" applyFont="1" applyFill="1" applyBorder="1" applyAlignment="1" applyProtection="1">
      <alignment horizontal="center"/>
    </xf>
    <xf numFmtId="0" fontId="24" fillId="5" borderId="5" xfId="0" applyFont="1" applyFill="1" applyBorder="1" applyAlignment="1" applyProtection="1">
      <alignment horizontal="right"/>
    </xf>
    <xf numFmtId="0" fontId="24" fillId="5" borderId="0" xfId="0" applyFont="1" applyFill="1" applyBorder="1" applyAlignment="1" applyProtection="1">
      <alignment horizontal="right"/>
    </xf>
    <xf numFmtId="0" fontId="26" fillId="5" borderId="0" xfId="0" applyFont="1" applyFill="1" applyBorder="1" applyAlignment="1" applyProtection="1">
      <alignment horizontal="right"/>
    </xf>
    <xf numFmtId="0" fontId="16" fillId="5" borderId="5" xfId="0" applyFont="1" applyFill="1" applyBorder="1" applyProtection="1"/>
    <xf numFmtId="0" fontId="16" fillId="5" borderId="0" xfId="0" applyFont="1" applyFill="1" applyBorder="1" applyProtection="1"/>
    <xf numFmtId="0" fontId="27" fillId="5" borderId="0" xfId="0" applyFont="1" applyFill="1" applyBorder="1" applyProtection="1"/>
    <xf numFmtId="0" fontId="27" fillId="5" borderId="6" xfId="0" applyFont="1" applyFill="1" applyBorder="1" applyProtection="1"/>
    <xf numFmtId="0" fontId="26" fillId="5" borderId="0" xfId="0" applyFont="1" applyFill="1" applyBorder="1" applyAlignment="1" applyProtection="1">
      <alignment horizontal="left"/>
    </xf>
    <xf numFmtId="0" fontId="11" fillId="5" borderId="5" xfId="0" applyFont="1" applyFill="1" applyBorder="1" applyAlignment="1" applyProtection="1">
      <alignment horizontal="right"/>
    </xf>
    <xf numFmtId="0" fontId="11" fillId="4" borderId="10" xfId="0" applyFont="1" applyFill="1" applyBorder="1" applyAlignment="1" applyProtection="1">
      <alignment horizontal="right"/>
    </xf>
    <xf numFmtId="0" fontId="11" fillId="4" borderId="13" xfId="0" applyFont="1" applyFill="1" applyBorder="1" applyAlignment="1" applyProtection="1">
      <alignment horizontal="right"/>
    </xf>
    <xf numFmtId="164" fontId="11" fillId="7" borderId="14" xfId="0" applyNumberFormat="1" applyFont="1" applyFill="1" applyBorder="1" applyProtection="1"/>
    <xf numFmtId="164" fontId="59" fillId="6" borderId="14" xfId="0" applyNumberFormat="1" applyFont="1" applyFill="1" applyBorder="1" applyAlignment="1" applyProtection="1">
      <alignment horizontal="center"/>
    </xf>
    <xf numFmtId="0" fontId="11" fillId="4" borderId="16" xfId="0" applyFont="1" applyFill="1" applyBorder="1" applyAlignment="1" applyProtection="1">
      <alignment horizontal="right"/>
    </xf>
    <xf numFmtId="0" fontId="11" fillId="4" borderId="11" xfId="0" applyNumberFormat="1" applyFont="1" applyFill="1" applyBorder="1" applyProtection="1"/>
    <xf numFmtId="0" fontId="13" fillId="4" borderId="13" xfId="0" applyFont="1" applyFill="1" applyBorder="1" applyAlignment="1" applyProtection="1">
      <alignment horizontal="right"/>
    </xf>
    <xf numFmtId="0" fontId="17" fillId="4" borderId="14" xfId="0" applyFont="1" applyFill="1" applyBorder="1" applyAlignment="1" applyProtection="1">
      <alignment horizontal="left"/>
    </xf>
    <xf numFmtId="0" fontId="13" fillId="4" borderId="15" xfId="0" applyFont="1" applyFill="1" applyBorder="1" applyProtection="1"/>
    <xf numFmtId="0" fontId="12" fillId="5" borderId="5" xfId="0" applyFont="1" applyFill="1" applyBorder="1" applyAlignment="1" applyProtection="1">
      <alignment horizontal="right"/>
    </xf>
    <xf numFmtId="0" fontId="12" fillId="4" borderId="13" xfId="0" applyFont="1" applyFill="1" applyBorder="1" applyAlignment="1" applyProtection="1">
      <alignment horizontal="right"/>
    </xf>
    <xf numFmtId="0" fontId="54" fillId="5" borderId="0" xfId="0" applyFont="1" applyFill="1" applyBorder="1" applyAlignment="1" applyProtection="1">
      <alignment horizontal="right"/>
    </xf>
    <xf numFmtId="0" fontId="11" fillId="5" borderId="0" xfId="0" applyFont="1" applyFill="1" applyBorder="1" applyAlignment="1" applyProtection="1">
      <alignment horizontal="right"/>
    </xf>
    <xf numFmtId="165" fontId="56" fillId="5" borderId="0" xfId="4" applyNumberFormat="1" applyFont="1" applyFill="1" applyBorder="1" applyProtection="1"/>
    <xf numFmtId="165" fontId="56" fillId="5" borderId="6" xfId="4" applyNumberFormat="1" applyFont="1" applyFill="1" applyBorder="1" applyProtection="1"/>
    <xf numFmtId="165" fontId="56" fillId="4" borderId="0" xfId="4" applyNumberFormat="1" applyFont="1" applyFill="1" applyBorder="1" applyProtection="1"/>
    <xf numFmtId="165" fontId="13" fillId="5" borderId="0" xfId="4" applyNumberFormat="1" applyFont="1" applyFill="1" applyBorder="1" applyProtection="1"/>
    <xf numFmtId="165" fontId="13" fillId="5" borderId="6" xfId="4" applyNumberFormat="1" applyFont="1" applyFill="1" applyBorder="1" applyProtection="1"/>
    <xf numFmtId="165" fontId="13" fillId="4" borderId="0" xfId="4" applyNumberFormat="1" applyFont="1" applyFill="1" applyBorder="1" applyProtection="1"/>
    <xf numFmtId="0" fontId="17" fillId="4" borderId="11" xfId="0" applyFont="1" applyFill="1" applyBorder="1" applyAlignment="1" applyProtection="1">
      <alignment horizontal="right"/>
    </xf>
    <xf numFmtId="165" fontId="13" fillId="4" borderId="12" xfId="4" applyNumberFormat="1" applyFont="1" applyFill="1" applyBorder="1" applyProtection="1"/>
    <xf numFmtId="0" fontId="17" fillId="4" borderId="14" xfId="0" applyFont="1" applyFill="1" applyBorder="1" applyAlignment="1" applyProtection="1">
      <alignment horizontal="right"/>
    </xf>
    <xf numFmtId="165" fontId="13" fillId="4" borderId="15" xfId="4" applyNumberFormat="1" applyFont="1" applyFill="1" applyBorder="1" applyProtection="1"/>
    <xf numFmtId="164" fontId="11" fillId="7" borderId="14" xfId="0" applyNumberFormat="1" applyFont="1" applyFill="1" applyBorder="1" applyAlignment="1" applyProtection="1">
      <alignment horizontal="left"/>
    </xf>
    <xf numFmtId="164" fontId="11" fillId="7" borderId="14" xfId="4" applyNumberFormat="1" applyFont="1" applyFill="1" applyBorder="1" applyAlignment="1" applyProtection="1">
      <alignment horizontal="left"/>
    </xf>
    <xf numFmtId="164" fontId="64" fillId="6" borderId="14" xfId="0" applyNumberFormat="1" applyFont="1" applyFill="1" applyBorder="1" applyAlignment="1" applyProtection="1">
      <alignment horizontal="left"/>
    </xf>
    <xf numFmtId="0" fontId="12" fillId="5" borderId="5" xfId="0" applyFont="1" applyFill="1" applyBorder="1" applyAlignment="1" applyProtection="1">
      <alignment horizontal="left"/>
    </xf>
    <xf numFmtId="0" fontId="12" fillId="4" borderId="13" xfId="0" applyFont="1" applyFill="1" applyBorder="1" applyAlignment="1" applyProtection="1">
      <alignment horizontal="left"/>
    </xf>
    <xf numFmtId="164" fontId="12" fillId="4" borderId="14" xfId="0" applyNumberFormat="1" applyFont="1" applyFill="1" applyBorder="1" applyAlignment="1" applyProtection="1">
      <alignment horizontal="left"/>
    </xf>
    <xf numFmtId="0" fontId="13" fillId="4" borderId="14" xfId="0" applyNumberFormat="1" applyFont="1" applyFill="1" applyBorder="1" applyAlignment="1" applyProtection="1">
      <alignment horizontal="left"/>
    </xf>
    <xf numFmtId="164" fontId="13" fillId="4" borderId="14" xfId="0" applyNumberFormat="1" applyFont="1" applyFill="1" applyBorder="1" applyAlignment="1" applyProtection="1">
      <alignment horizontal="left"/>
    </xf>
    <xf numFmtId="0" fontId="13" fillId="4" borderId="17" xfId="0" applyFont="1" applyFill="1" applyBorder="1" applyAlignment="1" applyProtection="1">
      <alignment horizontal="left"/>
    </xf>
    <xf numFmtId="0" fontId="13" fillId="4" borderId="17" xfId="0" applyFont="1" applyFill="1" applyBorder="1" applyProtection="1"/>
    <xf numFmtId="164" fontId="11" fillId="4" borderId="17" xfId="0" applyNumberFormat="1" applyFont="1" applyFill="1" applyBorder="1" applyAlignment="1" applyProtection="1">
      <alignment horizontal="left"/>
    </xf>
    <xf numFmtId="164" fontId="11" fillId="5" borderId="0" xfId="0" applyNumberFormat="1" applyFont="1" applyFill="1" applyBorder="1" applyAlignment="1" applyProtection="1">
      <alignment horizontal="left"/>
    </xf>
    <xf numFmtId="0" fontId="13" fillId="4" borderId="11" xfId="0" applyFont="1" applyFill="1" applyBorder="1" applyProtection="1"/>
    <xf numFmtId="164" fontId="11" fillId="4" borderId="11" xfId="0" applyNumberFormat="1" applyFont="1" applyFill="1" applyBorder="1" applyAlignment="1" applyProtection="1">
      <alignment horizontal="left"/>
    </xf>
    <xf numFmtId="164" fontId="11" fillId="5" borderId="14" xfId="0" applyNumberFormat="1" applyFont="1" applyFill="1" applyBorder="1" applyAlignment="1" applyProtection="1">
      <alignment horizontal="left"/>
      <protection locked="0"/>
    </xf>
    <xf numFmtId="0" fontId="11" fillId="4" borderId="14" xfId="0" applyFont="1" applyFill="1" applyBorder="1" applyAlignment="1" applyProtection="1">
      <alignment horizontal="right"/>
    </xf>
    <xf numFmtId="0" fontId="11" fillId="4" borderId="15" xfId="0" applyFont="1" applyFill="1" applyBorder="1" applyAlignment="1" applyProtection="1">
      <alignment horizontal="right"/>
    </xf>
    <xf numFmtId="0" fontId="54" fillId="4" borderId="14" xfId="0" applyFont="1" applyFill="1" applyBorder="1" applyAlignment="1" applyProtection="1">
      <alignment horizontal="right"/>
    </xf>
    <xf numFmtId="0" fontId="54" fillId="4" borderId="15" xfId="0" applyFont="1" applyFill="1" applyBorder="1" applyAlignment="1" applyProtection="1">
      <alignment horizontal="right"/>
    </xf>
    <xf numFmtId="0" fontId="11" fillId="4" borderId="17" xfId="0" applyFont="1" applyFill="1" applyBorder="1" applyAlignment="1" applyProtection="1">
      <alignment horizontal="right"/>
    </xf>
    <xf numFmtId="0" fontId="11" fillId="4" borderId="18" xfId="0" applyFont="1" applyFill="1" applyBorder="1" applyAlignment="1" applyProtection="1">
      <alignment horizontal="right"/>
    </xf>
    <xf numFmtId="0" fontId="12" fillId="5" borderId="8" xfId="0" applyFont="1" applyFill="1" applyBorder="1" applyAlignment="1" applyProtection="1">
      <alignment horizontal="right"/>
    </xf>
    <xf numFmtId="0" fontId="29" fillId="5" borderId="5" xfId="0" applyFont="1" applyFill="1" applyBorder="1" applyProtection="1"/>
    <xf numFmtId="164" fontId="24" fillId="4" borderId="0" xfId="0" applyNumberFormat="1" applyFont="1" applyFill="1" applyBorder="1" applyProtection="1"/>
    <xf numFmtId="164" fontId="12" fillId="4" borderId="15" xfId="0" applyNumberFormat="1" applyFont="1" applyFill="1" applyBorder="1" applyAlignment="1" applyProtection="1">
      <alignment horizontal="center"/>
    </xf>
    <xf numFmtId="0" fontId="11" fillId="4" borderId="12" xfId="0" applyFont="1" applyFill="1" applyBorder="1" applyAlignment="1" applyProtection="1">
      <alignment horizontal="right"/>
    </xf>
    <xf numFmtId="164" fontId="11" fillId="7" borderId="14" xfId="0" applyNumberFormat="1" applyFont="1" applyFill="1" applyBorder="1" applyAlignment="1" applyProtection="1">
      <alignment horizontal="right"/>
    </xf>
    <xf numFmtId="164" fontId="12" fillId="4" borderId="17" xfId="0" applyNumberFormat="1" applyFont="1" applyFill="1" applyBorder="1" applyAlignment="1" applyProtection="1">
      <alignment horizontal="center"/>
    </xf>
    <xf numFmtId="164" fontId="12" fillId="4" borderId="18" xfId="0" applyNumberFormat="1" applyFont="1" applyFill="1" applyBorder="1" applyAlignment="1" applyProtection="1">
      <alignment horizontal="center"/>
    </xf>
    <xf numFmtId="164" fontId="12" fillId="5" borderId="0" xfId="0" applyNumberFormat="1" applyFont="1" applyFill="1" applyBorder="1" applyAlignment="1" applyProtection="1">
      <alignment horizontal="center"/>
    </xf>
    <xf numFmtId="0" fontId="12" fillId="5" borderId="8" xfId="0" applyFont="1" applyFill="1" applyBorder="1" applyProtection="1"/>
    <xf numFmtId="169" fontId="12" fillId="5" borderId="8" xfId="0" applyNumberFormat="1" applyFont="1" applyFill="1" applyBorder="1" applyAlignment="1" applyProtection="1">
      <alignment horizontal="center"/>
    </xf>
    <xf numFmtId="0" fontId="1" fillId="4" borderId="0" xfId="0" applyFont="1" applyFill="1" applyBorder="1" applyProtection="1"/>
    <xf numFmtId="0" fontId="1" fillId="4" borderId="0" xfId="0" applyFont="1" applyFill="1" applyBorder="1" applyAlignment="1" applyProtection="1">
      <alignment horizontal="center"/>
    </xf>
    <xf numFmtId="164" fontId="1" fillId="4" borderId="0" xfId="0" applyNumberFormat="1" applyFont="1" applyFill="1" applyBorder="1" applyProtection="1"/>
    <xf numFmtId="0" fontId="38" fillId="4" borderId="0" xfId="0" applyFont="1" applyFill="1" applyBorder="1" applyProtection="1"/>
    <xf numFmtId="164" fontId="38" fillId="4" borderId="0" xfId="0" applyNumberFormat="1" applyFont="1" applyFill="1" applyBorder="1" applyProtection="1"/>
    <xf numFmtId="0" fontId="6" fillId="4" borderId="0" xfId="0" applyFont="1" applyFill="1" applyBorder="1" applyProtection="1"/>
    <xf numFmtId="0" fontId="35" fillId="5" borderId="5" xfId="0" applyFont="1" applyFill="1" applyBorder="1" applyProtection="1"/>
    <xf numFmtId="0" fontId="32" fillId="5" borderId="0" xfId="0" applyFont="1" applyFill="1" applyBorder="1" applyAlignment="1" applyProtection="1">
      <alignment horizontal="center"/>
    </xf>
    <xf numFmtId="0" fontId="32" fillId="5" borderId="0" xfId="0" applyFont="1" applyFill="1" applyBorder="1" applyAlignment="1" applyProtection="1">
      <alignment horizontal="left"/>
    </xf>
    <xf numFmtId="0" fontId="32" fillId="5" borderId="6" xfId="0" applyFont="1" applyFill="1" applyBorder="1" applyProtection="1"/>
    <xf numFmtId="164" fontId="6" fillId="4" borderId="0" xfId="0" applyNumberFormat="1" applyFont="1" applyFill="1" applyBorder="1" applyProtection="1"/>
    <xf numFmtId="0" fontId="5" fillId="4" borderId="0" xfId="0" applyFont="1" applyFill="1" applyBorder="1" applyProtection="1"/>
    <xf numFmtId="164" fontId="5" fillId="4" borderId="0" xfId="0" applyNumberFormat="1" applyFont="1" applyFill="1" applyBorder="1" applyProtection="1"/>
    <xf numFmtId="0" fontId="54" fillId="4" borderId="17" xfId="0" applyFont="1" applyFill="1" applyBorder="1" applyProtection="1"/>
    <xf numFmtId="0" fontId="86" fillId="4" borderId="14" xfId="0" applyFont="1" applyFill="1" applyBorder="1" applyProtection="1"/>
    <xf numFmtId="0" fontId="70" fillId="4" borderId="14" xfId="0" applyFont="1" applyFill="1" applyBorder="1" applyAlignment="1" applyProtection="1">
      <alignment horizontal="left"/>
    </xf>
    <xf numFmtId="0" fontId="66" fillId="4" borderId="14" xfId="0" applyFont="1" applyFill="1" applyBorder="1" applyAlignment="1" applyProtection="1">
      <alignment horizontal="center"/>
    </xf>
    <xf numFmtId="164" fontId="70" fillId="4" borderId="14" xfId="0" applyNumberFormat="1" applyFont="1" applyFill="1" applyBorder="1" applyAlignment="1" applyProtection="1">
      <alignment horizontal="center"/>
    </xf>
    <xf numFmtId="0" fontId="70" fillId="4" borderId="14" xfId="0" applyFont="1" applyFill="1" applyBorder="1" applyProtection="1"/>
    <xf numFmtId="0" fontId="65" fillId="4" borderId="14" xfId="0" applyFont="1" applyFill="1" applyBorder="1" applyAlignment="1" applyProtection="1">
      <alignment horizontal="center"/>
    </xf>
    <xf numFmtId="176" fontId="70" fillId="4" borderId="14" xfId="0" applyNumberFormat="1" applyFont="1" applyFill="1" applyBorder="1" applyAlignment="1" applyProtection="1">
      <alignment horizontal="center"/>
    </xf>
    <xf numFmtId="170" fontId="70" fillId="4" borderId="14" xfId="0" applyNumberFormat="1" applyFont="1" applyFill="1" applyBorder="1" applyAlignment="1" applyProtection="1">
      <alignment horizontal="center"/>
    </xf>
    <xf numFmtId="164" fontId="11" fillId="4" borderId="17" xfId="0" applyNumberFormat="1" applyFont="1" applyFill="1" applyBorder="1" applyAlignment="1" applyProtection="1">
      <alignment horizontal="center"/>
    </xf>
    <xf numFmtId="0" fontId="87" fillId="5" borderId="0" xfId="0" applyFont="1" applyFill="1" applyBorder="1" applyAlignment="1" applyProtection="1"/>
    <xf numFmtId="0" fontId="33" fillId="5" borderId="0" xfId="0" applyFont="1" applyFill="1" applyBorder="1" applyAlignment="1" applyProtection="1">
      <alignment horizontal="center"/>
    </xf>
    <xf numFmtId="164" fontId="33" fillId="5" borderId="0" xfId="0" applyNumberFormat="1" applyFont="1" applyFill="1" applyBorder="1" applyAlignment="1" applyProtection="1">
      <alignment horizontal="center"/>
    </xf>
    <xf numFmtId="164" fontId="33" fillId="5" borderId="0" xfId="0" applyNumberFormat="1" applyFont="1" applyFill="1" applyBorder="1" applyProtection="1"/>
    <xf numFmtId="0" fontId="30" fillId="5" borderId="5" xfId="0" applyFont="1" applyFill="1" applyBorder="1" applyProtection="1"/>
    <xf numFmtId="0" fontId="30" fillId="5" borderId="0" xfId="0" applyFont="1" applyFill="1" applyBorder="1" applyAlignment="1" applyProtection="1"/>
    <xf numFmtId="0" fontId="30" fillId="5" borderId="0" xfId="0" applyFont="1" applyFill="1" applyBorder="1" applyAlignment="1" applyProtection="1">
      <alignment horizontal="center"/>
    </xf>
    <xf numFmtId="164" fontId="30" fillId="5" borderId="0" xfId="0" applyNumberFormat="1" applyFont="1" applyFill="1" applyBorder="1" applyAlignment="1" applyProtection="1">
      <alignment horizontal="center"/>
    </xf>
    <xf numFmtId="164" fontId="30" fillId="5" borderId="0" xfId="0" applyNumberFormat="1" applyFont="1" applyFill="1" applyBorder="1" applyProtection="1"/>
    <xf numFmtId="0" fontId="16" fillId="5" borderId="0" xfId="0" applyFont="1" applyFill="1" applyBorder="1" applyAlignment="1" applyProtection="1"/>
    <xf numFmtId="164" fontId="24" fillId="5" borderId="0" xfId="0" applyNumberFormat="1" applyFont="1" applyFill="1" applyBorder="1" applyAlignment="1" applyProtection="1">
      <alignment horizontal="center"/>
    </xf>
    <xf numFmtId="164" fontId="24" fillId="5" borderId="0" xfId="0" applyNumberFormat="1" applyFont="1" applyFill="1" applyBorder="1" applyProtection="1"/>
    <xf numFmtId="0" fontId="24" fillId="5" borderId="0" xfId="0" applyFont="1" applyFill="1" applyBorder="1" applyAlignment="1" applyProtection="1"/>
    <xf numFmtId="0" fontId="88" fillId="4" borderId="0" xfId="0" applyFont="1" applyFill="1" applyBorder="1" applyProtection="1"/>
    <xf numFmtId="0" fontId="89" fillId="5" borderId="5" xfId="0" applyFont="1" applyFill="1" applyBorder="1" applyProtection="1"/>
    <xf numFmtId="0" fontId="90" fillId="4" borderId="13" xfId="0" applyFont="1" applyFill="1" applyBorder="1" applyProtection="1"/>
    <xf numFmtId="0" fontId="90" fillId="4" borderId="14" xfId="0" applyFont="1" applyFill="1" applyBorder="1" applyAlignment="1" applyProtection="1">
      <alignment horizontal="left"/>
    </xf>
    <xf numFmtId="0" fontId="90" fillId="4" borderId="14" xfId="0" applyFont="1" applyFill="1" applyBorder="1" applyProtection="1"/>
    <xf numFmtId="164" fontId="90" fillId="4" borderId="14" xfId="0" applyNumberFormat="1" applyFont="1" applyFill="1" applyBorder="1" applyAlignment="1" applyProtection="1">
      <alignment horizontal="center"/>
    </xf>
    <xf numFmtId="0" fontId="88" fillId="4" borderId="15" xfId="0" applyFont="1" applyFill="1" applyBorder="1" applyProtection="1"/>
    <xf numFmtId="0" fontId="88" fillId="5" borderId="6" xfId="0" applyFont="1" applyFill="1" applyBorder="1" applyProtection="1"/>
    <xf numFmtId="0" fontId="88" fillId="4" borderId="13" xfId="0" applyFont="1" applyFill="1" applyBorder="1" applyProtection="1"/>
    <xf numFmtId="0" fontId="88" fillId="4" borderId="14" xfId="0" applyFont="1" applyFill="1" applyBorder="1" applyProtection="1"/>
    <xf numFmtId="164" fontId="12" fillId="4" borderId="14" xfId="0" applyNumberFormat="1" applyFont="1" applyFill="1" applyBorder="1" applyAlignment="1" applyProtection="1">
      <alignment horizontal="center"/>
    </xf>
    <xf numFmtId="0" fontId="89" fillId="4" borderId="14" xfId="0" applyFont="1" applyFill="1" applyBorder="1" applyProtection="1"/>
    <xf numFmtId="0" fontId="67" fillId="5" borderId="5" xfId="0" applyFont="1" applyFill="1" applyBorder="1" applyProtection="1"/>
    <xf numFmtId="0" fontId="70" fillId="4" borderId="13" xfId="0" applyFont="1" applyFill="1" applyBorder="1" applyProtection="1"/>
    <xf numFmtId="0" fontId="66" fillId="4" borderId="15" xfId="0" applyFont="1" applyFill="1" applyBorder="1" applyProtection="1"/>
    <xf numFmtId="0" fontId="66" fillId="5" borderId="6" xfId="0" applyFont="1" applyFill="1" applyBorder="1" applyProtection="1"/>
    <xf numFmtId="0" fontId="17" fillId="5" borderId="7" xfId="0" applyFont="1" applyFill="1" applyBorder="1" applyProtection="1"/>
    <xf numFmtId="0" fontId="66" fillId="4" borderId="13" xfId="0" applyFont="1" applyFill="1" applyBorder="1" applyProtection="1"/>
    <xf numFmtId="0" fontId="70" fillId="4" borderId="15" xfId="0" applyFont="1" applyFill="1" applyBorder="1" applyProtection="1"/>
    <xf numFmtId="0" fontId="66" fillId="4" borderId="14" xfId="0" applyFont="1" applyFill="1" applyBorder="1" applyProtection="1"/>
    <xf numFmtId="164" fontId="11" fillId="4" borderId="12" xfId="0" applyNumberFormat="1" applyFont="1" applyFill="1" applyBorder="1" applyProtection="1"/>
    <xf numFmtId="164" fontId="11" fillId="4" borderId="18" xfId="0" applyNumberFormat="1" applyFont="1" applyFill="1" applyBorder="1" applyProtection="1"/>
    <xf numFmtId="164" fontId="11" fillId="4" borderId="11" xfId="0" applyNumberFormat="1" applyFont="1" applyFill="1" applyBorder="1" applyAlignment="1" applyProtection="1">
      <alignment horizontal="center"/>
    </xf>
    <xf numFmtId="164" fontId="11" fillId="4" borderId="15" xfId="0" applyNumberFormat="1" applyFont="1" applyFill="1" applyBorder="1" applyProtection="1"/>
    <xf numFmtId="9" fontId="11" fillId="7" borderId="14" xfId="0" applyNumberFormat="1" applyFont="1" applyFill="1" applyBorder="1" applyAlignment="1" applyProtection="1">
      <alignment horizontal="center"/>
    </xf>
    <xf numFmtId="9" fontId="11" fillId="4" borderId="14" xfId="0" applyNumberFormat="1" applyFont="1" applyFill="1" applyBorder="1" applyAlignment="1" applyProtection="1">
      <alignment horizontal="center"/>
    </xf>
    <xf numFmtId="164" fontId="43" fillId="4" borderId="14" xfId="0" applyNumberFormat="1" applyFont="1" applyFill="1" applyBorder="1" applyAlignment="1" applyProtection="1">
      <alignment horizontal="center"/>
    </xf>
    <xf numFmtId="165" fontId="11" fillId="4" borderId="13" xfId="0" applyNumberFormat="1" applyFont="1" applyFill="1" applyBorder="1" applyProtection="1"/>
    <xf numFmtId="0" fontId="11" fillId="4" borderId="14" xfId="0" applyNumberFormat="1" applyFont="1" applyFill="1" applyBorder="1" applyAlignment="1" applyProtection="1"/>
    <xf numFmtId="166" fontId="11" fillId="7" borderId="14" xfId="0" applyNumberFormat="1" applyFont="1" applyFill="1" applyBorder="1" applyAlignment="1" applyProtection="1">
      <alignment horizontal="center"/>
    </xf>
    <xf numFmtId="165" fontId="11" fillId="4" borderId="15" xfId="0" applyNumberFormat="1" applyFont="1" applyFill="1" applyBorder="1" applyProtection="1"/>
    <xf numFmtId="165" fontId="11" fillId="4" borderId="14" xfId="0" applyNumberFormat="1" applyFont="1" applyFill="1" applyBorder="1" applyAlignment="1" applyProtection="1">
      <alignment horizontal="center"/>
    </xf>
    <xf numFmtId="164" fontId="11" fillId="4" borderId="13" xfId="0" applyNumberFormat="1" applyFont="1" applyFill="1" applyBorder="1" applyProtection="1"/>
    <xf numFmtId="164" fontId="11" fillId="4" borderId="14" xfId="0" applyNumberFormat="1" applyFont="1" applyFill="1" applyBorder="1" applyProtection="1"/>
    <xf numFmtId="164" fontId="11" fillId="4" borderId="14" xfId="0" applyNumberFormat="1" applyFont="1" applyFill="1" applyBorder="1" applyAlignment="1" applyProtection="1"/>
    <xf numFmtId="164" fontId="11" fillId="4" borderId="16" xfId="0" applyNumberFormat="1" applyFont="1" applyFill="1" applyBorder="1" applyProtection="1"/>
    <xf numFmtId="164" fontId="11" fillId="4" borderId="17" xfId="0" applyNumberFormat="1" applyFont="1" applyFill="1" applyBorder="1" applyAlignment="1" applyProtection="1"/>
    <xf numFmtId="164" fontId="11" fillId="4" borderId="17" xfId="0" applyNumberFormat="1" applyFont="1" applyFill="1" applyBorder="1" applyProtection="1"/>
    <xf numFmtId="0" fontId="17" fillId="4" borderId="10" xfId="0" applyFont="1" applyFill="1" applyBorder="1" applyProtection="1"/>
    <xf numFmtId="0" fontId="13" fillId="4" borderId="14" xfId="0" applyFont="1" applyFill="1" applyBorder="1" applyAlignment="1" applyProtection="1"/>
    <xf numFmtId="0" fontId="11" fillId="4" borderId="13" xfId="0" applyFont="1" applyFill="1" applyBorder="1" applyAlignment="1" applyProtection="1">
      <alignment horizontal="center"/>
    </xf>
    <xf numFmtId="2" fontId="11" fillId="4" borderId="15" xfId="0" applyNumberFormat="1" applyFont="1" applyFill="1" applyBorder="1" applyProtection="1"/>
    <xf numFmtId="2" fontId="11" fillId="4" borderId="14" xfId="0" applyNumberFormat="1" applyFont="1" applyFill="1" applyBorder="1" applyAlignment="1" applyProtection="1">
      <alignment horizontal="center"/>
    </xf>
    <xf numFmtId="175" fontId="11" fillId="7" borderId="14" xfId="0" applyNumberFormat="1" applyFont="1" applyFill="1" applyBorder="1" applyAlignment="1" applyProtection="1">
      <alignment horizontal="center"/>
    </xf>
    <xf numFmtId="164" fontId="11" fillId="5" borderId="5" xfId="0" applyNumberFormat="1" applyFont="1" applyFill="1" applyBorder="1" applyProtection="1"/>
    <xf numFmtId="164" fontId="11" fillId="5" borderId="6" xfId="0" applyNumberFormat="1" applyFont="1" applyFill="1" applyBorder="1" applyProtection="1"/>
    <xf numFmtId="164" fontId="11" fillId="5" borderId="0" xfId="0" applyNumberFormat="1" applyFont="1" applyFill="1" applyBorder="1" applyAlignment="1" applyProtection="1"/>
    <xf numFmtId="164" fontId="11" fillId="4" borderId="10" xfId="0" applyNumberFormat="1" applyFont="1" applyFill="1" applyBorder="1" applyProtection="1"/>
    <xf numFmtId="164" fontId="11" fillId="4" borderId="11" xfId="0" applyNumberFormat="1" applyFont="1" applyFill="1" applyBorder="1" applyAlignment="1" applyProtection="1"/>
    <xf numFmtId="0" fontId="17" fillId="4" borderId="14" xfId="0" applyFont="1" applyFill="1" applyBorder="1" applyAlignment="1" applyProtection="1"/>
    <xf numFmtId="2" fontId="61" fillId="4" borderId="15" xfId="0" applyNumberFormat="1" applyFont="1" applyFill="1" applyBorder="1" applyAlignment="1" applyProtection="1">
      <alignment horizontal="center"/>
    </xf>
    <xf numFmtId="0" fontId="12" fillId="4" borderId="14" xfId="0" applyNumberFormat="1" applyFont="1" applyFill="1" applyBorder="1" applyProtection="1"/>
    <xf numFmtId="2" fontId="91" fillId="4" borderId="15" xfId="0" applyNumberFormat="1" applyFont="1" applyFill="1" applyBorder="1" applyAlignment="1" applyProtection="1">
      <alignment horizontal="center"/>
    </xf>
    <xf numFmtId="0" fontId="11" fillId="4" borderId="0" xfId="0" applyFont="1" applyFill="1" applyBorder="1"/>
    <xf numFmtId="0" fontId="11" fillId="5" borderId="2" xfId="0" applyFont="1" applyFill="1" applyBorder="1"/>
    <xf numFmtId="0" fontId="11" fillId="5" borderId="3" xfId="0" applyFont="1" applyFill="1" applyBorder="1"/>
    <xf numFmtId="0" fontId="11" fillId="5" borderId="4" xfId="0" applyFont="1" applyFill="1" applyBorder="1"/>
    <xf numFmtId="0" fontId="11" fillId="5" borderId="5" xfId="0" applyFont="1" applyFill="1" applyBorder="1"/>
    <xf numFmtId="0" fontId="11" fillId="5" borderId="0" xfId="0" applyFont="1" applyFill="1" applyBorder="1"/>
    <xf numFmtId="0" fontId="11" fillId="5" borderId="6" xfId="0" applyFont="1" applyFill="1" applyBorder="1"/>
    <xf numFmtId="0" fontId="24" fillId="4" borderId="0" xfId="0" applyFont="1" applyFill="1" applyBorder="1"/>
    <xf numFmtId="0" fontId="25" fillId="5" borderId="5" xfId="0" applyFont="1" applyFill="1" applyBorder="1"/>
    <xf numFmtId="0" fontId="55" fillId="5" borderId="0" xfId="0" applyFont="1" applyFill="1" applyBorder="1"/>
    <xf numFmtId="0" fontId="24" fillId="5" borderId="0" xfId="0" applyFont="1" applyFill="1" applyBorder="1"/>
    <xf numFmtId="0" fontId="24" fillId="5" borderId="6" xfId="0" applyFont="1" applyFill="1" applyBorder="1"/>
    <xf numFmtId="0" fontId="32" fillId="5" borderId="5" xfId="0" applyFont="1" applyFill="1" applyBorder="1"/>
    <xf numFmtId="0" fontId="30" fillId="5" borderId="0" xfId="0" applyFont="1" applyFill="1" applyBorder="1"/>
    <xf numFmtId="0" fontId="30" fillId="4" borderId="0" xfId="0" applyFont="1" applyFill="1" applyBorder="1"/>
    <xf numFmtId="0" fontId="30" fillId="5" borderId="5" xfId="0" applyFont="1" applyFill="1" applyBorder="1"/>
    <xf numFmtId="0" fontId="30" fillId="5" borderId="6" xfId="0" applyFont="1" applyFill="1" applyBorder="1"/>
    <xf numFmtId="0" fontId="35" fillId="4" borderId="0" xfId="0" applyFont="1" applyFill="1" applyBorder="1"/>
    <xf numFmtId="0" fontId="58" fillId="5" borderId="0" xfId="0" applyFont="1" applyFill="1" applyBorder="1" applyProtection="1"/>
    <xf numFmtId="0" fontId="56" fillId="5" borderId="0" xfId="0" applyFont="1" applyFill="1" applyBorder="1" applyProtection="1"/>
    <xf numFmtId="0" fontId="54" fillId="5" borderId="0" xfId="0" quotePrefix="1" applyFont="1" applyFill="1" applyBorder="1" applyProtection="1"/>
    <xf numFmtId="0" fontId="11" fillId="5" borderId="0" xfId="0" quotePrefix="1" applyFont="1" applyFill="1" applyBorder="1" applyProtection="1"/>
    <xf numFmtId="0" fontId="16" fillId="5" borderId="0" xfId="0" applyFont="1" applyFill="1" applyBorder="1" applyAlignment="1" applyProtection="1">
      <alignment horizontal="right"/>
    </xf>
    <xf numFmtId="165" fontId="27" fillId="5" borderId="0" xfId="4" applyNumberFormat="1" applyFont="1" applyFill="1" applyBorder="1" applyProtection="1"/>
    <xf numFmtId="165" fontId="27" fillId="5" borderId="6" xfId="4" applyNumberFormat="1" applyFont="1" applyFill="1" applyBorder="1" applyProtection="1"/>
    <xf numFmtId="0" fontId="11" fillId="8" borderId="14" xfId="0" applyFont="1" applyFill="1" applyBorder="1" applyAlignment="1" applyProtection="1">
      <alignment horizontal="left"/>
    </xf>
    <xf numFmtId="164" fontId="11" fillId="8" borderId="14" xfId="0" applyNumberFormat="1" applyFont="1" applyFill="1" applyBorder="1" applyProtection="1"/>
    <xf numFmtId="0" fontId="11" fillId="8" borderId="14" xfId="0" applyFont="1" applyFill="1" applyBorder="1" applyProtection="1"/>
    <xf numFmtId="172" fontId="11" fillId="8" borderId="14" xfId="0" applyNumberFormat="1" applyFont="1" applyFill="1" applyBorder="1" applyAlignment="1" applyProtection="1">
      <alignment horizontal="left"/>
    </xf>
    <xf numFmtId="0" fontId="13" fillId="8" borderId="14" xfId="0" applyFont="1" applyFill="1" applyBorder="1" applyAlignment="1" applyProtection="1">
      <alignment horizontal="center"/>
    </xf>
    <xf numFmtId="164" fontId="11" fillId="8" borderId="14" xfId="0" applyNumberFormat="1" applyFont="1" applyFill="1" applyBorder="1" applyAlignment="1" applyProtection="1"/>
    <xf numFmtId="0" fontId="17" fillId="4" borderId="15" xfId="0" applyFont="1" applyFill="1" applyBorder="1" applyProtection="1"/>
    <xf numFmtId="0" fontId="11" fillId="8" borderId="14" xfId="0" applyFont="1" applyFill="1" applyBorder="1" applyAlignment="1" applyProtection="1">
      <alignment horizontal="center"/>
    </xf>
    <xf numFmtId="168" fontId="11" fillId="8" borderId="14" xfId="0" applyNumberFormat="1" applyFont="1" applyFill="1" applyBorder="1" applyAlignment="1" applyProtection="1">
      <alignment horizontal="center"/>
    </xf>
    <xf numFmtId="178" fontId="11" fillId="4" borderId="14" xfId="0" applyNumberFormat="1" applyFont="1" applyFill="1" applyBorder="1" applyAlignment="1" applyProtection="1">
      <alignment horizontal="left"/>
    </xf>
    <xf numFmtId="164" fontId="11" fillId="8" borderId="14" xfId="0" applyNumberFormat="1" applyFont="1" applyFill="1" applyBorder="1" applyAlignment="1" applyProtection="1">
      <alignment horizontal="left"/>
    </xf>
    <xf numFmtId="168" fontId="11" fillId="4" borderId="17" xfId="0" applyNumberFormat="1" applyFont="1" applyFill="1" applyBorder="1" applyProtection="1"/>
    <xf numFmtId="168" fontId="11" fillId="5" borderId="0" xfId="0" applyNumberFormat="1" applyFont="1" applyFill="1" applyBorder="1" applyProtection="1"/>
    <xf numFmtId="168" fontId="11" fillId="5" borderId="8" xfId="0" applyNumberFormat="1" applyFont="1" applyFill="1" applyBorder="1" applyProtection="1"/>
    <xf numFmtId="0" fontId="59" fillId="6" borderId="14" xfId="0" applyNumberFormat="1" applyFont="1" applyFill="1" applyBorder="1" applyAlignment="1" applyProtection="1">
      <alignment horizontal="center"/>
    </xf>
    <xf numFmtId="0" fontId="58" fillId="5" borderId="0" xfId="0" applyFont="1" applyFill="1" applyBorder="1" applyAlignment="1" applyProtection="1"/>
    <xf numFmtId="0" fontId="17" fillId="5" borderId="0" xfId="0" applyFont="1" applyFill="1" applyBorder="1" applyAlignment="1" applyProtection="1"/>
    <xf numFmtId="0" fontId="66" fillId="4" borderId="16" xfId="0" applyFont="1" applyFill="1" applyBorder="1" applyProtection="1"/>
    <xf numFmtId="0" fontId="70" fillId="4" borderId="17" xfId="0" applyFont="1" applyFill="1" applyBorder="1" applyAlignment="1" applyProtection="1">
      <alignment horizontal="left"/>
    </xf>
    <xf numFmtId="0" fontId="70" fillId="4" borderId="17" xfId="0" applyFont="1" applyFill="1" applyBorder="1" applyProtection="1"/>
    <xf numFmtId="164" fontId="70" fillId="4" borderId="17" xfId="0" applyNumberFormat="1" applyFont="1" applyFill="1" applyBorder="1" applyAlignment="1" applyProtection="1">
      <alignment horizontal="center"/>
    </xf>
    <xf numFmtId="0" fontId="70" fillId="4" borderId="18" xfId="0" applyFont="1" applyFill="1" applyBorder="1" applyProtection="1"/>
    <xf numFmtId="0" fontId="49" fillId="4" borderId="14" xfId="0" applyFont="1" applyFill="1" applyBorder="1" applyAlignment="1" applyProtection="1"/>
    <xf numFmtId="0" fontId="48" fillId="4" borderId="14" xfId="0" applyFont="1" applyFill="1" applyBorder="1" applyAlignment="1" applyProtection="1"/>
    <xf numFmtId="0" fontId="48" fillId="4" borderId="14" xfId="0" applyNumberFormat="1" applyFont="1" applyFill="1" applyBorder="1" applyAlignment="1" applyProtection="1"/>
    <xf numFmtId="164" fontId="48" fillId="4" borderId="14" xfId="0" applyNumberFormat="1" applyFont="1" applyFill="1" applyBorder="1" applyAlignment="1" applyProtection="1"/>
    <xf numFmtId="2" fontId="18" fillId="9" borderId="14" xfId="0" applyNumberFormat="1" applyFont="1" applyFill="1" applyBorder="1" applyAlignment="1" applyProtection="1">
      <alignment horizontal="center"/>
    </xf>
    <xf numFmtId="9" fontId="18" fillId="9" borderId="14" xfId="0" applyNumberFormat="1" applyFont="1" applyFill="1" applyBorder="1" applyAlignment="1" applyProtection="1">
      <alignment horizontal="center"/>
    </xf>
    <xf numFmtId="0" fontId="48" fillId="4" borderId="14" xfId="0" applyFont="1" applyFill="1" applyBorder="1" applyProtection="1"/>
    <xf numFmtId="166" fontId="12" fillId="5" borderId="3" xfId="0" applyNumberFormat="1" applyFont="1" applyFill="1" applyBorder="1" applyProtection="1"/>
    <xf numFmtId="166" fontId="62" fillId="5" borderId="0" xfId="0" applyNumberFormat="1" applyFont="1" applyFill="1" applyBorder="1" applyProtection="1"/>
    <xf numFmtId="166" fontId="35" fillId="5" borderId="0" xfId="0" applyNumberFormat="1" applyFont="1" applyFill="1" applyBorder="1" applyProtection="1"/>
    <xf numFmtId="166" fontId="31" fillId="5" borderId="0" xfId="0" applyNumberFormat="1" applyFont="1" applyFill="1" applyBorder="1" applyProtection="1"/>
    <xf numFmtId="166" fontId="12" fillId="4" borderId="11" xfId="0" applyNumberFormat="1" applyFont="1" applyFill="1" applyBorder="1" applyProtection="1"/>
    <xf numFmtId="166" fontId="57" fillId="4" borderId="14" xfId="0" applyNumberFormat="1" applyFont="1" applyFill="1" applyBorder="1" applyAlignment="1" applyProtection="1">
      <alignment horizontal="center"/>
    </xf>
    <xf numFmtId="166" fontId="12" fillId="7" borderId="14" xfId="4" applyNumberFormat="1" applyFont="1" applyFill="1" applyBorder="1" applyAlignment="1" applyProtection="1">
      <alignment horizontal="left"/>
    </xf>
    <xf numFmtId="166" fontId="12" fillId="5" borderId="8" xfId="4" applyNumberFormat="1" applyFont="1" applyFill="1" applyBorder="1" applyAlignment="1" applyProtection="1">
      <alignment horizontal="left"/>
    </xf>
    <xf numFmtId="166" fontId="12" fillId="4" borderId="0" xfId="4" applyNumberFormat="1" applyFont="1" applyFill="1" applyBorder="1" applyAlignment="1" applyProtection="1">
      <alignment horizontal="left"/>
    </xf>
    <xf numFmtId="166" fontId="12" fillId="8" borderId="14" xfId="4" applyNumberFormat="1" applyFont="1" applyFill="1" applyBorder="1" applyAlignment="1" applyProtection="1">
      <alignment horizontal="left"/>
    </xf>
    <xf numFmtId="166" fontId="12" fillId="4" borderId="10" xfId="0" applyNumberFormat="1" applyFont="1" applyFill="1" applyBorder="1" applyProtection="1"/>
    <xf numFmtId="166" fontId="12" fillId="5" borderId="0" xfId="4" applyNumberFormat="1" applyFont="1" applyFill="1" applyBorder="1" applyAlignment="1" applyProtection="1">
      <alignment horizontal="left"/>
    </xf>
    <xf numFmtId="166" fontId="29" fillId="5" borderId="0" xfId="0" applyNumberFormat="1" applyFont="1" applyFill="1" applyBorder="1" applyProtection="1"/>
    <xf numFmtId="166" fontId="26" fillId="4" borderId="11" xfId="0" applyNumberFormat="1" applyFont="1" applyFill="1" applyBorder="1" applyProtection="1"/>
    <xf numFmtId="166" fontId="12" fillId="5" borderId="3" xfId="4" applyNumberFormat="1" applyFont="1" applyFill="1" applyBorder="1" applyAlignment="1" applyProtection="1">
      <alignment horizontal="left"/>
    </xf>
    <xf numFmtId="164" fontId="13" fillId="4" borderId="0" xfId="0" applyNumberFormat="1" applyFont="1" applyFill="1" applyBorder="1" applyProtection="1"/>
    <xf numFmtId="164" fontId="13" fillId="5" borderId="3" xfId="0" applyNumberFormat="1" applyFont="1" applyFill="1" applyBorder="1" applyProtection="1"/>
    <xf numFmtId="164" fontId="13" fillId="5" borderId="0" xfId="0" applyNumberFormat="1" applyFont="1" applyFill="1" applyBorder="1" applyProtection="1"/>
    <xf numFmtId="164" fontId="46" fillId="5" borderId="0" xfId="0" applyNumberFormat="1" applyFont="1" applyFill="1" applyBorder="1" applyProtection="1"/>
    <xf numFmtId="164" fontId="13" fillId="4" borderId="11" xfId="0" applyNumberFormat="1" applyFont="1" applyFill="1" applyBorder="1" applyProtection="1"/>
    <xf numFmtId="164" fontId="13" fillId="7" borderId="14" xfId="0" applyNumberFormat="1" applyFont="1" applyFill="1" applyBorder="1" applyAlignment="1" applyProtection="1">
      <alignment horizontal="center"/>
    </xf>
    <xf numFmtId="164" fontId="63" fillId="6" borderId="14" xfId="0" applyNumberFormat="1" applyFont="1" applyFill="1" applyBorder="1" applyProtection="1"/>
    <xf numFmtId="164" fontId="17" fillId="4" borderId="17" xfId="0" applyNumberFormat="1" applyFont="1" applyFill="1" applyBorder="1" applyProtection="1"/>
    <xf numFmtId="164" fontId="17" fillId="5" borderId="0" xfId="0" applyNumberFormat="1" applyFont="1" applyFill="1" applyBorder="1" applyProtection="1"/>
    <xf numFmtId="164" fontId="13" fillId="5" borderId="8" xfId="0" applyNumberFormat="1" applyFont="1" applyFill="1" applyBorder="1" applyAlignment="1" applyProtection="1">
      <alignment horizontal="center"/>
    </xf>
    <xf numFmtId="164" fontId="13" fillId="4" borderId="0" xfId="0" applyNumberFormat="1" applyFont="1" applyFill="1" applyBorder="1" applyAlignment="1" applyProtection="1">
      <alignment horizontal="center"/>
    </xf>
    <xf numFmtId="164" fontId="13" fillId="8" borderId="14" xfId="0" applyNumberFormat="1" applyFont="1" applyFill="1" applyBorder="1" applyAlignment="1" applyProtection="1">
      <alignment horizontal="center"/>
    </xf>
    <xf numFmtId="164" fontId="17" fillId="4" borderId="0" xfId="0" applyNumberFormat="1" applyFont="1" applyFill="1" applyBorder="1" applyProtection="1"/>
    <xf numFmtId="164" fontId="27" fillId="4" borderId="11" xfId="0" applyNumberFormat="1" applyFont="1" applyFill="1" applyBorder="1" applyProtection="1"/>
    <xf numFmtId="164" fontId="63" fillId="6" borderId="17" xfId="0" applyNumberFormat="1" applyFont="1" applyFill="1" applyBorder="1" applyProtection="1"/>
    <xf numFmtId="164" fontId="13" fillId="5" borderId="3" xfId="0" applyNumberFormat="1" applyFont="1" applyFill="1" applyBorder="1" applyAlignment="1" applyProtection="1">
      <alignment horizontal="center"/>
    </xf>
    <xf numFmtId="164" fontId="17" fillId="5" borderId="8" xfId="0" applyNumberFormat="1" applyFont="1" applyFill="1" applyBorder="1" applyProtection="1"/>
    <xf numFmtId="164" fontId="43" fillId="4" borderId="0" xfId="0" applyNumberFormat="1" applyFont="1" applyFill="1" applyBorder="1" applyAlignment="1" applyProtection="1">
      <alignment horizontal="right"/>
    </xf>
    <xf numFmtId="0" fontId="73" fillId="4" borderId="17" xfId="0" applyNumberFormat="1" applyFont="1" applyFill="1" applyBorder="1" applyAlignment="1" applyProtection="1">
      <alignment horizontal="center"/>
    </xf>
    <xf numFmtId="0" fontId="73" fillId="3" borderId="0" xfId="0" applyNumberFormat="1" applyFont="1" applyFill="1" applyBorder="1" applyAlignment="1" applyProtection="1">
      <alignment horizontal="center"/>
    </xf>
    <xf numFmtId="0" fontId="73" fillId="4" borderId="11" xfId="0" applyNumberFormat="1" applyFont="1" applyFill="1" applyBorder="1" applyAlignment="1" applyProtection="1">
      <alignment horizontal="center"/>
    </xf>
    <xf numFmtId="1" fontId="73" fillId="4" borderId="14" xfId="0" applyNumberFormat="1" applyFont="1" applyFill="1" applyBorder="1" applyAlignment="1" applyProtection="1">
      <alignment horizontal="center"/>
    </xf>
    <xf numFmtId="2" fontId="59" fillId="9" borderId="14" xfId="0" applyNumberFormat="1" applyFont="1" applyFill="1" applyBorder="1" applyAlignment="1" applyProtection="1">
      <alignment horizontal="center"/>
    </xf>
    <xf numFmtId="0" fontId="57" fillId="4" borderId="14" xfId="0" applyNumberFormat="1" applyFont="1" applyFill="1" applyBorder="1" applyAlignment="1" applyProtection="1">
      <alignment horizontal="center"/>
    </xf>
    <xf numFmtId="164" fontId="11" fillId="5" borderId="8" xfId="0" applyNumberFormat="1" applyFont="1" applyFill="1" applyBorder="1" applyProtection="1"/>
    <xf numFmtId="164" fontId="11" fillId="5" borderId="2" xfId="0" applyNumberFormat="1" applyFont="1" applyFill="1" applyBorder="1" applyProtection="1"/>
    <xf numFmtId="164" fontId="11" fillId="5" borderId="3" xfId="0" applyNumberFormat="1" applyFont="1" applyFill="1" applyBorder="1" applyAlignment="1" applyProtection="1"/>
    <xf numFmtId="164" fontId="11" fillId="5" borderId="4" xfId="0" applyNumberFormat="1" applyFont="1" applyFill="1" applyBorder="1" applyProtection="1"/>
    <xf numFmtId="164" fontId="11" fillId="5" borderId="7" xfId="0" applyNumberFormat="1" applyFont="1" applyFill="1" applyBorder="1" applyProtection="1"/>
    <xf numFmtId="164" fontId="11" fillId="5" borderId="8" xfId="0" applyNumberFormat="1" applyFont="1" applyFill="1" applyBorder="1" applyAlignment="1" applyProtection="1"/>
    <xf numFmtId="0" fontId="57" fillId="5" borderId="8" xfId="0" applyNumberFormat="1" applyFont="1" applyFill="1" applyBorder="1" applyAlignment="1" applyProtection="1">
      <alignment horizontal="center"/>
    </xf>
    <xf numFmtId="164" fontId="11" fillId="5" borderId="9" xfId="0" applyNumberFormat="1" applyFont="1" applyFill="1" applyBorder="1" applyProtection="1"/>
    <xf numFmtId="0" fontId="13" fillId="4" borderId="14" xfId="0" applyFont="1" applyFill="1" applyBorder="1" applyProtection="1">
      <protection locked="0"/>
    </xf>
    <xf numFmtId="175" fontId="11" fillId="5" borderId="14" xfId="3" applyNumberFormat="1" applyFont="1" applyFill="1" applyBorder="1" applyAlignment="1" applyProtection="1">
      <alignment horizontal="center"/>
      <protection locked="0"/>
    </xf>
    <xf numFmtId="9" fontId="18" fillId="9" borderId="14" xfId="3" applyFont="1" applyFill="1" applyBorder="1" applyAlignment="1" applyProtection="1">
      <alignment horizontal="center"/>
    </xf>
    <xf numFmtId="175" fontId="18" fillId="9" borderId="14" xfId="3" applyNumberFormat="1" applyFont="1" applyFill="1" applyBorder="1" applyAlignment="1" applyProtection="1">
      <alignment horizontal="center"/>
    </xf>
    <xf numFmtId="175" fontId="57" fillId="4" borderId="14" xfId="0" applyNumberFormat="1" applyFont="1" applyFill="1" applyBorder="1" applyAlignment="1" applyProtection="1">
      <alignment horizontal="center"/>
    </xf>
    <xf numFmtId="164" fontId="11" fillId="2" borderId="0" xfId="0" applyNumberFormat="1" applyFont="1" applyFill="1" applyBorder="1" applyAlignment="1" applyProtection="1">
      <alignment horizontal="left"/>
      <protection locked="0"/>
    </xf>
    <xf numFmtId="0" fontId="58" fillId="4" borderId="14" xfId="0" applyFont="1" applyFill="1" applyBorder="1" applyAlignment="1" applyProtection="1">
      <alignment horizontal="left"/>
    </xf>
    <xf numFmtId="0" fontId="92" fillId="4" borderId="0" xfId="0" applyFont="1" applyFill="1" applyProtection="1"/>
    <xf numFmtId="9" fontId="11" fillId="7" borderId="14" xfId="3" applyFont="1" applyFill="1" applyBorder="1" applyAlignment="1" applyProtection="1">
      <alignment horizontal="center"/>
    </xf>
    <xf numFmtId="0" fontId="56" fillId="4" borderId="0" xfId="0" applyNumberFormat="1" applyFont="1" applyFill="1" applyBorder="1" applyAlignment="1" applyProtection="1">
      <alignment horizontal="left"/>
    </xf>
    <xf numFmtId="0" fontId="56" fillId="4" borderId="0" xfId="0" applyFont="1" applyFill="1" applyBorder="1" applyAlignment="1" applyProtection="1">
      <alignment horizontal="left"/>
    </xf>
    <xf numFmtId="0" fontId="11" fillId="5" borderId="14" xfId="0" applyFont="1" applyFill="1" applyBorder="1" applyAlignment="1" applyProtection="1">
      <alignment horizontal="left" vertical="top" wrapText="1"/>
      <protection locked="0"/>
    </xf>
    <xf numFmtId="0" fontId="11" fillId="5" borderId="15" xfId="0" applyFont="1" applyFill="1" applyBorder="1" applyAlignment="1" applyProtection="1">
      <alignment horizontal="left" vertical="top" wrapText="1"/>
      <protection locked="0"/>
    </xf>
    <xf numFmtId="0" fontId="11" fillId="5" borderId="18" xfId="0" applyFont="1" applyFill="1" applyBorder="1" applyAlignment="1" applyProtection="1">
      <alignment horizontal="left" vertical="top" wrapText="1"/>
      <protection locked="0"/>
    </xf>
    <xf numFmtId="0" fontId="11" fillId="4" borderId="0" xfId="0" applyFont="1" applyFill="1" applyBorder="1" applyAlignment="1" applyProtection="1">
      <alignment horizontal="left" vertical="top" wrapText="1"/>
      <protection locked="0"/>
    </xf>
    <xf numFmtId="165" fontId="60" fillId="6" borderId="0" xfId="4" applyFont="1" applyFill="1" applyBorder="1" applyAlignment="1" applyProtection="1">
      <alignment horizontal="left" vertical="top" wrapText="1"/>
      <protection locked="0"/>
    </xf>
    <xf numFmtId="0" fontId="39" fillId="0" borderId="0" xfId="0" applyFont="1" applyFill="1" applyAlignment="1" applyProtection="1">
      <alignment horizontal="left"/>
    </xf>
    <xf numFmtId="4" fontId="66" fillId="4" borderId="0" xfId="0" applyNumberFormat="1" applyFont="1" applyFill="1" applyBorder="1" applyProtection="1"/>
    <xf numFmtId="4" fontId="67" fillId="4" borderId="0" xfId="0" applyNumberFormat="1" applyFont="1" applyFill="1" applyBorder="1" applyProtection="1"/>
    <xf numFmtId="0" fontId="67" fillId="4" borderId="0" xfId="0" applyFont="1" applyFill="1" applyBorder="1" applyProtection="1"/>
    <xf numFmtId="0" fontId="58" fillId="4" borderId="14" xfId="0" applyFont="1" applyFill="1" applyBorder="1" applyAlignment="1" applyProtection="1">
      <alignment horizontal="left"/>
    </xf>
    <xf numFmtId="0" fontId="49" fillId="0" borderId="0" xfId="0" applyFont="1" applyFill="1" applyAlignment="1" applyProtection="1">
      <alignment horizontal="left"/>
    </xf>
    <xf numFmtId="166" fontId="11" fillId="0" borderId="0" xfId="0" applyNumberFormat="1" applyFont="1" applyFill="1" applyBorder="1" applyAlignment="1" applyProtection="1">
      <alignment horizontal="left"/>
      <protection locked="0"/>
    </xf>
    <xf numFmtId="0" fontId="11" fillId="4" borderId="0" xfId="0" applyFont="1" applyFill="1" applyBorder="1" applyProtection="1">
      <protection locked="0"/>
    </xf>
    <xf numFmtId="0" fontId="11" fillId="4" borderId="0" xfId="0" applyFont="1" applyFill="1" applyBorder="1" applyAlignment="1" applyProtection="1">
      <alignment horizontal="right"/>
      <protection locked="0"/>
    </xf>
    <xf numFmtId="0" fontId="14" fillId="0" borderId="0" xfId="0" applyFont="1" applyFill="1"/>
    <xf numFmtId="0" fontId="15" fillId="0" borderId="0" xfId="0" applyFont="1" applyFill="1" applyAlignment="1">
      <alignment horizontal="center"/>
    </xf>
    <xf numFmtId="0" fontId="11" fillId="0" borderId="0" xfId="0" applyFont="1" applyFill="1"/>
    <xf numFmtId="0" fontId="13" fillId="0" borderId="0" xfId="0" applyFont="1" applyFill="1"/>
    <xf numFmtId="0" fontId="11" fillId="0" borderId="0" xfId="0" applyFont="1" applyFill="1" applyAlignment="1"/>
    <xf numFmtId="0" fontId="17" fillId="0" borderId="0" xfId="0" applyFont="1" applyFill="1"/>
    <xf numFmtId="0" fontId="12" fillId="0" borderId="0" xfId="0" applyFont="1" applyFill="1"/>
    <xf numFmtId="172" fontId="53" fillId="2" borderId="0" xfId="0" applyNumberFormat="1" applyFont="1" applyFill="1" applyBorder="1" applyAlignment="1" applyProtection="1">
      <alignment horizontal="left"/>
      <protection locked="0"/>
    </xf>
    <xf numFmtId="0" fontId="58" fillId="0" borderId="0" xfId="0" applyFont="1" applyFill="1" applyBorder="1" applyAlignment="1" applyProtection="1">
      <alignment horizontal="left"/>
    </xf>
    <xf numFmtId="1" fontId="11" fillId="7" borderId="14" xfId="0" applyNumberFormat="1" applyFont="1" applyFill="1" applyBorder="1" applyAlignment="1" applyProtection="1">
      <alignment horizontal="center"/>
      <protection locked="0"/>
    </xf>
    <xf numFmtId="165" fontId="52" fillId="10" borderId="0" xfId="0" applyNumberFormat="1" applyFont="1" applyFill="1" applyAlignment="1" applyProtection="1">
      <alignment horizontal="left"/>
      <protection locked="0"/>
    </xf>
    <xf numFmtId="165" fontId="54" fillId="0" borderId="0" xfId="0" applyNumberFormat="1" applyFont="1" applyFill="1" applyBorder="1" applyAlignment="1" applyProtection="1">
      <alignment horizontal="left"/>
    </xf>
    <xf numFmtId="0" fontId="54" fillId="0" borderId="0" xfId="0" applyFont="1" applyFill="1" applyAlignment="1" applyProtection="1">
      <alignment horizontal="left"/>
    </xf>
    <xf numFmtId="173" fontId="54" fillId="0" borderId="0" xfId="0" applyNumberFormat="1" applyFont="1" applyFill="1" applyBorder="1" applyAlignment="1" applyProtection="1">
      <alignment horizontal="left"/>
    </xf>
    <xf numFmtId="165" fontId="11" fillId="4" borderId="0" xfId="4" applyFont="1" applyFill="1" applyBorder="1" applyProtection="1"/>
    <xf numFmtId="165" fontId="11" fillId="5" borderId="3" xfId="4" applyFont="1" applyFill="1" applyBorder="1" applyProtection="1"/>
    <xf numFmtId="165" fontId="11" fillId="5" borderId="0" xfId="4" applyFont="1" applyFill="1" applyBorder="1" applyProtection="1"/>
    <xf numFmtId="165" fontId="54" fillId="5" borderId="0" xfId="4" applyFont="1" applyFill="1" applyBorder="1" applyProtection="1"/>
    <xf numFmtId="165" fontId="11" fillId="4" borderId="11" xfId="4" applyFont="1" applyFill="1" applyBorder="1" applyProtection="1"/>
    <xf numFmtId="165" fontId="56" fillId="4" borderId="0" xfId="4" applyFont="1" applyFill="1" applyBorder="1" applyAlignment="1" applyProtection="1">
      <alignment horizontal="center"/>
    </xf>
    <xf numFmtId="165" fontId="11" fillId="4" borderId="0" xfId="4" applyFont="1" applyFill="1" applyBorder="1" applyAlignment="1" applyProtection="1">
      <alignment horizontal="right"/>
    </xf>
    <xf numFmtId="165" fontId="11" fillId="5" borderId="0" xfId="4" applyFont="1" applyFill="1" applyBorder="1" applyAlignment="1" applyProtection="1">
      <alignment horizontal="right"/>
    </xf>
    <xf numFmtId="165" fontId="12" fillId="5" borderId="0" xfId="4" applyFont="1" applyFill="1" applyBorder="1" applyAlignment="1" applyProtection="1">
      <alignment horizontal="left"/>
    </xf>
    <xf numFmtId="165" fontId="12" fillId="5" borderId="8" xfId="4" applyFont="1" applyFill="1" applyBorder="1" applyProtection="1"/>
    <xf numFmtId="165" fontId="12" fillId="4" borderId="0" xfId="4" applyFont="1" applyFill="1" applyBorder="1" applyProtection="1"/>
    <xf numFmtId="166" fontId="54" fillId="5" borderId="0" xfId="4" applyNumberFormat="1" applyFont="1" applyFill="1" applyBorder="1" applyProtection="1"/>
    <xf numFmtId="166" fontId="56" fillId="4" borderId="0" xfId="4" applyNumberFormat="1" applyFont="1" applyFill="1" applyBorder="1" applyAlignment="1" applyProtection="1">
      <alignment horizontal="center"/>
    </xf>
    <xf numFmtId="166" fontId="11" fillId="5" borderId="14" xfId="4" applyNumberFormat="1" applyFont="1" applyFill="1" applyBorder="1" applyAlignment="1" applyProtection="1">
      <alignment horizontal="left" vertical="top" wrapText="1"/>
      <protection locked="0"/>
    </xf>
    <xf numFmtId="166" fontId="60" fillId="6" borderId="0" xfId="4" applyNumberFormat="1" applyFont="1" applyFill="1" applyBorder="1" applyAlignment="1" applyProtection="1">
      <alignment horizontal="left" vertical="top" wrapText="1"/>
      <protection locked="0"/>
    </xf>
    <xf numFmtId="166" fontId="11" fillId="4" borderId="0" xfId="4" applyNumberFormat="1" applyFont="1" applyFill="1" applyBorder="1" applyAlignment="1" applyProtection="1">
      <alignment horizontal="right"/>
    </xf>
    <xf numFmtId="166" fontId="11" fillId="5" borderId="0" xfId="4" applyNumberFormat="1" applyFont="1" applyFill="1" applyBorder="1" applyAlignment="1" applyProtection="1">
      <alignment horizontal="right"/>
    </xf>
    <xf numFmtId="166" fontId="12" fillId="5" borderId="8" xfId="4" applyNumberFormat="1" applyFont="1" applyFill="1" applyBorder="1" applyProtection="1"/>
    <xf numFmtId="166" fontId="12" fillId="4" borderId="0" xfId="4" applyNumberFormat="1" applyFont="1" applyFill="1" applyBorder="1" applyProtection="1"/>
    <xf numFmtId="166" fontId="57" fillId="4" borderId="0" xfId="4" applyNumberFormat="1" applyFont="1" applyFill="1" applyBorder="1" applyAlignment="1" applyProtection="1">
      <alignment horizontal="left"/>
    </xf>
    <xf numFmtId="0" fontId="57" fillId="4" borderId="0" xfId="0" applyFont="1" applyFill="1" applyBorder="1" applyAlignment="1" applyProtection="1">
      <alignment horizontal="left"/>
    </xf>
    <xf numFmtId="165" fontId="13" fillId="4" borderId="12" xfId="4" applyNumberFormat="1" applyFont="1" applyFill="1" applyBorder="1" applyAlignment="1" applyProtection="1">
      <alignment horizontal="center"/>
    </xf>
    <xf numFmtId="166" fontId="11" fillId="7" borderId="14" xfId="4" applyNumberFormat="1" applyFont="1" applyFill="1" applyBorder="1" applyAlignment="1" applyProtection="1">
      <alignment horizontal="left" vertical="top" wrapText="1"/>
      <protection locked="0"/>
    </xf>
    <xf numFmtId="165" fontId="57" fillId="4" borderId="0" xfId="4" applyFont="1" applyFill="1" applyBorder="1" applyAlignment="1" applyProtection="1">
      <alignment horizontal="left"/>
    </xf>
    <xf numFmtId="165" fontId="17" fillId="4" borderId="12" xfId="4" applyNumberFormat="1" applyFont="1" applyFill="1" applyBorder="1" applyAlignment="1" applyProtection="1">
      <alignment horizontal="left"/>
    </xf>
    <xf numFmtId="165" fontId="11" fillId="4" borderId="0" xfId="4" applyFont="1" applyFill="1" applyBorder="1" applyAlignment="1" applyProtection="1">
      <alignment horizontal="left"/>
    </xf>
    <xf numFmtId="49" fontId="66" fillId="4" borderId="0" xfId="0" applyNumberFormat="1" applyFont="1" applyFill="1" applyBorder="1" applyAlignment="1" applyProtection="1">
      <alignment horizontal="left"/>
    </xf>
    <xf numFmtId="0" fontId="66" fillId="4" borderId="0" xfId="0" applyFont="1" applyFill="1" applyAlignment="1" applyProtection="1">
      <alignment horizontal="left"/>
    </xf>
    <xf numFmtId="0" fontId="11" fillId="5" borderId="15" xfId="0" applyFont="1" applyFill="1" applyBorder="1" applyProtection="1"/>
    <xf numFmtId="0" fontId="11" fillId="5" borderId="18" xfId="0" applyFont="1" applyFill="1" applyBorder="1" applyProtection="1"/>
    <xf numFmtId="166" fontId="12" fillId="8" borderId="15" xfId="4" applyNumberFormat="1" applyFont="1" applyFill="1" applyBorder="1" applyAlignment="1" applyProtection="1">
      <alignment horizontal="left" vertical="top" wrapText="1"/>
      <protection locked="0"/>
    </xf>
    <xf numFmtId="166" fontId="59" fillId="6" borderId="15" xfId="4" applyNumberFormat="1" applyFont="1" applyFill="1" applyBorder="1" applyAlignment="1" applyProtection="1">
      <alignment horizontal="left" vertical="top" wrapText="1"/>
      <protection locked="0"/>
    </xf>
    <xf numFmtId="0" fontId="57" fillId="4" borderId="0" xfId="0" applyFont="1" applyFill="1" applyBorder="1" applyProtection="1"/>
    <xf numFmtId="0" fontId="47" fillId="0" borderId="0" xfId="0" applyFont="1" applyFill="1" applyAlignment="1" applyProtection="1">
      <alignment horizontal="right"/>
    </xf>
    <xf numFmtId="165" fontId="52" fillId="0" borderId="0" xfId="0" applyNumberFormat="1" applyFont="1" applyFill="1" applyBorder="1" applyAlignment="1" applyProtection="1">
      <alignment horizontal="right"/>
    </xf>
    <xf numFmtId="181" fontId="52" fillId="0" borderId="0" xfId="3" applyNumberFormat="1" applyFont="1" applyFill="1" applyAlignment="1" applyProtection="1">
      <alignment horizontal="right"/>
    </xf>
    <xf numFmtId="44" fontId="52" fillId="0" borderId="0" xfId="0" applyNumberFormat="1" applyFont="1" applyFill="1" applyAlignment="1" applyProtection="1">
      <alignment horizontal="left"/>
    </xf>
    <xf numFmtId="44" fontId="52" fillId="0" borderId="0" xfId="0" applyNumberFormat="1" applyFont="1" applyFill="1" applyBorder="1" applyAlignment="1" applyProtection="1">
      <alignment horizontal="left"/>
    </xf>
    <xf numFmtId="165" fontId="50" fillId="10" borderId="0" xfId="4" applyFont="1" applyFill="1" applyBorder="1" applyAlignment="1" applyProtection="1">
      <alignment horizontal="center"/>
    </xf>
    <xf numFmtId="165" fontId="11" fillId="0" borderId="0" xfId="4" applyFont="1" applyFill="1" applyBorder="1" applyAlignment="1" applyProtection="1">
      <alignment horizontal="left"/>
    </xf>
    <xf numFmtId="0" fontId="73" fillId="0" borderId="0" xfId="0" applyFont="1" applyFill="1" applyAlignment="1" applyProtection="1">
      <alignment horizontal="right"/>
    </xf>
    <xf numFmtId="0" fontId="73" fillId="0" borderId="0" xfId="0" applyFont="1" applyFill="1" applyAlignment="1" applyProtection="1">
      <alignment horizontal="left"/>
    </xf>
    <xf numFmtId="44" fontId="73" fillId="0" borderId="0" xfId="0" applyNumberFormat="1" applyFont="1" applyFill="1" applyAlignment="1" applyProtection="1">
      <alignment horizontal="left"/>
    </xf>
    <xf numFmtId="180" fontId="73" fillId="0" borderId="0" xfId="3" applyNumberFormat="1" applyFont="1" applyFill="1" applyAlignment="1" applyProtection="1">
      <alignment horizontal="right"/>
    </xf>
    <xf numFmtId="44" fontId="73" fillId="0" borderId="0" xfId="3" applyNumberFormat="1" applyFont="1" applyFill="1" applyAlignment="1" applyProtection="1">
      <alignment horizontal="right"/>
    </xf>
    <xf numFmtId="0" fontId="73" fillId="0" borderId="0" xfId="0" applyFont="1" applyFill="1" applyBorder="1" applyAlignment="1" applyProtection="1">
      <alignment horizontal="left"/>
    </xf>
    <xf numFmtId="44" fontId="73" fillId="0" borderId="0" xfId="0" applyNumberFormat="1" applyFont="1" applyFill="1" applyBorder="1" applyAlignment="1" applyProtection="1">
      <alignment horizontal="left"/>
    </xf>
    <xf numFmtId="164" fontId="11" fillId="5" borderId="14" xfId="0" applyNumberFormat="1" applyFont="1" applyFill="1" applyBorder="1" applyAlignment="1" applyProtection="1">
      <alignment horizontal="left"/>
    </xf>
    <xf numFmtId="164" fontId="11" fillId="5" borderId="14" xfId="4" applyNumberFormat="1" applyFont="1" applyFill="1" applyBorder="1" applyAlignment="1" applyProtection="1">
      <alignment horizontal="left"/>
    </xf>
    <xf numFmtId="0" fontId="11" fillId="0" borderId="14" xfId="0" applyFont="1" applyFill="1" applyBorder="1" applyProtection="1"/>
    <xf numFmtId="164" fontId="11" fillId="4" borderId="14" xfId="0" applyNumberFormat="1" applyFont="1" applyFill="1" applyBorder="1" applyAlignment="1" applyProtection="1">
      <alignment horizontal="center"/>
      <protection locked="0"/>
    </xf>
    <xf numFmtId="166" fontId="11" fillId="4" borderId="14" xfId="4" applyNumberFormat="1" applyFont="1" applyFill="1" applyBorder="1" applyAlignment="1" applyProtection="1">
      <alignment horizontal="left"/>
      <protection locked="0"/>
    </xf>
    <xf numFmtId="3" fontId="93" fillId="2" borderId="0" xfId="0" applyNumberFormat="1" applyFont="1" applyFill="1" applyBorder="1" applyAlignment="1" applyProtection="1">
      <alignment horizontal="left"/>
      <protection locked="0"/>
    </xf>
    <xf numFmtId="0" fontId="12" fillId="0" borderId="1" xfId="0" quotePrefix="1" applyFont="1" applyFill="1" applyBorder="1" applyAlignment="1">
      <alignment horizontal="center"/>
    </xf>
    <xf numFmtId="0" fontId="11" fillId="0" borderId="0" xfId="0" applyNumberFormat="1" applyFont="1" applyFill="1"/>
    <xf numFmtId="0" fontId="13" fillId="0" borderId="0" xfId="0" applyFont="1" applyFill="1" applyAlignment="1"/>
    <xf numFmtId="0" fontId="12" fillId="0" borderId="0" xfId="0" applyFont="1" applyFill="1" applyAlignment="1"/>
    <xf numFmtId="0" fontId="94" fillId="0" borderId="0" xfId="2" applyFont="1" applyFill="1" applyAlignment="1" applyProtection="1"/>
    <xf numFmtId="182" fontId="95" fillId="0" borderId="0" xfId="0" applyNumberFormat="1" applyFont="1" applyFill="1"/>
    <xf numFmtId="44" fontId="11" fillId="0" borderId="0" xfId="0" applyNumberFormat="1" applyFont="1" applyFill="1" applyAlignment="1" applyProtection="1">
      <alignment horizontal="left"/>
    </xf>
    <xf numFmtId="42" fontId="11" fillId="5" borderId="14" xfId="0" applyNumberFormat="1" applyFont="1" applyFill="1" applyBorder="1" applyAlignment="1" applyProtection="1">
      <alignment horizontal="center"/>
      <protection locked="0"/>
    </xf>
    <xf numFmtId="42" fontId="11" fillId="7" borderId="14" xfId="0" applyNumberFormat="1" applyFont="1" applyFill="1" applyBorder="1" applyAlignment="1" applyProtection="1">
      <alignment horizontal="center"/>
    </xf>
    <xf numFmtId="0" fontId="11" fillId="5" borderId="0" xfId="0" applyFont="1" applyFill="1"/>
    <xf numFmtId="15" fontId="56" fillId="0" borderId="0" xfId="0" applyNumberFormat="1" applyFont="1" applyFill="1" applyBorder="1" applyAlignment="1" applyProtection="1">
      <alignment horizontal="left"/>
    </xf>
    <xf numFmtId="0" fontId="11" fillId="0" borderId="14" xfId="0" applyFont="1" applyFill="1" applyBorder="1" applyAlignment="1" applyProtection="1">
      <alignment horizontal="center"/>
    </xf>
    <xf numFmtId="165" fontId="50" fillId="10" borderId="0" xfId="4" applyFont="1" applyFill="1" applyBorder="1" applyAlignment="1" applyProtection="1">
      <alignment horizontal="center"/>
      <protection locked="0"/>
    </xf>
    <xf numFmtId="0" fontId="58" fillId="4" borderId="14" xfId="0" applyFont="1" applyFill="1" applyBorder="1" applyAlignment="1" applyProtection="1">
      <alignment horizontal="left"/>
    </xf>
    <xf numFmtId="0" fontId="54" fillId="4" borderId="14" xfId="0" applyFont="1" applyFill="1" applyBorder="1" applyAlignment="1" applyProtection="1">
      <alignment horizontal="left"/>
    </xf>
    <xf numFmtId="0" fontId="79" fillId="4" borderId="14" xfId="0" applyFont="1" applyFill="1" applyBorder="1" applyAlignment="1" applyProtection="1">
      <alignment horizontal="left"/>
    </xf>
    <xf numFmtId="0" fontId="58" fillId="4" borderId="15" xfId="0" applyFont="1" applyFill="1" applyBorder="1" applyAlignment="1" applyProtection="1">
      <alignment horizontal="left"/>
    </xf>
    <xf numFmtId="0" fontId="58" fillId="4" borderId="20" xfId="0" applyFont="1" applyFill="1" applyBorder="1" applyAlignment="1" applyProtection="1">
      <alignment horizontal="left"/>
    </xf>
    <xf numFmtId="0" fontId="58" fillId="4" borderId="13" xfId="0" applyFont="1" applyFill="1" applyBorder="1" applyAlignment="1" applyProtection="1">
      <alignment horizontal="left"/>
    </xf>
    <xf numFmtId="0" fontId="13" fillId="5" borderId="0" xfId="0" applyFont="1" applyFill="1" applyBorder="1" applyAlignment="1" applyProtection="1">
      <alignment horizontal="right"/>
    </xf>
  </cellXfs>
  <cellStyles count="5">
    <cellStyle name="Euro" xfId="1"/>
    <cellStyle name="Hyperlink" xfId="2" builtinId="8"/>
    <cellStyle name="Procent" xfId="3" builtinId="5"/>
    <cellStyle name="Standaard" xfId="0" builtinId="0"/>
    <cellStyle name="Valuta" xfId="4" builtinId="4"/>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Liquide Middelen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2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dLbls>
          <c:cat>
            <c:numRef>
              <c:f>begr!$H$8:$K$8</c:f>
              <c:numCache>
                <c:formatCode>Standaard</c:formatCode>
                <c:ptCount val="4"/>
                <c:pt idx="0">
                  <c:v>2014</c:v>
                </c:pt>
                <c:pt idx="1">
                  <c:v>2015</c:v>
                </c:pt>
                <c:pt idx="2">
                  <c:v>2016</c:v>
                </c:pt>
                <c:pt idx="3">
                  <c:v>2017</c:v>
                </c:pt>
              </c:numCache>
            </c:numRef>
          </c:cat>
          <c:val>
            <c:numRef>
              <c:f>bal!$G$22:$J$22</c:f>
              <c:numCache>
                <c:formatCode>_-"€"\ * #.##0_-;_-"€"\ * #.##0\-;_-"€"\ * "-"_-;_-@_-</c:formatCode>
                <c:ptCount val="4"/>
                <c:pt idx="0">
                  <c:v>806766.60333333339</c:v>
                </c:pt>
                <c:pt idx="1">
                  <c:v>1560042.08</c:v>
                </c:pt>
                <c:pt idx="2">
                  <c:v>2321596.1566666667</c:v>
                </c:pt>
                <c:pt idx="3">
                  <c:v>3091428.8333333335</c:v>
                </c:pt>
              </c:numCache>
            </c:numRef>
          </c:val>
        </c:ser>
        <c:dLbls>
          <c:showLegendKey val="0"/>
          <c:showVal val="1"/>
          <c:showCatName val="0"/>
          <c:showSerName val="0"/>
          <c:showPercent val="0"/>
          <c:showBubbleSize val="0"/>
        </c:dLbls>
        <c:gapWidth val="150"/>
        <c:axId val="212257408"/>
        <c:axId val="161297920"/>
      </c:barChart>
      <c:catAx>
        <c:axId val="212257408"/>
        <c:scaling>
          <c:orientation val="minMax"/>
        </c:scaling>
        <c:delete val="0"/>
        <c:axPos val="b"/>
        <c:numFmt formatCode="Standaard"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61297920"/>
        <c:crosses val="autoZero"/>
        <c:auto val="1"/>
        <c:lblAlgn val="ctr"/>
        <c:lblOffset val="100"/>
        <c:tickLblSkip val="1"/>
        <c:tickMarkSkip val="1"/>
        <c:noMultiLvlLbl val="0"/>
      </c:catAx>
      <c:valAx>
        <c:axId val="161297920"/>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1225740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921" r="0.75000000000000921"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Weerstandsvermogen</a:t>
            </a:r>
          </a:p>
        </c:rich>
      </c:tx>
      <c:layout>
        <c:manualLayout>
          <c:xMode val="edge"/>
          <c:yMode val="edge"/>
          <c:x val="0.33193277310925201"/>
          <c:y val="3.5502958579881658E-2"/>
        </c:manualLayout>
      </c:layout>
      <c:overlay val="0"/>
      <c:spPr>
        <a:noFill/>
        <a:ln w="25400">
          <a:noFill/>
        </a:ln>
      </c:spPr>
    </c:title>
    <c:autoTitleDeleted val="0"/>
    <c:plotArea>
      <c:layout>
        <c:manualLayout>
          <c:layoutTarget val="inner"/>
          <c:xMode val="edge"/>
          <c:yMode val="edge"/>
          <c:x val="7.1428571428571425E-2"/>
          <c:y val="0.24852071005917159"/>
          <c:w val="0.89705882352941801"/>
          <c:h val="0.48816568047337278"/>
        </c:manualLayout>
      </c:layout>
      <c:barChart>
        <c:barDir val="col"/>
        <c:grouping val="clustered"/>
        <c:varyColors val="0"/>
        <c:ser>
          <c:idx val="0"/>
          <c:order val="0"/>
          <c:spPr>
            <a:solidFill>
              <a:srgbClr val="FF99CC"/>
            </a:solidFill>
            <a:ln w="12700">
              <a:solidFill>
                <a:srgbClr val="000000"/>
              </a:solidFill>
              <a:prstDash val="solid"/>
            </a:ln>
          </c:spPr>
          <c:invertIfNegative val="0"/>
          <c:dLbls>
            <c:spPr>
              <a:noFill/>
              <a:ln w="25400">
                <a:noFill/>
              </a:ln>
            </c:spPr>
            <c:txPr>
              <a:bodyPr/>
              <a:lstStyle/>
              <a:p>
                <a:pPr>
                  <a:defRPr sz="10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dLbls>
          <c:cat>
            <c:numRef>
              <c:f>begr!$H$8:$K$8</c:f>
              <c:numCache>
                <c:formatCode>Standaard</c:formatCode>
                <c:ptCount val="4"/>
                <c:pt idx="0">
                  <c:v>2014</c:v>
                </c:pt>
                <c:pt idx="1">
                  <c:v>2015</c:v>
                </c:pt>
                <c:pt idx="2">
                  <c:v>2016</c:v>
                </c:pt>
                <c:pt idx="3">
                  <c:v>2017</c:v>
                </c:pt>
              </c:numCache>
            </c:numRef>
          </c:cat>
          <c:val>
            <c:numRef>
              <c:f>ken!$F$135:$I$135</c:f>
              <c:numCache>
                <c:formatCode>0%</c:formatCode>
                <c:ptCount val="4"/>
                <c:pt idx="0">
                  <c:v>0.81373340356753421</c:v>
                </c:pt>
                <c:pt idx="1">
                  <c:v>1.6632512321125177</c:v>
                </c:pt>
                <c:pt idx="2">
                  <c:v>2.4535325466872986</c:v>
                </c:pt>
                <c:pt idx="3">
                  <c:v>3.2387785308401749</c:v>
                </c:pt>
              </c:numCache>
            </c:numRef>
          </c:val>
        </c:ser>
        <c:dLbls>
          <c:showLegendKey val="0"/>
          <c:showVal val="1"/>
          <c:showCatName val="0"/>
          <c:showSerName val="0"/>
          <c:showPercent val="0"/>
          <c:showBubbleSize val="0"/>
        </c:dLbls>
        <c:gapWidth val="150"/>
        <c:axId val="232274560"/>
        <c:axId val="232289792"/>
      </c:barChart>
      <c:catAx>
        <c:axId val="232274560"/>
        <c:scaling>
          <c:orientation val="minMax"/>
        </c:scaling>
        <c:delete val="0"/>
        <c:axPos val="b"/>
        <c:numFmt formatCode="Standaard"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232289792"/>
        <c:crosses val="autoZero"/>
        <c:auto val="1"/>
        <c:lblAlgn val="ctr"/>
        <c:lblOffset val="100"/>
        <c:tickLblSkip val="1"/>
        <c:tickMarkSkip val="1"/>
        <c:noMultiLvlLbl val="0"/>
      </c:catAx>
      <c:valAx>
        <c:axId val="23228979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23227456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921" r="0.7500000000000092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Resultaat </a:t>
            </a:r>
          </a:p>
        </c:rich>
      </c:tx>
      <c:layout>
        <c:manualLayout>
          <c:xMode val="edge"/>
          <c:yMode val="edge"/>
          <c:x val="0.42647058823529904"/>
          <c:y val="3.5502958579881658E-2"/>
        </c:manualLayout>
      </c:layout>
      <c:overlay val="0"/>
      <c:spPr>
        <a:noFill/>
        <a:ln w="25400">
          <a:noFill/>
        </a:ln>
      </c:spPr>
    </c:title>
    <c:autoTitleDeleted val="0"/>
    <c:plotArea>
      <c:layout>
        <c:manualLayout>
          <c:layoutTarget val="inner"/>
          <c:xMode val="edge"/>
          <c:yMode val="edge"/>
          <c:x val="0.15546218487395219"/>
          <c:y val="0.24852071005917159"/>
          <c:w val="0.81512605042016861"/>
          <c:h val="0.48816568047337278"/>
        </c:manualLayout>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dLbls>
          <c:cat>
            <c:numRef>
              <c:f>begr!$H$8:$K$8</c:f>
              <c:numCache>
                <c:formatCode>Standaard</c:formatCode>
                <c:ptCount val="4"/>
                <c:pt idx="0">
                  <c:v>2014</c:v>
                </c:pt>
                <c:pt idx="1">
                  <c:v>2015</c:v>
                </c:pt>
                <c:pt idx="2">
                  <c:v>2016</c:v>
                </c:pt>
                <c:pt idx="3">
                  <c:v>2017</c:v>
                </c:pt>
              </c:numCache>
            </c:numRef>
          </c:cat>
          <c:val>
            <c:numRef>
              <c:f>begr!$H$42:$K$42</c:f>
              <c:numCache>
                <c:formatCode>_-"€"\ * #.##0_-;_-"€"\ * #.##0\-;_-"€"\ * "-"_-;_-@_-</c:formatCode>
                <c:ptCount val="4"/>
                <c:pt idx="0">
                  <c:v>796766.60333333339</c:v>
                </c:pt>
                <c:pt idx="1">
                  <c:v>743275.47666666668</c:v>
                </c:pt>
                <c:pt idx="2">
                  <c:v>751554.07666666678</c:v>
                </c:pt>
                <c:pt idx="3">
                  <c:v>759832.67666666664</c:v>
                </c:pt>
              </c:numCache>
            </c:numRef>
          </c:val>
        </c:ser>
        <c:dLbls>
          <c:showLegendKey val="0"/>
          <c:showVal val="1"/>
          <c:showCatName val="0"/>
          <c:showSerName val="0"/>
          <c:showPercent val="0"/>
          <c:showBubbleSize val="0"/>
        </c:dLbls>
        <c:gapWidth val="150"/>
        <c:axId val="239927680"/>
        <c:axId val="239930368"/>
      </c:barChart>
      <c:catAx>
        <c:axId val="239927680"/>
        <c:scaling>
          <c:orientation val="minMax"/>
        </c:scaling>
        <c:delete val="0"/>
        <c:axPos val="b"/>
        <c:numFmt formatCode="Standaard"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239930368"/>
        <c:crosses val="autoZero"/>
        <c:auto val="1"/>
        <c:lblAlgn val="ctr"/>
        <c:lblOffset val="100"/>
        <c:tickLblSkip val="1"/>
        <c:tickMarkSkip val="1"/>
        <c:noMultiLvlLbl val="0"/>
      </c:catAx>
      <c:valAx>
        <c:axId val="239930368"/>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23992768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nl-NL"/>
    </a:p>
  </c:txPr>
  <c:printSettings>
    <c:headerFooter alignWithMargins="0"/>
    <c:pageMargins b="1" l="0.75000000000000921" r="0.7500000000000092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nl-NL"/>
              <a:t>Leerlingenverloop</a:t>
            </a:r>
          </a:p>
        </c:rich>
      </c:tx>
      <c:layout>
        <c:manualLayout>
          <c:xMode val="edge"/>
          <c:yMode val="edge"/>
          <c:x val="0.35714285714286204"/>
          <c:y val="3.5294117647058851E-2"/>
        </c:manualLayout>
      </c:layout>
      <c:overlay val="0"/>
      <c:spPr>
        <a:noFill/>
        <a:ln w="25400">
          <a:noFill/>
        </a:ln>
      </c:spPr>
    </c:title>
    <c:autoTitleDeleted val="0"/>
    <c:plotArea>
      <c:layout>
        <c:manualLayout>
          <c:layoutTarget val="inner"/>
          <c:xMode val="edge"/>
          <c:yMode val="edge"/>
          <c:x val="8.789868733423066E-2"/>
          <c:y val="0.25486398424483453"/>
          <c:w val="0.86015144034212065"/>
          <c:h val="0.56130758434873129"/>
        </c:manualLayout>
      </c:layout>
      <c:barChart>
        <c:barDir val="col"/>
        <c:grouping val="clustered"/>
        <c:varyColors val="0"/>
        <c:ser>
          <c:idx val="0"/>
          <c:order val="0"/>
          <c:spPr>
            <a:solidFill>
              <a:srgbClr val="99CC00"/>
            </a:solidFill>
            <a:ln w="12700">
              <a:solidFill>
                <a:srgbClr val="000000"/>
              </a:solidFill>
              <a:prstDash val="solid"/>
            </a:ln>
          </c:spPr>
          <c:invertIfNegative val="0"/>
          <c:dLbls>
            <c:spPr>
              <a:noFill/>
              <a:ln w="25400">
                <a:noFill/>
              </a:ln>
            </c:spPr>
            <c:txPr>
              <a:bodyPr/>
              <a:lstStyle/>
              <a:p>
                <a:pPr>
                  <a:defRPr sz="10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dLbls>
          <c:cat>
            <c:strRef>
              <c:f>geg!$G$19:$K$19</c:f>
              <c:strCache>
                <c:ptCount val="5"/>
                <c:pt idx="0">
                  <c:v>2013/14</c:v>
                </c:pt>
                <c:pt idx="1">
                  <c:v>2014/15</c:v>
                </c:pt>
                <c:pt idx="2">
                  <c:v>2015/16</c:v>
                </c:pt>
                <c:pt idx="3">
                  <c:v>2016/17</c:v>
                </c:pt>
                <c:pt idx="4">
                  <c:v>2017/18</c:v>
                </c:pt>
              </c:strCache>
            </c:strRef>
          </c:cat>
          <c:val>
            <c:numRef>
              <c:f>geg!$G$27:$K$27</c:f>
              <c:numCache>
                <c:formatCode>Standaard</c:formatCode>
                <c:ptCount val="5"/>
                <c:pt idx="0">
                  <c:v>220</c:v>
                </c:pt>
                <c:pt idx="1">
                  <c:v>220</c:v>
                </c:pt>
                <c:pt idx="2">
                  <c:v>220</c:v>
                </c:pt>
                <c:pt idx="3">
                  <c:v>220</c:v>
                </c:pt>
                <c:pt idx="4">
                  <c:v>220</c:v>
                </c:pt>
              </c:numCache>
            </c:numRef>
          </c:val>
        </c:ser>
        <c:dLbls>
          <c:showLegendKey val="0"/>
          <c:showVal val="1"/>
          <c:showCatName val="0"/>
          <c:showSerName val="0"/>
          <c:showPercent val="0"/>
          <c:showBubbleSize val="0"/>
        </c:dLbls>
        <c:gapWidth val="150"/>
        <c:axId val="239945600"/>
        <c:axId val="239969024"/>
      </c:barChart>
      <c:catAx>
        <c:axId val="239945600"/>
        <c:scaling>
          <c:orientation val="minMax"/>
        </c:scaling>
        <c:delete val="0"/>
        <c:axPos val="b"/>
        <c:numFmt formatCode="Standaard"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nl-NL"/>
          </a:p>
        </c:txPr>
        <c:crossAx val="239969024"/>
        <c:crosses val="autoZero"/>
        <c:auto val="1"/>
        <c:lblAlgn val="ctr"/>
        <c:lblOffset val="100"/>
        <c:tickLblSkip val="1"/>
        <c:tickMarkSkip val="1"/>
        <c:noMultiLvlLbl val="0"/>
      </c:catAx>
      <c:valAx>
        <c:axId val="239969024"/>
        <c:scaling>
          <c:orientation val="minMax"/>
        </c:scaling>
        <c:delete val="0"/>
        <c:axPos val="l"/>
        <c:numFmt formatCode="Standaard"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23994560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921" r="0.75000000000000921"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Verloop Gewogen Gemiddelde Leeftijd</a:t>
            </a:r>
          </a:p>
        </c:rich>
      </c:tx>
      <c:layout>
        <c:manualLayout>
          <c:xMode val="edge"/>
          <c:yMode val="edge"/>
          <c:x val="0.20550869700609603"/>
          <c:y val="3.5190615835777136E-2"/>
        </c:manualLayout>
      </c:layout>
      <c:overlay val="0"/>
      <c:spPr>
        <a:noFill/>
        <a:ln w="25400">
          <a:noFill/>
        </a:ln>
      </c:spPr>
    </c:title>
    <c:autoTitleDeleted val="0"/>
    <c:plotArea>
      <c:layout>
        <c:manualLayout>
          <c:layoutTarget val="inner"/>
          <c:xMode val="edge"/>
          <c:yMode val="edge"/>
          <c:x val="0.11596198223199709"/>
          <c:y val="0.25395725651209911"/>
          <c:w val="0.85390186916289534"/>
          <c:h val="0.55931062446117963"/>
        </c:manualLayout>
      </c:layout>
      <c:barChart>
        <c:barDir val="col"/>
        <c:grouping val="clustered"/>
        <c:varyColors val="0"/>
        <c:ser>
          <c:idx val="0"/>
          <c:order val="0"/>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dLbls>
          <c:cat>
            <c:strRef>
              <c:f>pers!$I$8:$L$8</c:f>
              <c:strCache>
                <c:ptCount val="4"/>
                <c:pt idx="0">
                  <c:v>2014/15</c:v>
                </c:pt>
                <c:pt idx="1">
                  <c:v>2015/16</c:v>
                </c:pt>
                <c:pt idx="2">
                  <c:v>2016/17</c:v>
                </c:pt>
                <c:pt idx="3">
                  <c:v>2017/18</c:v>
                </c:pt>
              </c:strCache>
            </c:strRef>
          </c:cat>
          <c:val>
            <c:numRef>
              <c:f>pers!$I$14:$L$14</c:f>
              <c:numCache>
                <c:formatCode>0,00</c:formatCode>
                <c:ptCount val="4"/>
                <c:pt idx="0">
                  <c:v>42</c:v>
                </c:pt>
                <c:pt idx="1">
                  <c:v>43</c:v>
                </c:pt>
                <c:pt idx="2">
                  <c:v>44</c:v>
                </c:pt>
                <c:pt idx="3">
                  <c:v>45</c:v>
                </c:pt>
              </c:numCache>
            </c:numRef>
          </c:val>
        </c:ser>
        <c:dLbls>
          <c:showLegendKey val="0"/>
          <c:showVal val="1"/>
          <c:showCatName val="0"/>
          <c:showSerName val="0"/>
          <c:showPercent val="0"/>
          <c:showBubbleSize val="0"/>
        </c:dLbls>
        <c:gapWidth val="150"/>
        <c:axId val="239988096"/>
        <c:axId val="251480320"/>
      </c:barChart>
      <c:catAx>
        <c:axId val="239988096"/>
        <c:scaling>
          <c:orientation val="minMax"/>
        </c:scaling>
        <c:delete val="0"/>
        <c:axPos val="b"/>
        <c:numFmt formatCode="Standaard"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51480320"/>
        <c:crosses val="autoZero"/>
        <c:auto val="1"/>
        <c:lblAlgn val="ctr"/>
        <c:lblOffset val="100"/>
        <c:tickLblSkip val="1"/>
        <c:tickMarkSkip val="1"/>
        <c:noMultiLvlLbl val="0"/>
      </c:catAx>
      <c:valAx>
        <c:axId val="251480320"/>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nl-NL"/>
          </a:p>
        </c:txPr>
        <c:crossAx val="23998809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921" r="0.75000000000000921"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Eigen Vermogen en Vreemd Vermogen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2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dLbls>
          <c:cat>
            <c:numRef>
              <c:f>begr!$H$8:$K$8</c:f>
              <c:numCache>
                <c:formatCode>Standaard</c:formatCode>
                <c:ptCount val="4"/>
                <c:pt idx="0">
                  <c:v>2014</c:v>
                </c:pt>
                <c:pt idx="1">
                  <c:v>2015</c:v>
                </c:pt>
                <c:pt idx="2">
                  <c:v>2016</c:v>
                </c:pt>
                <c:pt idx="3">
                  <c:v>2017</c:v>
                </c:pt>
              </c:numCache>
            </c:numRef>
          </c:cat>
          <c:val>
            <c:numRef>
              <c:f>bal!$G$36:$J$36</c:f>
              <c:numCache>
                <c:formatCode>_-"€"\ * #.##0_-;_-"€"\ * #.##0\-;_-"€"\ * "-"_-;_-@_-</c:formatCode>
                <c:ptCount val="4"/>
                <c:pt idx="0">
                  <c:v>836766.60333333339</c:v>
                </c:pt>
                <c:pt idx="1">
                  <c:v>1580042.08</c:v>
                </c:pt>
                <c:pt idx="2">
                  <c:v>2331596.1566666667</c:v>
                </c:pt>
                <c:pt idx="3">
                  <c:v>3091428.8333333335</c:v>
                </c:pt>
              </c:numCache>
            </c:numRef>
          </c:val>
        </c:ser>
        <c:ser>
          <c:idx val="1"/>
          <c:order val="1"/>
          <c:spPr>
            <a:solidFill>
              <a:srgbClr val="993366"/>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dLbls>
          <c:val>
            <c:numLit>
              <c:formatCode>Standaard</c:formatCode>
              <c:ptCount val="1"/>
              <c:pt idx="0">
                <c:v>0</c:v>
              </c:pt>
            </c:numLit>
          </c:val>
        </c:ser>
        <c:dLbls>
          <c:showLegendKey val="0"/>
          <c:showVal val="1"/>
          <c:showCatName val="0"/>
          <c:showSerName val="0"/>
          <c:showPercent val="0"/>
          <c:showBubbleSize val="0"/>
        </c:dLbls>
        <c:gapWidth val="150"/>
        <c:axId val="251506048"/>
        <c:axId val="251524224"/>
      </c:barChart>
      <c:catAx>
        <c:axId val="251506048"/>
        <c:scaling>
          <c:orientation val="minMax"/>
        </c:scaling>
        <c:delete val="0"/>
        <c:axPos val="b"/>
        <c:numFmt formatCode="Standaard"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51524224"/>
        <c:crosses val="autoZero"/>
        <c:auto val="1"/>
        <c:lblAlgn val="ctr"/>
        <c:lblOffset val="100"/>
        <c:tickLblSkip val="1"/>
        <c:tickMarkSkip val="1"/>
        <c:noMultiLvlLbl val="0"/>
      </c:catAx>
      <c:valAx>
        <c:axId val="251524224"/>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nl-NL"/>
          </a:p>
        </c:txPr>
        <c:crossAx val="25150604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921" r="0.75000000000000921" t="1" header="0.5" footer="0.5"/>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Totale baten per leerling</a:t>
            </a:r>
          </a:p>
        </c:rich>
      </c:tx>
      <c:layout>
        <c:manualLayout>
          <c:xMode val="edge"/>
          <c:yMode val="edge"/>
          <c:x val="0.31302521008403639"/>
          <c:y val="3.5502958579881658E-2"/>
        </c:manualLayout>
      </c:layout>
      <c:overlay val="0"/>
      <c:spPr>
        <a:noFill/>
        <a:ln w="25400">
          <a:noFill/>
        </a:ln>
      </c:spPr>
    </c:title>
    <c:autoTitleDeleted val="0"/>
    <c:plotArea>
      <c:layout>
        <c:manualLayout>
          <c:layoutTarget val="inner"/>
          <c:xMode val="edge"/>
          <c:yMode val="edge"/>
          <c:x val="0.14285714285714493"/>
          <c:y val="0.25147928994083196"/>
          <c:w val="0.80672268907563027"/>
          <c:h val="0.53550295857988162"/>
        </c:manualLayout>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dLbls>
          <c:cat>
            <c:numRef>
              <c:f>begr!$H$8:$K$8</c:f>
              <c:numCache>
                <c:formatCode>Standaard</c:formatCode>
                <c:ptCount val="4"/>
                <c:pt idx="0">
                  <c:v>2014</c:v>
                </c:pt>
                <c:pt idx="1">
                  <c:v>2015</c:v>
                </c:pt>
                <c:pt idx="2">
                  <c:v>2016</c:v>
                </c:pt>
                <c:pt idx="3">
                  <c:v>2017</c:v>
                </c:pt>
              </c:numCache>
            </c:numRef>
          </c:cat>
          <c:val>
            <c:numRef>
              <c:f>ken!$F$17:$I$17</c:f>
              <c:numCache>
                <c:formatCode>_-"€"\ * #.##0_-;_-"€"\ * #.##0\-;_-"€"\ * "-"_-;_-@_-</c:formatCode>
                <c:ptCount val="4"/>
                <c:pt idx="0">
                  <c:v>4506.5385151515156</c:v>
                </c:pt>
                <c:pt idx="1">
                  <c:v>4263.3970303030301</c:v>
                </c:pt>
                <c:pt idx="2">
                  <c:v>4301.0270303030311</c:v>
                </c:pt>
                <c:pt idx="3">
                  <c:v>4338.6570303030303</c:v>
                </c:pt>
              </c:numCache>
            </c:numRef>
          </c:val>
        </c:ser>
        <c:dLbls>
          <c:showLegendKey val="0"/>
          <c:showVal val="1"/>
          <c:showCatName val="0"/>
          <c:showSerName val="0"/>
          <c:showPercent val="0"/>
          <c:showBubbleSize val="0"/>
        </c:dLbls>
        <c:gapWidth val="150"/>
        <c:axId val="252088320"/>
        <c:axId val="252091008"/>
      </c:barChart>
      <c:catAx>
        <c:axId val="252088320"/>
        <c:scaling>
          <c:orientation val="minMax"/>
        </c:scaling>
        <c:delete val="0"/>
        <c:axPos val="b"/>
        <c:numFmt formatCode="Standaard"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nl-NL"/>
          </a:p>
        </c:txPr>
        <c:crossAx val="252091008"/>
        <c:crosses val="autoZero"/>
        <c:auto val="1"/>
        <c:lblAlgn val="ctr"/>
        <c:lblOffset val="100"/>
        <c:tickLblSkip val="1"/>
        <c:tickMarkSkip val="1"/>
        <c:noMultiLvlLbl val="0"/>
      </c:catAx>
      <c:valAx>
        <c:axId val="252091008"/>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25208832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921" r="0.7500000000000092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Investeringen </a:t>
            </a:r>
          </a:p>
        </c:rich>
      </c:tx>
      <c:layout>
        <c:manualLayout>
          <c:xMode val="edge"/>
          <c:yMode val="edge"/>
          <c:x val="0.39285714285714624"/>
          <c:y val="3.5608308605341282E-2"/>
        </c:manualLayout>
      </c:layout>
      <c:overlay val="0"/>
      <c:spPr>
        <a:noFill/>
        <a:ln w="25400">
          <a:noFill/>
        </a:ln>
      </c:spPr>
    </c:title>
    <c:autoTitleDeleted val="0"/>
    <c:plotArea>
      <c:layout>
        <c:manualLayout>
          <c:layoutTarget val="inner"/>
          <c:xMode val="edge"/>
          <c:yMode val="edge"/>
          <c:x val="0.16951889700173267"/>
          <c:y val="0.25364014078849867"/>
          <c:w val="0.78271688245243498"/>
          <c:h val="0.54700705061616761"/>
        </c:manualLayout>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2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dLbls>
          <c:cat>
            <c:numRef>
              <c:f>act!$F$8:$J$8</c:f>
              <c:numCache>
                <c:formatCode>Standaard</c:formatCode>
                <c:ptCount val="5"/>
                <c:pt idx="0">
                  <c:v>2013</c:v>
                </c:pt>
                <c:pt idx="1">
                  <c:v>2014</c:v>
                </c:pt>
                <c:pt idx="2">
                  <c:v>2015</c:v>
                </c:pt>
                <c:pt idx="3">
                  <c:v>2016</c:v>
                </c:pt>
                <c:pt idx="4">
                  <c:v>2017</c:v>
                </c:pt>
              </c:numCache>
            </c:numRef>
          </c:cat>
          <c:val>
            <c:numRef>
              <c:f>act!$F$29:$J$29</c:f>
              <c:numCache>
                <c:formatCode>_-"€"\ * #.##0_-;_-"€"\ * #.##0\-;_-"€"\ * "-"_-;_-@_-</c:formatCode>
                <c:ptCount val="5"/>
                <c:pt idx="0">
                  <c:v>50000</c:v>
                </c:pt>
                <c:pt idx="1">
                  <c:v>0</c:v>
                </c:pt>
                <c:pt idx="2">
                  <c:v>0</c:v>
                </c:pt>
                <c:pt idx="3">
                  <c:v>0</c:v>
                </c:pt>
                <c:pt idx="4">
                  <c:v>0</c:v>
                </c:pt>
              </c:numCache>
            </c:numRef>
          </c:val>
        </c:ser>
        <c:dLbls>
          <c:showLegendKey val="0"/>
          <c:showVal val="1"/>
          <c:showCatName val="0"/>
          <c:showSerName val="0"/>
          <c:showPercent val="0"/>
          <c:showBubbleSize val="0"/>
        </c:dLbls>
        <c:gapWidth val="150"/>
        <c:axId val="253105664"/>
        <c:axId val="253120896"/>
      </c:barChart>
      <c:catAx>
        <c:axId val="253105664"/>
        <c:scaling>
          <c:orientation val="minMax"/>
        </c:scaling>
        <c:delete val="0"/>
        <c:axPos val="b"/>
        <c:numFmt formatCode="Standaard"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nl-NL"/>
          </a:p>
        </c:txPr>
        <c:crossAx val="253120896"/>
        <c:crosses val="autoZero"/>
        <c:auto val="1"/>
        <c:lblAlgn val="ctr"/>
        <c:lblOffset val="100"/>
        <c:tickLblSkip val="1"/>
        <c:tickMarkSkip val="2"/>
        <c:noMultiLvlLbl val="0"/>
      </c:catAx>
      <c:valAx>
        <c:axId val="253120896"/>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25310566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921" r="0.75000000000000921"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Totale lasten per leerling
</a:t>
            </a:r>
          </a:p>
        </c:rich>
      </c:tx>
      <c:layout>
        <c:manualLayout>
          <c:xMode val="edge"/>
          <c:yMode val="edge"/>
          <c:x val="0.31027327466419641"/>
          <c:y val="3.5714285714285712E-2"/>
        </c:manualLayout>
      </c:layout>
      <c:overlay val="0"/>
      <c:spPr>
        <a:noFill/>
        <a:ln w="25400">
          <a:noFill/>
        </a:ln>
      </c:spPr>
    </c:title>
    <c:autoTitleDeleted val="0"/>
    <c:plotArea>
      <c:layout>
        <c:manualLayout>
          <c:layoutTarget val="inner"/>
          <c:xMode val="edge"/>
          <c:yMode val="edge"/>
          <c:x val="0.13865546218487396"/>
          <c:y val="0.29761904761905073"/>
          <c:w val="0.82352941176470584"/>
          <c:h val="0.49702380952381375"/>
        </c:manualLayout>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10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dLbls>
          <c:cat>
            <c:numRef>
              <c:f>begr!$H$8:$K$8</c:f>
              <c:numCache>
                <c:formatCode>Standaard</c:formatCode>
                <c:ptCount val="4"/>
                <c:pt idx="0">
                  <c:v>2014</c:v>
                </c:pt>
                <c:pt idx="1">
                  <c:v>2015</c:v>
                </c:pt>
                <c:pt idx="2">
                  <c:v>2016</c:v>
                </c:pt>
                <c:pt idx="3">
                  <c:v>2017</c:v>
                </c:pt>
              </c:numCache>
            </c:numRef>
          </c:cat>
          <c:val>
            <c:numRef>
              <c:f>ken!$F$29:$I$29</c:f>
              <c:numCache>
                <c:formatCode>_-"€"\ * #.##0_-;_-"€"\ * #.##0\-;_-"€"\ * "-"_-;_-@_-</c:formatCode>
                <c:ptCount val="4"/>
                <c:pt idx="0">
                  <c:v>884.87213636363629</c:v>
                </c:pt>
                <c:pt idx="1">
                  <c:v>884.87213636363629</c:v>
                </c:pt>
                <c:pt idx="2">
                  <c:v>884.87213636363629</c:v>
                </c:pt>
                <c:pt idx="3">
                  <c:v>884.87213636363629</c:v>
                </c:pt>
              </c:numCache>
            </c:numRef>
          </c:val>
        </c:ser>
        <c:dLbls>
          <c:showLegendKey val="0"/>
          <c:showVal val="1"/>
          <c:showCatName val="0"/>
          <c:showSerName val="0"/>
          <c:showPercent val="0"/>
          <c:showBubbleSize val="0"/>
        </c:dLbls>
        <c:gapWidth val="150"/>
        <c:axId val="253131776"/>
        <c:axId val="253151104"/>
      </c:barChart>
      <c:catAx>
        <c:axId val="253131776"/>
        <c:scaling>
          <c:orientation val="minMax"/>
        </c:scaling>
        <c:delete val="0"/>
        <c:axPos val="b"/>
        <c:numFmt formatCode="Standaard"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nl-NL"/>
          </a:p>
        </c:txPr>
        <c:crossAx val="253151104"/>
        <c:crosses val="autoZero"/>
        <c:auto val="1"/>
        <c:lblAlgn val="ctr"/>
        <c:lblOffset val="100"/>
        <c:tickLblSkip val="1"/>
        <c:tickMarkSkip val="1"/>
        <c:noMultiLvlLbl val="0"/>
      </c:catAx>
      <c:valAx>
        <c:axId val="253151104"/>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25313177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921" r="0.75000000000000921" t="1" header="0.5" footer="0.5"/>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Kapitalisatiefactor</a:t>
            </a:r>
          </a:p>
        </c:rich>
      </c:tx>
      <c:layout>
        <c:manualLayout>
          <c:xMode val="edge"/>
          <c:yMode val="edge"/>
          <c:x val="0.33193284383756377"/>
          <c:y val="3.5502958579881658E-2"/>
        </c:manualLayout>
      </c:layout>
      <c:overlay val="0"/>
      <c:spPr>
        <a:noFill/>
        <a:ln w="25400">
          <a:noFill/>
        </a:ln>
      </c:spPr>
    </c:title>
    <c:autoTitleDeleted val="0"/>
    <c:plotArea>
      <c:layout>
        <c:manualLayout>
          <c:layoutTarget val="inner"/>
          <c:xMode val="edge"/>
          <c:yMode val="edge"/>
          <c:x val="8.8607594936708861E-2"/>
          <c:y val="0.24852071005917159"/>
          <c:w val="0.87341772151898733"/>
          <c:h val="0.48816568047337278"/>
        </c:manualLayout>
      </c:layout>
      <c:barChart>
        <c:barDir val="col"/>
        <c:grouping val="clustered"/>
        <c:varyColors val="0"/>
        <c:ser>
          <c:idx val="0"/>
          <c:order val="0"/>
          <c:spPr>
            <a:solidFill>
              <a:srgbClr val="FF99CC"/>
            </a:solidFill>
            <a:ln w="12700">
              <a:solidFill>
                <a:srgbClr val="000000"/>
              </a:solidFill>
              <a:prstDash val="solid"/>
            </a:ln>
          </c:spPr>
          <c:invertIfNegative val="0"/>
          <c:dLbls>
            <c:spPr>
              <a:noFill/>
              <a:ln w="25400">
                <a:noFill/>
              </a:ln>
            </c:spPr>
            <c:txPr>
              <a:bodyPr/>
              <a:lstStyle/>
              <a:p>
                <a:pPr>
                  <a:defRPr sz="10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dLbls>
          <c:cat>
            <c:numRef>
              <c:f>ken!$F$8:$I$8</c:f>
              <c:numCache>
                <c:formatCode>Standaard</c:formatCode>
                <c:ptCount val="4"/>
                <c:pt idx="0">
                  <c:v>2014</c:v>
                </c:pt>
                <c:pt idx="1">
                  <c:v>2015</c:v>
                </c:pt>
                <c:pt idx="2">
                  <c:v>2016</c:v>
                </c:pt>
                <c:pt idx="3">
                  <c:v>2017</c:v>
                </c:pt>
              </c:numCache>
            </c:numRef>
          </c:cat>
          <c:val>
            <c:numRef>
              <c:f>ken!$F$139:$I$139</c:f>
              <c:numCache>
                <c:formatCode>0%</c:formatCode>
                <c:ptCount val="4"/>
                <c:pt idx="0">
                  <c:v>0.84399246734900768</c:v>
                </c:pt>
                <c:pt idx="1">
                  <c:v>1.6845743906790163</c:v>
                </c:pt>
                <c:pt idx="2">
                  <c:v>2.4641008470337722</c:v>
                </c:pt>
                <c:pt idx="3">
                  <c:v>3.2387785308401749</c:v>
                </c:pt>
              </c:numCache>
            </c:numRef>
          </c:val>
        </c:ser>
        <c:dLbls>
          <c:showLegendKey val="0"/>
          <c:showVal val="1"/>
          <c:showCatName val="0"/>
          <c:showSerName val="0"/>
          <c:showPercent val="0"/>
          <c:showBubbleSize val="0"/>
        </c:dLbls>
        <c:gapWidth val="150"/>
        <c:axId val="253965056"/>
        <c:axId val="253967744"/>
      </c:barChart>
      <c:catAx>
        <c:axId val="253965056"/>
        <c:scaling>
          <c:orientation val="minMax"/>
        </c:scaling>
        <c:delete val="0"/>
        <c:axPos val="b"/>
        <c:numFmt formatCode="Standaard"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253967744"/>
        <c:crosses val="autoZero"/>
        <c:auto val="1"/>
        <c:lblAlgn val="ctr"/>
        <c:lblOffset val="100"/>
        <c:tickLblSkip val="1"/>
        <c:tickMarkSkip val="1"/>
        <c:noMultiLvlLbl val="0"/>
      </c:catAx>
      <c:valAx>
        <c:axId val="25396774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25396505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944" r="0.750000000000009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Budget Personeel</a:t>
            </a:r>
          </a:p>
        </c:rich>
      </c:tx>
      <c:layout>
        <c:manualLayout>
          <c:xMode val="edge"/>
          <c:yMode val="edge"/>
          <c:x val="0.35836954929990539"/>
          <c:y val="3.5190615835777136E-2"/>
        </c:manualLayout>
      </c:layout>
      <c:overlay val="0"/>
      <c:spPr>
        <a:noFill/>
        <a:ln w="25400">
          <a:noFill/>
        </a:ln>
      </c:spPr>
    </c:title>
    <c:autoTitleDeleted val="0"/>
    <c:plotArea>
      <c:layout>
        <c:manualLayout>
          <c:layoutTarget val="inner"/>
          <c:xMode val="edge"/>
          <c:yMode val="edge"/>
          <c:x val="0.19527896995708155"/>
          <c:y val="0.25219941348973579"/>
          <c:w val="0.76824034334763969"/>
          <c:h val="0.483870967741941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begr!$H$8:$K$8</c:f>
              <c:numCache>
                <c:formatCode>Standaard</c:formatCode>
                <c:ptCount val="4"/>
                <c:pt idx="0">
                  <c:v>2014</c:v>
                </c:pt>
                <c:pt idx="1">
                  <c:v>2015</c:v>
                </c:pt>
                <c:pt idx="2">
                  <c:v>2016</c:v>
                </c:pt>
                <c:pt idx="3">
                  <c:v>2017</c:v>
                </c:pt>
              </c:numCache>
            </c:numRef>
          </c:cat>
          <c:val>
            <c:numRef>
              <c:f>pers!$I$160:$L$160</c:f>
              <c:numCache>
                <c:formatCode>_-"€"\ * #.##0_-;_-"€"\ * #.##0\-;_-"€"\ * "-"_-;_-@_-</c:formatCode>
                <c:ptCount val="4"/>
                <c:pt idx="0">
                  <c:v>846370.83333333349</c:v>
                </c:pt>
                <c:pt idx="1">
                  <c:v>799212.81666666665</c:v>
                </c:pt>
                <c:pt idx="2">
                  <c:v>807491.41666666674</c:v>
                </c:pt>
                <c:pt idx="3">
                  <c:v>815770.0166666666</c:v>
                </c:pt>
              </c:numCache>
            </c:numRef>
          </c:val>
        </c:ser>
        <c:ser>
          <c:idx val="1"/>
          <c:order val="1"/>
          <c:tx>
            <c:v>lasten</c:v>
          </c:tx>
          <c:spPr>
            <a:solidFill>
              <a:srgbClr val="FFCC99"/>
            </a:solidFill>
            <a:ln w="12700">
              <a:solidFill>
                <a:srgbClr val="000000"/>
              </a:solidFill>
              <a:prstDash val="solid"/>
            </a:ln>
          </c:spPr>
          <c:invertIfNegative val="0"/>
          <c:cat>
            <c:numRef>
              <c:f>begr!$H$8:$K$8</c:f>
              <c:numCache>
                <c:formatCode>Standaard</c:formatCode>
                <c:ptCount val="4"/>
                <c:pt idx="0">
                  <c:v>2014</c:v>
                </c:pt>
                <c:pt idx="1">
                  <c:v>2015</c:v>
                </c:pt>
                <c:pt idx="2">
                  <c:v>2016</c:v>
                </c:pt>
                <c:pt idx="3">
                  <c:v>2017</c:v>
                </c:pt>
              </c:numCache>
            </c:numRef>
          </c:cat>
          <c:val>
            <c:numRef>
              <c:f>pers!$I$161:$L$161</c:f>
              <c:numCache>
                <c:formatCode>_-"€"\ * #.##0_-;_-"€"\ * #.##0\-;_-"€"\ * "-"_-;_-@_-</c:formatCode>
                <c:ptCount val="4"/>
                <c:pt idx="0">
                  <c:v>184671.87</c:v>
                </c:pt>
                <c:pt idx="1">
                  <c:v>184671.87</c:v>
                </c:pt>
                <c:pt idx="2">
                  <c:v>184671.87</c:v>
                </c:pt>
                <c:pt idx="3">
                  <c:v>184671.87</c:v>
                </c:pt>
              </c:numCache>
            </c:numRef>
          </c:val>
        </c:ser>
        <c:dLbls>
          <c:showLegendKey val="0"/>
          <c:showVal val="0"/>
          <c:showCatName val="0"/>
          <c:showSerName val="0"/>
          <c:showPercent val="0"/>
          <c:showBubbleSize val="0"/>
        </c:dLbls>
        <c:gapWidth val="150"/>
        <c:axId val="161331072"/>
        <c:axId val="161332608"/>
      </c:barChart>
      <c:catAx>
        <c:axId val="161331072"/>
        <c:scaling>
          <c:orientation val="minMax"/>
        </c:scaling>
        <c:delete val="0"/>
        <c:axPos val="b"/>
        <c:numFmt formatCode="Standaard"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nl-NL"/>
          </a:p>
        </c:txPr>
        <c:crossAx val="161332608"/>
        <c:crosses val="autoZero"/>
        <c:auto val="1"/>
        <c:lblAlgn val="ctr"/>
        <c:lblOffset val="100"/>
        <c:tickLblSkip val="1"/>
        <c:tickMarkSkip val="1"/>
        <c:noMultiLvlLbl val="0"/>
      </c:catAx>
      <c:valAx>
        <c:axId val="161332608"/>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nl-NL"/>
          </a:p>
        </c:txPr>
        <c:crossAx val="16133107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7424937762607999"/>
          <c:y val="0.89442815249266849"/>
          <c:w val="0.24678134117355499"/>
          <c:h val="7.3313782991202933E-2"/>
        </c:manualLayout>
      </c:layout>
      <c:overlay val="0"/>
      <c:spPr>
        <a:solidFill>
          <a:srgbClr val="FFFFFF"/>
        </a:solidFill>
        <a:ln w="3175">
          <a:solidFill>
            <a:srgbClr val="000000"/>
          </a:solidFill>
          <a:prstDash val="solid"/>
        </a:ln>
      </c:spPr>
      <c:txPr>
        <a:bodyPr/>
        <a:lstStyle/>
        <a:p>
          <a:pPr>
            <a:defRPr sz="885"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nl-NL"/>
    </a:p>
  </c:txPr>
  <c:printSettings>
    <c:headerFooter alignWithMargins="0"/>
    <c:pageMargins b="1" l="0.75000000000000921" r="0.75000000000000921"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Budget Materieel</a:t>
            </a:r>
          </a:p>
        </c:rich>
      </c:tx>
      <c:layout>
        <c:manualLayout>
          <c:xMode val="edge"/>
          <c:yMode val="edge"/>
          <c:x val="0.36842149468158586"/>
          <c:y val="3.5294117647058851E-2"/>
        </c:manualLayout>
      </c:layout>
      <c:overlay val="0"/>
      <c:spPr>
        <a:noFill/>
        <a:ln w="25400">
          <a:noFill/>
        </a:ln>
      </c:spPr>
    </c:title>
    <c:autoTitleDeleted val="0"/>
    <c:plotArea>
      <c:layout>
        <c:manualLayout>
          <c:layoutTarget val="inner"/>
          <c:xMode val="edge"/>
          <c:yMode val="edge"/>
          <c:x val="0.18881950588541699"/>
          <c:y val="0.25486398424483453"/>
          <c:w val="0.76367000158101861"/>
          <c:h val="0.47635292293379172"/>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begr!$H$8:$K$8</c:f>
              <c:numCache>
                <c:formatCode>Standaard</c:formatCode>
                <c:ptCount val="4"/>
                <c:pt idx="0">
                  <c:v>2014</c:v>
                </c:pt>
                <c:pt idx="1">
                  <c:v>2015</c:v>
                </c:pt>
                <c:pt idx="2">
                  <c:v>2016</c:v>
                </c:pt>
                <c:pt idx="3">
                  <c:v>2017</c:v>
                </c:pt>
              </c:numCache>
            </c:numRef>
          </c:cat>
          <c:val>
            <c:numRef>
              <c:f>mat!$I$78:$L$78</c:f>
              <c:numCache>
                <c:formatCode>_-"€"\ * #.##0_-;_-"€"\ * #.##0\-;_-"€"\ * "-"??_-;_-@_-</c:formatCode>
                <c:ptCount val="4"/>
                <c:pt idx="0">
                  <c:v>145067.64000000001</c:v>
                </c:pt>
                <c:pt idx="1">
                  <c:v>138734.53</c:v>
                </c:pt>
                <c:pt idx="2">
                  <c:v>138734.53</c:v>
                </c:pt>
                <c:pt idx="3">
                  <c:v>138734.53</c:v>
                </c:pt>
              </c:numCache>
            </c:numRef>
          </c:val>
        </c:ser>
        <c:ser>
          <c:idx val="1"/>
          <c:order val="1"/>
          <c:tx>
            <c:v>lasten</c:v>
          </c:tx>
          <c:spPr>
            <a:solidFill>
              <a:srgbClr val="FFCC99"/>
            </a:solidFill>
            <a:ln w="12700">
              <a:solidFill>
                <a:srgbClr val="000000"/>
              </a:solidFill>
              <a:prstDash val="solid"/>
            </a:ln>
          </c:spPr>
          <c:invertIfNegative val="0"/>
          <c:val>
            <c:numRef>
              <c:f>mat!$H$159:$K$159</c:f>
              <c:numCache>
                <c:formatCode>_-"€"\ * #.##0_-;_-"€"\ * #.##0\-;_-"€"\ * "-"??_-;_-@_-</c:formatCode>
                <c:ptCount val="4"/>
                <c:pt idx="0">
                  <c:v>10000</c:v>
                </c:pt>
                <c:pt idx="1">
                  <c:v>10000</c:v>
                </c:pt>
                <c:pt idx="2">
                  <c:v>10000</c:v>
                </c:pt>
                <c:pt idx="3">
                  <c:v>10000</c:v>
                </c:pt>
              </c:numCache>
            </c:numRef>
          </c:val>
        </c:ser>
        <c:dLbls>
          <c:showLegendKey val="0"/>
          <c:showVal val="0"/>
          <c:showCatName val="0"/>
          <c:showSerName val="0"/>
          <c:showPercent val="0"/>
          <c:showBubbleSize val="0"/>
        </c:dLbls>
        <c:gapWidth val="150"/>
        <c:axId val="162152832"/>
        <c:axId val="162154368"/>
      </c:barChart>
      <c:catAx>
        <c:axId val="162152832"/>
        <c:scaling>
          <c:orientation val="minMax"/>
        </c:scaling>
        <c:delete val="0"/>
        <c:axPos val="b"/>
        <c:numFmt formatCode="Standaard"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162154368"/>
        <c:crosses val="autoZero"/>
        <c:auto val="1"/>
        <c:lblAlgn val="ctr"/>
        <c:lblOffset val="100"/>
        <c:tickLblSkip val="1"/>
        <c:tickMarkSkip val="1"/>
        <c:noMultiLvlLbl val="0"/>
      </c:catAx>
      <c:valAx>
        <c:axId val="162154368"/>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16215283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6736886310264786"/>
          <c:y val="0.8794129998456004"/>
          <c:w val="0.24210548418290123"/>
          <c:h val="7.3529411764706079E-2"/>
        </c:manualLayout>
      </c:layout>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nl-NL"/>
    </a:p>
  </c:txPr>
  <c:printSettings>
    <c:headerFooter alignWithMargins="0"/>
    <c:pageMargins b="1" l="0.75000000000000921" r="0.75000000000000921"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Totale baten/ lasten</a:t>
            </a:r>
          </a:p>
        </c:rich>
      </c:tx>
      <c:layout>
        <c:manualLayout>
          <c:xMode val="edge"/>
          <c:yMode val="edge"/>
          <c:x val="0.34745807197829548"/>
          <c:y val="3.5294117647058851E-2"/>
        </c:manualLayout>
      </c:layout>
      <c:overlay val="0"/>
      <c:spPr>
        <a:noFill/>
        <a:ln w="25400">
          <a:noFill/>
        </a:ln>
      </c:spPr>
    </c:title>
    <c:autoTitleDeleted val="0"/>
    <c:plotArea>
      <c:layout>
        <c:manualLayout>
          <c:layoutTarget val="inner"/>
          <c:xMode val="edge"/>
          <c:yMode val="edge"/>
          <c:x val="0.22559876543315788"/>
          <c:y val="0.25486398424483453"/>
          <c:w val="0.74426508596172658"/>
          <c:h val="0.49455749323699238"/>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begr!$H$8:$K$8</c:f>
              <c:numCache>
                <c:formatCode>Standaard</c:formatCode>
                <c:ptCount val="4"/>
                <c:pt idx="0">
                  <c:v>2014</c:v>
                </c:pt>
                <c:pt idx="1">
                  <c:v>2015</c:v>
                </c:pt>
                <c:pt idx="2">
                  <c:v>2016</c:v>
                </c:pt>
                <c:pt idx="3">
                  <c:v>2017</c:v>
                </c:pt>
              </c:numCache>
            </c:numRef>
          </c:cat>
          <c:val>
            <c:numRef>
              <c:f>begr!$H$19:$K$19</c:f>
              <c:numCache>
                <c:formatCode>_-"€"\ * #.##0_-;_-"€"\ * #.##0\-;_-"€"\ * "-"_-;_-@_-</c:formatCode>
                <c:ptCount val="4"/>
                <c:pt idx="0">
                  <c:v>991438.47333333339</c:v>
                </c:pt>
                <c:pt idx="1">
                  <c:v>937947.34666666668</c:v>
                </c:pt>
                <c:pt idx="2">
                  <c:v>946225.94666666677</c:v>
                </c:pt>
                <c:pt idx="3">
                  <c:v>954504.54666666663</c:v>
                </c:pt>
              </c:numCache>
            </c:numRef>
          </c:val>
        </c:ser>
        <c:ser>
          <c:idx val="1"/>
          <c:order val="1"/>
          <c:tx>
            <c:v>lasten</c:v>
          </c:tx>
          <c:spPr>
            <a:solidFill>
              <a:srgbClr val="FFCC99"/>
            </a:solidFill>
            <a:ln w="12700">
              <a:solidFill>
                <a:srgbClr val="000000"/>
              </a:solidFill>
              <a:prstDash val="solid"/>
            </a:ln>
          </c:spPr>
          <c:invertIfNegative val="0"/>
          <c:cat>
            <c:numRef>
              <c:f>begr!$H$8:$K$8</c:f>
              <c:numCache>
                <c:formatCode>Standaard</c:formatCode>
                <c:ptCount val="4"/>
                <c:pt idx="0">
                  <c:v>2014</c:v>
                </c:pt>
                <c:pt idx="1">
                  <c:v>2015</c:v>
                </c:pt>
                <c:pt idx="2">
                  <c:v>2016</c:v>
                </c:pt>
                <c:pt idx="3">
                  <c:v>2017</c:v>
                </c:pt>
              </c:numCache>
            </c:numRef>
          </c:cat>
          <c:val>
            <c:numRef>
              <c:f>begr!$H$27:$K$27</c:f>
              <c:numCache>
                <c:formatCode>_-"€"\ * #.##0_-;_-"€"\ * #.##0\-;_-"€"\ * "-"_-;_-@_-</c:formatCode>
                <c:ptCount val="4"/>
                <c:pt idx="0">
                  <c:v>194671.87</c:v>
                </c:pt>
                <c:pt idx="1">
                  <c:v>194671.87</c:v>
                </c:pt>
                <c:pt idx="2">
                  <c:v>194671.87</c:v>
                </c:pt>
                <c:pt idx="3">
                  <c:v>194671.87</c:v>
                </c:pt>
              </c:numCache>
            </c:numRef>
          </c:val>
        </c:ser>
        <c:dLbls>
          <c:showLegendKey val="0"/>
          <c:showVal val="0"/>
          <c:showCatName val="0"/>
          <c:showSerName val="0"/>
          <c:showPercent val="0"/>
          <c:showBubbleSize val="0"/>
        </c:dLbls>
        <c:gapWidth val="150"/>
        <c:axId val="162200192"/>
        <c:axId val="177930624"/>
      </c:barChart>
      <c:catAx>
        <c:axId val="162200192"/>
        <c:scaling>
          <c:orientation val="minMax"/>
        </c:scaling>
        <c:delete val="0"/>
        <c:axPos val="b"/>
        <c:numFmt formatCode="Standaard"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nl-NL"/>
          </a:p>
        </c:txPr>
        <c:crossAx val="177930624"/>
        <c:crosses val="autoZero"/>
        <c:auto val="1"/>
        <c:lblAlgn val="ctr"/>
        <c:lblOffset val="100"/>
        <c:tickLblSkip val="1"/>
        <c:tickMarkSkip val="1"/>
        <c:noMultiLvlLbl val="0"/>
      </c:catAx>
      <c:valAx>
        <c:axId val="177930624"/>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nl-NL"/>
          </a:p>
        </c:txPr>
        <c:crossAx val="16220019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093264824948045"/>
          <c:y val="0.88529535278678395"/>
          <c:w val="0.24364429022643594"/>
          <c:h val="7.3529411764705954E-2"/>
        </c:manualLayout>
      </c:layout>
      <c:overlay val="0"/>
      <c:spPr>
        <a:solidFill>
          <a:srgbClr val="FFFFFF"/>
        </a:solidFill>
        <a:ln w="3175">
          <a:solidFill>
            <a:srgbClr val="000000"/>
          </a:solidFill>
          <a:prstDash val="solid"/>
        </a:ln>
      </c:spPr>
      <c:txPr>
        <a:bodyPr/>
        <a:lstStyle/>
        <a:p>
          <a:pPr>
            <a:defRPr sz="885"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nl-NL"/>
    </a:p>
  </c:txPr>
  <c:printSettings>
    <c:headerFooter alignWithMargins="0"/>
    <c:pageMargins b="1" l="0.75000000000000921" r="0.75000000000000921" t="1"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Materiële vaste activa</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dLbls>
          <c:cat>
            <c:numRef>
              <c:f>begr!$H$8:$K$8</c:f>
              <c:numCache>
                <c:formatCode>Standaard</c:formatCode>
                <c:ptCount val="4"/>
                <c:pt idx="0">
                  <c:v>2014</c:v>
                </c:pt>
                <c:pt idx="1">
                  <c:v>2015</c:v>
                </c:pt>
                <c:pt idx="2">
                  <c:v>2016</c:v>
                </c:pt>
                <c:pt idx="3">
                  <c:v>2017</c:v>
                </c:pt>
              </c:numCache>
            </c:numRef>
          </c:cat>
          <c:val>
            <c:numRef>
              <c:f>bal!$G$17:$J$17</c:f>
              <c:numCache>
                <c:formatCode>_-"€"\ * #.##0_-;_-"€"\ * #.##0\-;_-"€"\ * "-"_-;_-@_-</c:formatCode>
                <c:ptCount val="4"/>
                <c:pt idx="0">
                  <c:v>30000</c:v>
                </c:pt>
                <c:pt idx="1">
                  <c:v>20000</c:v>
                </c:pt>
                <c:pt idx="2">
                  <c:v>10000</c:v>
                </c:pt>
                <c:pt idx="3">
                  <c:v>0</c:v>
                </c:pt>
              </c:numCache>
            </c:numRef>
          </c:val>
        </c:ser>
        <c:dLbls>
          <c:showLegendKey val="0"/>
          <c:showVal val="1"/>
          <c:showCatName val="0"/>
          <c:showSerName val="0"/>
          <c:showPercent val="0"/>
          <c:showBubbleSize val="0"/>
        </c:dLbls>
        <c:gapWidth val="150"/>
        <c:axId val="177941888"/>
        <c:axId val="177961216"/>
      </c:barChart>
      <c:catAx>
        <c:axId val="177941888"/>
        <c:scaling>
          <c:orientation val="minMax"/>
        </c:scaling>
        <c:delete val="0"/>
        <c:axPos val="b"/>
        <c:numFmt formatCode="Standaard"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77961216"/>
        <c:crosses val="autoZero"/>
        <c:auto val="1"/>
        <c:lblAlgn val="ctr"/>
        <c:lblOffset val="100"/>
        <c:tickLblSkip val="1"/>
        <c:tickMarkSkip val="1"/>
        <c:noMultiLvlLbl val="0"/>
      </c:catAx>
      <c:valAx>
        <c:axId val="177961216"/>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7794188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921" r="0.75000000000000921"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Opbouw totale loonkosten </a:t>
            </a:r>
          </a:p>
        </c:rich>
      </c:tx>
      <c:layout>
        <c:manualLayout>
          <c:xMode val="edge"/>
          <c:yMode val="edge"/>
          <c:x val="0.30042016806723187"/>
          <c:y val="3.5294117647058851E-2"/>
        </c:manualLayout>
      </c:layout>
      <c:overlay val="0"/>
      <c:spPr>
        <a:noFill/>
        <a:ln w="25400">
          <a:noFill/>
        </a:ln>
      </c:spPr>
    </c:title>
    <c:autoTitleDeleted val="0"/>
    <c:plotArea>
      <c:layout>
        <c:manualLayout>
          <c:layoutTarget val="inner"/>
          <c:xMode val="edge"/>
          <c:yMode val="edge"/>
          <c:x val="0.14859063811263049"/>
          <c:y val="0.25486398424483453"/>
          <c:w val="0.80364514134153764"/>
          <c:h val="0.47635292293379172"/>
        </c:manualLayout>
      </c:layout>
      <c:barChart>
        <c:barDir val="col"/>
        <c:grouping val="percentStacked"/>
        <c:varyColors val="0"/>
        <c:ser>
          <c:idx val="1"/>
          <c:order val="0"/>
          <c:tx>
            <c:v>OP</c:v>
          </c:tx>
          <c:spPr>
            <a:solidFill>
              <a:srgbClr val="FFCC99"/>
            </a:solidFill>
            <a:ln w="12700">
              <a:solidFill>
                <a:srgbClr val="000000"/>
              </a:solidFill>
              <a:prstDash val="solid"/>
            </a:ln>
          </c:spPr>
          <c:invertIfNegative val="0"/>
          <c:dLbls>
            <c:numFmt formatCode="0%" sourceLinked="0"/>
            <c:spPr>
              <a:noFill/>
              <a:ln w="25400">
                <a:noFill/>
              </a:ln>
            </c:spPr>
            <c:txPr>
              <a:bodyPr/>
              <a:lstStyle/>
              <a:p>
                <a:pPr>
                  <a:defRPr sz="10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dLbls>
          <c:cat>
            <c:numRef>
              <c:f>begr!$H$8:$K$8</c:f>
              <c:numCache>
                <c:formatCode>Standaard</c:formatCode>
                <c:ptCount val="4"/>
                <c:pt idx="0">
                  <c:v>2014</c:v>
                </c:pt>
                <c:pt idx="1">
                  <c:v>2015</c:v>
                </c:pt>
                <c:pt idx="2">
                  <c:v>2016</c:v>
                </c:pt>
                <c:pt idx="3">
                  <c:v>2017</c:v>
                </c:pt>
              </c:numCache>
            </c:numRef>
          </c:cat>
          <c:val>
            <c:numRef>
              <c:f>ken!$F$160:$I$160</c:f>
              <c:numCache>
                <c:formatCode>0%</c:formatCode>
                <c:ptCount val="4"/>
                <c:pt idx="0">
                  <c:v>0.33533916129186331</c:v>
                </c:pt>
                <c:pt idx="1">
                  <c:v>0.33533916129186331</c:v>
                </c:pt>
                <c:pt idx="2">
                  <c:v>0.33533916129186331</c:v>
                </c:pt>
                <c:pt idx="3">
                  <c:v>0.33533916129186331</c:v>
                </c:pt>
              </c:numCache>
            </c:numRef>
          </c:val>
        </c:ser>
        <c:ser>
          <c:idx val="2"/>
          <c:order val="1"/>
          <c:tx>
            <c:v>OBP</c:v>
          </c:tx>
          <c:spPr>
            <a:solidFill>
              <a:srgbClr val="CCFFCC"/>
            </a:solidFill>
            <a:ln w="12700">
              <a:solidFill>
                <a:srgbClr val="000000"/>
              </a:solidFill>
              <a:prstDash val="solid"/>
            </a:ln>
          </c:spPr>
          <c:invertIfNegative val="0"/>
          <c:dLbls>
            <c:dLbl>
              <c:idx val="0"/>
              <c:layout>
                <c:manualLayout>
                  <c:x val="-1.0818500628598001E-3"/>
                  <c:y val="-2.2353621407166092E-3"/>
                </c:manualLayout>
              </c:layout>
              <c:dLblPos val="ctr"/>
              <c:showLegendKey val="0"/>
              <c:showVal val="1"/>
              <c:showCatName val="0"/>
              <c:showSerName val="0"/>
              <c:showPercent val="0"/>
              <c:showBubbleSize val="0"/>
            </c:dLbl>
            <c:numFmt formatCode="0%" sourceLinked="0"/>
            <c:spPr>
              <a:noFill/>
              <a:ln w="25400">
                <a:noFill/>
              </a:ln>
            </c:spPr>
            <c:txPr>
              <a:bodyPr/>
              <a:lstStyle/>
              <a:p>
                <a:pPr>
                  <a:defRPr sz="10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dLbls>
          <c:cat>
            <c:numRef>
              <c:f>begr!$H$8:$K$8</c:f>
              <c:numCache>
                <c:formatCode>Standaard</c:formatCode>
                <c:ptCount val="4"/>
                <c:pt idx="0">
                  <c:v>2014</c:v>
                </c:pt>
                <c:pt idx="1">
                  <c:v>2015</c:v>
                </c:pt>
                <c:pt idx="2">
                  <c:v>2016</c:v>
                </c:pt>
                <c:pt idx="3">
                  <c:v>2017</c:v>
                </c:pt>
              </c:numCache>
            </c:numRef>
          </c:cat>
          <c:val>
            <c:numRef>
              <c:f>ken!$F$161:$I$161</c:f>
              <c:numCache>
                <c:formatCode>0%</c:formatCode>
                <c:ptCount val="4"/>
                <c:pt idx="0">
                  <c:v>0.66466083870813675</c:v>
                </c:pt>
                <c:pt idx="1">
                  <c:v>0.66466083870813675</c:v>
                </c:pt>
                <c:pt idx="2">
                  <c:v>0.66466083870813675</c:v>
                </c:pt>
                <c:pt idx="3">
                  <c:v>0.66466083870813675</c:v>
                </c:pt>
              </c:numCache>
            </c:numRef>
          </c:val>
        </c:ser>
        <c:ser>
          <c:idx val="0"/>
          <c:order val="2"/>
          <c:tx>
            <c:v>DIR</c:v>
          </c:tx>
          <c:spPr>
            <a:solidFill>
              <a:srgbClr val="FFFFCC"/>
            </a:solidFill>
            <a:ln w="12700">
              <a:solidFill>
                <a:srgbClr val="000000"/>
              </a:solidFill>
              <a:prstDash val="solid"/>
            </a:ln>
          </c:spPr>
          <c:invertIfNegative val="0"/>
          <c:dLbls>
            <c:dLbl>
              <c:idx val="0"/>
              <c:layout>
                <c:manualLayout>
                  <c:x val="-1.0818500628598001E-3"/>
                  <c:y val="-2.2353621407166092E-3"/>
                </c:manualLayout>
              </c:layout>
              <c:dLblPos val="ctr"/>
              <c:showLegendKey val="0"/>
              <c:showVal val="1"/>
              <c:showCatName val="0"/>
              <c:showSerName val="0"/>
              <c:showPercent val="0"/>
              <c:showBubbleSize val="0"/>
            </c:dLbl>
            <c:numFmt formatCode="0%" sourceLinked="0"/>
            <c:spPr>
              <a:noFill/>
              <a:ln w="25400">
                <a:noFill/>
              </a:ln>
            </c:spPr>
            <c:txPr>
              <a:bodyPr/>
              <a:lstStyle/>
              <a:p>
                <a:pPr>
                  <a:defRPr sz="10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dLbls>
          <c:cat>
            <c:numRef>
              <c:f>begr!$H$8:$K$8</c:f>
              <c:numCache>
                <c:formatCode>Standaard</c:formatCode>
                <c:ptCount val="4"/>
                <c:pt idx="0">
                  <c:v>2014</c:v>
                </c:pt>
                <c:pt idx="1">
                  <c:v>2015</c:v>
                </c:pt>
                <c:pt idx="2">
                  <c:v>2016</c:v>
                </c:pt>
                <c:pt idx="3">
                  <c:v>2017</c:v>
                </c:pt>
              </c:numCache>
            </c:numRef>
          </c:cat>
          <c:val>
            <c:numRef>
              <c:f>ken!$F$159:$I$159</c:f>
              <c:numCache>
                <c:formatCode>0%</c:formatCode>
                <c:ptCount val="4"/>
                <c:pt idx="0">
                  <c:v>0</c:v>
                </c:pt>
                <c:pt idx="1">
                  <c:v>0</c:v>
                </c:pt>
                <c:pt idx="2">
                  <c:v>0</c:v>
                </c:pt>
                <c:pt idx="3">
                  <c:v>0</c:v>
                </c:pt>
              </c:numCache>
            </c:numRef>
          </c:val>
        </c:ser>
        <c:dLbls>
          <c:showLegendKey val="0"/>
          <c:showVal val="1"/>
          <c:showCatName val="0"/>
          <c:showSerName val="0"/>
          <c:showPercent val="0"/>
          <c:showBubbleSize val="0"/>
        </c:dLbls>
        <c:gapWidth val="150"/>
        <c:overlap val="100"/>
        <c:axId val="212148992"/>
        <c:axId val="212150528"/>
      </c:barChart>
      <c:catAx>
        <c:axId val="212148992"/>
        <c:scaling>
          <c:orientation val="minMax"/>
        </c:scaling>
        <c:delete val="0"/>
        <c:axPos val="b"/>
        <c:numFmt formatCode="Standaard"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212150528"/>
        <c:crosses val="autoZero"/>
        <c:auto val="1"/>
        <c:lblAlgn val="ctr"/>
        <c:lblOffset val="100"/>
        <c:tickLblSkip val="1"/>
        <c:tickMarkSkip val="1"/>
        <c:noMultiLvlLbl val="0"/>
      </c:catAx>
      <c:valAx>
        <c:axId val="21215052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212148992"/>
        <c:crosses val="autoZero"/>
        <c:crossBetween val="between"/>
        <c:majorUnit val="0.2"/>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2226890756302532"/>
          <c:y val="0.8794129998456004"/>
          <c:w val="0.28361344537815136"/>
          <c:h val="7.3529411764706079E-2"/>
        </c:manualLayout>
      </c:layout>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nl-NL"/>
    </a:p>
  </c:txPr>
  <c:printSettings>
    <c:headerFooter alignWithMargins="0"/>
    <c:pageMargins b="1" l="0.75000000000000921" r="0.75000000000000921"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Solvabiliteit</a:t>
            </a:r>
          </a:p>
        </c:rich>
      </c:tx>
      <c:layout>
        <c:manualLayout>
          <c:xMode val="edge"/>
          <c:yMode val="edge"/>
          <c:x val="0.40756302521008408"/>
          <c:y val="3.5294117647058851E-2"/>
        </c:manualLayout>
      </c:layout>
      <c:overlay val="0"/>
      <c:spPr>
        <a:noFill/>
        <a:ln w="25400">
          <a:noFill/>
        </a:ln>
      </c:spPr>
    </c:title>
    <c:autoTitleDeleted val="0"/>
    <c:plotArea>
      <c:layout>
        <c:manualLayout>
          <c:layoutTarget val="inner"/>
          <c:xMode val="edge"/>
          <c:yMode val="edge"/>
          <c:x val="9.6269990889871704E-2"/>
          <c:y val="0.25486398424483453"/>
          <c:w val="0.85596578856429384"/>
          <c:h val="0.55827348929819764"/>
        </c:manualLayout>
      </c:layout>
      <c:barChart>
        <c:barDir val="col"/>
        <c:grouping val="clustered"/>
        <c:varyColors val="0"/>
        <c:ser>
          <c:idx val="0"/>
          <c:order val="0"/>
          <c:spPr>
            <a:solidFill>
              <a:srgbClr val="FF99CC"/>
            </a:solidFill>
            <a:ln w="12700">
              <a:solidFill>
                <a:srgbClr val="000000"/>
              </a:solidFill>
              <a:prstDash val="solid"/>
            </a:ln>
          </c:spPr>
          <c:invertIfNegative val="0"/>
          <c:dLbls>
            <c:spPr>
              <a:noFill/>
              <a:ln w="25400">
                <a:noFill/>
              </a:ln>
            </c:spPr>
            <c:txPr>
              <a:bodyPr/>
              <a:lstStyle/>
              <a:p>
                <a:pPr>
                  <a:defRPr sz="10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dLbls>
          <c:cat>
            <c:numRef>
              <c:f>begr!$H$8:$K$8</c:f>
              <c:numCache>
                <c:formatCode>Standaard</c:formatCode>
                <c:ptCount val="4"/>
                <c:pt idx="0">
                  <c:v>2014</c:v>
                </c:pt>
                <c:pt idx="1">
                  <c:v>2015</c:v>
                </c:pt>
                <c:pt idx="2">
                  <c:v>2016</c:v>
                </c:pt>
                <c:pt idx="3">
                  <c:v>2017</c:v>
                </c:pt>
              </c:numCache>
            </c:numRef>
          </c:cat>
          <c:val>
            <c:numRef>
              <c:f>ken!$F$122:$I$122</c:f>
              <c:numCache>
                <c:formatCode>0%</c:formatCode>
                <c:ptCount val="4"/>
                <c:pt idx="0">
                  <c:v>1</c:v>
                </c:pt>
                <c:pt idx="1">
                  <c:v>1</c:v>
                </c:pt>
                <c:pt idx="2">
                  <c:v>1</c:v>
                </c:pt>
                <c:pt idx="3">
                  <c:v>1</c:v>
                </c:pt>
              </c:numCache>
            </c:numRef>
          </c:val>
        </c:ser>
        <c:dLbls>
          <c:showLegendKey val="0"/>
          <c:showVal val="1"/>
          <c:showCatName val="0"/>
          <c:showSerName val="0"/>
          <c:showPercent val="0"/>
          <c:showBubbleSize val="0"/>
        </c:dLbls>
        <c:gapWidth val="150"/>
        <c:axId val="212174336"/>
        <c:axId val="212193664"/>
      </c:barChart>
      <c:catAx>
        <c:axId val="212174336"/>
        <c:scaling>
          <c:orientation val="minMax"/>
        </c:scaling>
        <c:delete val="0"/>
        <c:axPos val="b"/>
        <c:numFmt formatCode="Standaard"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212193664"/>
        <c:crosses val="autoZero"/>
        <c:auto val="1"/>
        <c:lblAlgn val="ctr"/>
        <c:lblOffset val="100"/>
        <c:tickLblSkip val="1"/>
        <c:tickMarkSkip val="1"/>
        <c:noMultiLvlLbl val="0"/>
      </c:catAx>
      <c:valAx>
        <c:axId val="212193664"/>
        <c:scaling>
          <c:orientation val="minMax"/>
          <c:max val="1"/>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21217433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921" r="0.75000000000000921"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Liquiditeit</a:t>
            </a:r>
          </a:p>
        </c:rich>
      </c:tx>
      <c:layout>
        <c:manualLayout>
          <c:xMode val="edge"/>
          <c:yMode val="edge"/>
          <c:x val="0.42226890756302532"/>
          <c:y val="3.5087719298245612E-2"/>
        </c:manualLayout>
      </c:layout>
      <c:overlay val="0"/>
      <c:spPr>
        <a:noFill/>
        <a:ln w="25400">
          <a:noFill/>
        </a:ln>
      </c:spPr>
    </c:title>
    <c:autoTitleDeleted val="0"/>
    <c:plotArea>
      <c:layout>
        <c:manualLayout>
          <c:layoutTarget val="inner"/>
          <c:xMode val="edge"/>
          <c:yMode val="edge"/>
          <c:x val="7.9527383778589644E-2"/>
          <c:y val="0.23196973088426445"/>
          <c:w val="0.86852274389774753"/>
          <c:h val="0.59649359370237642"/>
        </c:manualLayout>
      </c:layout>
      <c:barChart>
        <c:barDir val="col"/>
        <c:grouping val="clustered"/>
        <c:varyColors val="0"/>
        <c:ser>
          <c:idx val="0"/>
          <c:order val="0"/>
          <c:spPr>
            <a:solidFill>
              <a:srgbClr val="FF99CC"/>
            </a:solidFill>
            <a:ln w="12700">
              <a:solidFill>
                <a:srgbClr val="000000"/>
              </a:solidFill>
              <a:prstDash val="solid"/>
            </a:ln>
          </c:spPr>
          <c:invertIfNegative val="0"/>
          <c:dLbls>
            <c:spPr>
              <a:noFill/>
              <a:ln w="25400">
                <a:noFill/>
              </a:ln>
            </c:spPr>
            <c:txPr>
              <a:bodyPr/>
              <a:lstStyle/>
              <a:p>
                <a:pPr>
                  <a:defRPr sz="10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dLbls>
          <c:cat>
            <c:numRef>
              <c:f>begr!$H$8:$K$8</c:f>
              <c:numCache>
                <c:formatCode>Standaard</c:formatCode>
                <c:ptCount val="4"/>
                <c:pt idx="0">
                  <c:v>2014</c:v>
                </c:pt>
                <c:pt idx="1">
                  <c:v>2015</c:v>
                </c:pt>
                <c:pt idx="2">
                  <c:v>2016</c:v>
                </c:pt>
                <c:pt idx="3">
                  <c:v>2017</c:v>
                </c:pt>
              </c:numCache>
            </c:numRef>
          </c:cat>
          <c:val>
            <c:numRef>
              <c:f>ken!$F$126:$I$126</c:f>
              <c:numCache>
                <c:formatCode>0,00</c:formatCode>
                <c:ptCount val="4"/>
                <c:pt idx="0">
                  <c:v>0</c:v>
                </c:pt>
                <c:pt idx="1">
                  <c:v>0</c:v>
                </c:pt>
                <c:pt idx="2">
                  <c:v>0</c:v>
                </c:pt>
                <c:pt idx="3">
                  <c:v>0</c:v>
                </c:pt>
              </c:numCache>
            </c:numRef>
          </c:val>
        </c:ser>
        <c:dLbls>
          <c:showLegendKey val="0"/>
          <c:showVal val="1"/>
          <c:showCatName val="0"/>
          <c:showSerName val="0"/>
          <c:showPercent val="0"/>
          <c:showBubbleSize val="0"/>
        </c:dLbls>
        <c:gapWidth val="150"/>
        <c:axId val="212200448"/>
        <c:axId val="228603776"/>
      </c:barChart>
      <c:catAx>
        <c:axId val="212200448"/>
        <c:scaling>
          <c:orientation val="minMax"/>
        </c:scaling>
        <c:delete val="0"/>
        <c:axPos val="b"/>
        <c:numFmt formatCode="Standaard"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228603776"/>
        <c:crosses val="autoZero"/>
        <c:auto val="1"/>
        <c:lblAlgn val="ctr"/>
        <c:lblOffset val="100"/>
        <c:tickLblSkip val="1"/>
        <c:tickMarkSkip val="1"/>
        <c:noMultiLvlLbl val="0"/>
      </c:catAx>
      <c:valAx>
        <c:axId val="228603776"/>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21220044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921" r="0.75000000000000921"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Rentabiliteit</a:t>
            </a:r>
          </a:p>
        </c:rich>
      </c:tx>
      <c:layout>
        <c:manualLayout>
          <c:xMode val="edge"/>
          <c:yMode val="edge"/>
          <c:x val="0.40425531914893614"/>
          <c:y val="3.5087719298245612E-2"/>
        </c:manualLayout>
      </c:layout>
      <c:overlay val="0"/>
      <c:spPr>
        <a:noFill/>
        <a:ln w="25400">
          <a:noFill/>
        </a:ln>
      </c:spPr>
    </c:title>
    <c:autoTitleDeleted val="0"/>
    <c:plotArea>
      <c:layout>
        <c:manualLayout>
          <c:layoutTarget val="inner"/>
          <c:xMode val="edge"/>
          <c:yMode val="edge"/>
          <c:x val="8.7234042553191768E-2"/>
          <c:y val="0.25146198830409588"/>
          <c:w val="0.88085106382978762"/>
          <c:h val="0.49415204678362584"/>
        </c:manualLayout>
      </c:layout>
      <c:barChart>
        <c:barDir val="col"/>
        <c:grouping val="clustered"/>
        <c:varyColors val="0"/>
        <c:ser>
          <c:idx val="0"/>
          <c:order val="0"/>
          <c:spPr>
            <a:solidFill>
              <a:srgbClr val="FF99CC"/>
            </a:solidFill>
            <a:ln w="12700">
              <a:solidFill>
                <a:srgbClr val="000000"/>
              </a:solidFill>
              <a:prstDash val="solid"/>
            </a:ln>
          </c:spPr>
          <c:invertIfNegative val="0"/>
          <c:dLbls>
            <c:spPr>
              <a:noFill/>
              <a:ln w="25400">
                <a:noFill/>
              </a:ln>
            </c:spPr>
            <c:txPr>
              <a:bodyPr/>
              <a:lstStyle/>
              <a:p>
                <a:pPr>
                  <a:defRPr sz="10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dLbls>
          <c:cat>
            <c:numRef>
              <c:f>begr!$H$8:$K$8</c:f>
              <c:numCache>
                <c:formatCode>Standaard</c:formatCode>
                <c:ptCount val="4"/>
                <c:pt idx="0">
                  <c:v>2014</c:v>
                </c:pt>
                <c:pt idx="1">
                  <c:v>2015</c:v>
                </c:pt>
                <c:pt idx="2">
                  <c:v>2016</c:v>
                </c:pt>
                <c:pt idx="3">
                  <c:v>2017</c:v>
                </c:pt>
              </c:numCache>
            </c:numRef>
          </c:cat>
          <c:val>
            <c:numRef>
              <c:f>ken!$F$130:$I$130</c:f>
              <c:numCache>
                <c:formatCode>0,0%</c:formatCode>
                <c:ptCount val="4"/>
                <c:pt idx="0">
                  <c:v>0.80364704897370975</c:v>
                </c:pt>
                <c:pt idx="1">
                  <c:v>0.79244904237765956</c:v>
                </c:pt>
                <c:pt idx="2">
                  <c:v>0.79426492088302636</c:v>
                </c:pt>
                <c:pt idx="3">
                  <c:v>0.79604930046710032</c:v>
                </c:pt>
              </c:numCache>
            </c:numRef>
          </c:val>
        </c:ser>
        <c:dLbls>
          <c:showLegendKey val="0"/>
          <c:showVal val="1"/>
          <c:showCatName val="0"/>
          <c:showSerName val="0"/>
          <c:showPercent val="0"/>
          <c:showBubbleSize val="0"/>
        </c:dLbls>
        <c:gapWidth val="150"/>
        <c:axId val="228623104"/>
        <c:axId val="228625792"/>
      </c:barChart>
      <c:catAx>
        <c:axId val="228623104"/>
        <c:scaling>
          <c:orientation val="minMax"/>
        </c:scaling>
        <c:delete val="0"/>
        <c:axPos val="b"/>
        <c:numFmt formatCode="Standaard"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nl-NL"/>
          </a:p>
        </c:txPr>
        <c:crossAx val="228625792"/>
        <c:crosses val="autoZero"/>
        <c:auto val="1"/>
        <c:lblAlgn val="ctr"/>
        <c:lblOffset val="100"/>
        <c:tickLblSkip val="1"/>
        <c:tickMarkSkip val="1"/>
        <c:noMultiLvlLbl val="0"/>
      </c:catAx>
      <c:valAx>
        <c:axId val="228625792"/>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nl-NL"/>
          </a:p>
        </c:txPr>
        <c:crossAx val="22862310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921" r="0.7500000000000092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image" Target="../media/image1.jpe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8.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428625</xdr:colOff>
      <xdr:row>1</xdr:row>
      <xdr:rowOff>33618</xdr:rowOff>
    </xdr:from>
    <xdr:to>
      <xdr:col>14</xdr:col>
      <xdr:colOff>600075</xdr:colOff>
      <xdr:row>3</xdr:row>
      <xdr:rowOff>145677</xdr:rowOff>
    </xdr:to>
    <xdr:pic>
      <xdr:nvPicPr>
        <xdr:cNvPr id="91174" name="Picture 9"/>
        <xdr:cNvPicPr>
          <a:picLocks noChangeAspect="1" noChangeArrowheads="1"/>
        </xdr:cNvPicPr>
      </xdr:nvPicPr>
      <xdr:blipFill>
        <a:blip xmlns:r="http://schemas.openxmlformats.org/officeDocument/2006/relationships" r:embed="rId1"/>
        <a:srcRect/>
        <a:stretch>
          <a:fillRect/>
        </a:stretch>
      </xdr:blipFill>
      <xdr:spPr bwMode="auto">
        <a:xfrm>
          <a:off x="7129743" y="190500"/>
          <a:ext cx="1381685" cy="425824"/>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752475</xdr:colOff>
      <xdr:row>2</xdr:row>
      <xdr:rowOff>76200</xdr:rowOff>
    </xdr:from>
    <xdr:to>
      <xdr:col>10</xdr:col>
      <xdr:colOff>171450</xdr:colOff>
      <xdr:row>4</xdr:row>
      <xdr:rowOff>104775</xdr:rowOff>
    </xdr:to>
    <xdr:pic>
      <xdr:nvPicPr>
        <xdr:cNvPr id="72747" name="Picture 9"/>
        <xdr:cNvPicPr>
          <a:picLocks noChangeAspect="1" noChangeArrowheads="1"/>
        </xdr:cNvPicPr>
      </xdr:nvPicPr>
      <xdr:blipFill>
        <a:blip xmlns:r="http://schemas.openxmlformats.org/officeDocument/2006/relationships" r:embed="rId1"/>
        <a:srcRect/>
        <a:stretch>
          <a:fillRect/>
        </a:stretch>
      </xdr:blipFill>
      <xdr:spPr bwMode="auto">
        <a:xfrm>
          <a:off x="7562850" y="400050"/>
          <a:ext cx="1400175" cy="4286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19</xdr:col>
      <xdr:colOff>360271</xdr:colOff>
      <xdr:row>3</xdr:row>
      <xdr:rowOff>33056</xdr:rowOff>
    </xdr:from>
    <xdr:to>
      <xdr:col>22</xdr:col>
      <xdr:colOff>137835</xdr:colOff>
      <xdr:row>4</xdr:row>
      <xdr:rowOff>218513</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15107212" y="503703"/>
          <a:ext cx="1391211" cy="420781"/>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9</xdr:col>
      <xdr:colOff>606772</xdr:colOff>
      <xdr:row>2</xdr:row>
      <xdr:rowOff>100292</xdr:rowOff>
    </xdr:from>
    <xdr:to>
      <xdr:col>11</xdr:col>
      <xdr:colOff>25748</xdr:colOff>
      <xdr:row>4</xdr:row>
      <xdr:rowOff>128867</xdr:rowOff>
    </xdr:to>
    <xdr:pic>
      <xdr:nvPicPr>
        <xdr:cNvPr id="93222" name="Picture 9"/>
        <xdr:cNvPicPr>
          <a:picLocks noChangeAspect="1" noChangeArrowheads="1"/>
        </xdr:cNvPicPr>
      </xdr:nvPicPr>
      <xdr:blipFill>
        <a:blip xmlns:r="http://schemas.openxmlformats.org/officeDocument/2006/relationships" r:embed="rId1"/>
        <a:srcRect/>
        <a:stretch>
          <a:fillRect/>
        </a:stretch>
      </xdr:blipFill>
      <xdr:spPr bwMode="auto">
        <a:xfrm>
          <a:off x="8058684" y="414057"/>
          <a:ext cx="1391211" cy="420781"/>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8</xdr:col>
      <xdr:colOff>771525</xdr:colOff>
      <xdr:row>2</xdr:row>
      <xdr:rowOff>66675</xdr:rowOff>
    </xdr:from>
    <xdr:to>
      <xdr:col>11</xdr:col>
      <xdr:colOff>19050</xdr:colOff>
      <xdr:row>4</xdr:row>
      <xdr:rowOff>95250</xdr:rowOff>
    </xdr:to>
    <xdr:pic>
      <xdr:nvPicPr>
        <xdr:cNvPr id="13494" name="Picture 9"/>
        <xdr:cNvPicPr>
          <a:picLocks noChangeAspect="1" noChangeArrowheads="1"/>
        </xdr:cNvPicPr>
      </xdr:nvPicPr>
      <xdr:blipFill>
        <a:blip xmlns:r="http://schemas.openxmlformats.org/officeDocument/2006/relationships" r:embed="rId1"/>
        <a:srcRect/>
        <a:stretch>
          <a:fillRect/>
        </a:stretch>
      </xdr:blipFill>
      <xdr:spPr bwMode="auto">
        <a:xfrm>
          <a:off x="7581900" y="390525"/>
          <a:ext cx="1409700" cy="4286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7</xdr:col>
      <xdr:colOff>1019175</xdr:colOff>
      <xdr:row>2</xdr:row>
      <xdr:rowOff>66675</xdr:rowOff>
    </xdr:from>
    <xdr:to>
      <xdr:col>9</xdr:col>
      <xdr:colOff>171450</xdr:colOff>
      <xdr:row>4</xdr:row>
      <xdr:rowOff>95250</xdr:rowOff>
    </xdr:to>
    <xdr:pic>
      <xdr:nvPicPr>
        <xdr:cNvPr id="94246" name="Picture 9"/>
        <xdr:cNvPicPr>
          <a:picLocks noChangeAspect="1" noChangeArrowheads="1"/>
        </xdr:cNvPicPr>
      </xdr:nvPicPr>
      <xdr:blipFill>
        <a:blip xmlns:r="http://schemas.openxmlformats.org/officeDocument/2006/relationships" r:embed="rId1"/>
        <a:srcRect/>
        <a:stretch>
          <a:fillRect/>
        </a:stretch>
      </xdr:blipFill>
      <xdr:spPr bwMode="auto">
        <a:xfrm>
          <a:off x="7105650" y="390525"/>
          <a:ext cx="1400175" cy="4286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7</xdr:col>
      <xdr:colOff>762000</xdr:colOff>
      <xdr:row>2</xdr:row>
      <xdr:rowOff>66675</xdr:rowOff>
    </xdr:from>
    <xdr:to>
      <xdr:col>10</xdr:col>
      <xdr:colOff>0</xdr:colOff>
      <xdr:row>4</xdr:row>
      <xdr:rowOff>95250</xdr:rowOff>
    </xdr:to>
    <xdr:pic>
      <xdr:nvPicPr>
        <xdr:cNvPr id="18500" name="Picture 9"/>
        <xdr:cNvPicPr>
          <a:picLocks noChangeAspect="1" noChangeArrowheads="1"/>
        </xdr:cNvPicPr>
      </xdr:nvPicPr>
      <xdr:blipFill>
        <a:blip xmlns:r="http://schemas.openxmlformats.org/officeDocument/2006/relationships" r:embed="rId1"/>
        <a:srcRect/>
        <a:stretch>
          <a:fillRect/>
        </a:stretch>
      </xdr:blipFill>
      <xdr:spPr bwMode="auto">
        <a:xfrm>
          <a:off x="6581775" y="390525"/>
          <a:ext cx="1400175" cy="4286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0</xdr:colOff>
      <xdr:row>120</xdr:row>
      <xdr:rowOff>0</xdr:rowOff>
    </xdr:from>
    <xdr:to>
      <xdr:col>17</xdr:col>
      <xdr:colOff>9525</xdr:colOff>
      <xdr:row>120</xdr:row>
      <xdr:rowOff>0</xdr:rowOff>
    </xdr:to>
    <xdr:graphicFrame macro="">
      <xdr:nvGraphicFramePr>
        <xdr:cNvPr id="9593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29</xdr:row>
      <xdr:rowOff>47625</xdr:rowOff>
    </xdr:from>
    <xdr:to>
      <xdr:col>16</xdr:col>
      <xdr:colOff>561975</xdr:colOff>
      <xdr:row>49</xdr:row>
      <xdr:rowOff>57150</xdr:rowOff>
    </xdr:to>
    <xdr:graphicFrame macro="">
      <xdr:nvGraphicFramePr>
        <xdr:cNvPr id="95937"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9525</xdr:colOff>
      <xdr:row>29</xdr:row>
      <xdr:rowOff>9525</xdr:rowOff>
    </xdr:from>
    <xdr:to>
      <xdr:col>9</xdr:col>
      <xdr:colOff>0</xdr:colOff>
      <xdr:row>49</xdr:row>
      <xdr:rowOff>9525</xdr:rowOff>
    </xdr:to>
    <xdr:graphicFrame macro="">
      <xdr:nvGraphicFramePr>
        <xdr:cNvPr id="95938"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171450</xdr:colOff>
      <xdr:row>7</xdr:row>
      <xdr:rowOff>0</xdr:rowOff>
    </xdr:from>
    <xdr:to>
      <xdr:col>8</xdr:col>
      <xdr:colOff>600075</xdr:colOff>
      <xdr:row>27</xdr:row>
      <xdr:rowOff>0</xdr:rowOff>
    </xdr:to>
    <xdr:graphicFrame macro="">
      <xdr:nvGraphicFramePr>
        <xdr:cNvPr id="95939"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171450</xdr:colOff>
      <xdr:row>120</xdr:row>
      <xdr:rowOff>0</xdr:rowOff>
    </xdr:from>
    <xdr:to>
      <xdr:col>8</xdr:col>
      <xdr:colOff>600075</xdr:colOff>
      <xdr:row>120</xdr:row>
      <xdr:rowOff>0</xdr:rowOff>
    </xdr:to>
    <xdr:graphicFrame macro="">
      <xdr:nvGraphicFramePr>
        <xdr:cNvPr id="95940"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7</xdr:row>
      <xdr:rowOff>0</xdr:rowOff>
    </xdr:from>
    <xdr:to>
      <xdr:col>17</xdr:col>
      <xdr:colOff>0</xdr:colOff>
      <xdr:row>27</xdr:row>
      <xdr:rowOff>0</xdr:rowOff>
    </xdr:to>
    <xdr:graphicFrame macro="">
      <xdr:nvGraphicFramePr>
        <xdr:cNvPr id="95941"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120</xdr:row>
      <xdr:rowOff>0</xdr:rowOff>
    </xdr:from>
    <xdr:to>
      <xdr:col>9</xdr:col>
      <xdr:colOff>0</xdr:colOff>
      <xdr:row>140</xdr:row>
      <xdr:rowOff>0</xdr:rowOff>
    </xdr:to>
    <xdr:graphicFrame macro="">
      <xdr:nvGraphicFramePr>
        <xdr:cNvPr id="95942"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120</xdr:row>
      <xdr:rowOff>0</xdr:rowOff>
    </xdr:from>
    <xdr:to>
      <xdr:col>17</xdr:col>
      <xdr:colOff>0</xdr:colOff>
      <xdr:row>140</xdr:row>
      <xdr:rowOff>19050</xdr:rowOff>
    </xdr:to>
    <xdr:graphicFrame macro="">
      <xdr:nvGraphicFramePr>
        <xdr:cNvPr id="95943"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142</xdr:row>
      <xdr:rowOff>0</xdr:rowOff>
    </xdr:from>
    <xdr:to>
      <xdr:col>8</xdr:col>
      <xdr:colOff>590550</xdr:colOff>
      <xdr:row>162</xdr:row>
      <xdr:rowOff>19050</xdr:rowOff>
    </xdr:to>
    <xdr:graphicFrame macro="">
      <xdr:nvGraphicFramePr>
        <xdr:cNvPr id="95944"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0</xdr:colOff>
      <xdr:row>142</xdr:row>
      <xdr:rowOff>0</xdr:rowOff>
    </xdr:from>
    <xdr:to>
      <xdr:col>17</xdr:col>
      <xdr:colOff>0</xdr:colOff>
      <xdr:row>161</xdr:row>
      <xdr:rowOff>142875</xdr:rowOff>
    </xdr:to>
    <xdr:graphicFrame macro="">
      <xdr:nvGraphicFramePr>
        <xdr:cNvPr id="95945"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0</xdr:colOff>
      <xdr:row>97</xdr:row>
      <xdr:rowOff>114300</xdr:rowOff>
    </xdr:from>
    <xdr:to>
      <xdr:col>17</xdr:col>
      <xdr:colOff>0</xdr:colOff>
      <xdr:row>117</xdr:row>
      <xdr:rowOff>95250</xdr:rowOff>
    </xdr:to>
    <xdr:graphicFrame macro="">
      <xdr:nvGraphicFramePr>
        <xdr:cNvPr id="95946"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0</xdr:colOff>
      <xdr:row>51</xdr:row>
      <xdr:rowOff>9525</xdr:rowOff>
    </xdr:from>
    <xdr:to>
      <xdr:col>17</xdr:col>
      <xdr:colOff>0</xdr:colOff>
      <xdr:row>71</xdr:row>
      <xdr:rowOff>9525</xdr:rowOff>
    </xdr:to>
    <xdr:graphicFrame macro="">
      <xdr:nvGraphicFramePr>
        <xdr:cNvPr id="95947"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171450</xdr:colOff>
      <xdr:row>51</xdr:row>
      <xdr:rowOff>0</xdr:rowOff>
    </xdr:from>
    <xdr:to>
      <xdr:col>8</xdr:col>
      <xdr:colOff>600075</xdr:colOff>
      <xdr:row>71</xdr:row>
      <xdr:rowOff>9525</xdr:rowOff>
    </xdr:to>
    <xdr:graphicFrame macro="">
      <xdr:nvGraphicFramePr>
        <xdr:cNvPr id="95948"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152400</xdr:colOff>
      <xdr:row>120</xdr:row>
      <xdr:rowOff>0</xdr:rowOff>
    </xdr:from>
    <xdr:to>
      <xdr:col>8</xdr:col>
      <xdr:colOff>561975</xdr:colOff>
      <xdr:row>120</xdr:row>
      <xdr:rowOff>0</xdr:rowOff>
    </xdr:to>
    <xdr:graphicFrame macro="">
      <xdr:nvGraphicFramePr>
        <xdr:cNvPr id="95949" name="Chart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9525</xdr:colOff>
      <xdr:row>72</xdr:row>
      <xdr:rowOff>133350</xdr:rowOff>
    </xdr:from>
    <xdr:to>
      <xdr:col>9</xdr:col>
      <xdr:colOff>9525</xdr:colOff>
      <xdr:row>92</xdr:row>
      <xdr:rowOff>114300</xdr:rowOff>
    </xdr:to>
    <xdr:graphicFrame macro="">
      <xdr:nvGraphicFramePr>
        <xdr:cNvPr id="95950"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0</xdr:colOff>
      <xdr:row>97</xdr:row>
      <xdr:rowOff>104775</xdr:rowOff>
    </xdr:from>
    <xdr:to>
      <xdr:col>9</xdr:col>
      <xdr:colOff>0</xdr:colOff>
      <xdr:row>117</xdr:row>
      <xdr:rowOff>76200</xdr:rowOff>
    </xdr:to>
    <xdr:graphicFrame macro="">
      <xdr:nvGraphicFramePr>
        <xdr:cNvPr id="95951" name="Chart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9</xdr:col>
      <xdr:colOff>371475</xdr:colOff>
      <xdr:row>73</xdr:row>
      <xdr:rowOff>0</xdr:rowOff>
    </xdr:from>
    <xdr:to>
      <xdr:col>17</xdr:col>
      <xdr:colOff>0</xdr:colOff>
      <xdr:row>92</xdr:row>
      <xdr:rowOff>123825</xdr:rowOff>
    </xdr:to>
    <xdr:graphicFrame macro="">
      <xdr:nvGraphicFramePr>
        <xdr:cNvPr id="95952" name="Chart 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561975</xdr:colOff>
      <xdr:row>2</xdr:row>
      <xdr:rowOff>66675</xdr:rowOff>
    </xdr:from>
    <xdr:to>
      <xdr:col>17</xdr:col>
      <xdr:colOff>0</xdr:colOff>
      <xdr:row>4</xdr:row>
      <xdr:rowOff>95250</xdr:rowOff>
    </xdr:to>
    <xdr:pic>
      <xdr:nvPicPr>
        <xdr:cNvPr id="95953" name="Picture 9"/>
        <xdr:cNvPicPr>
          <a:picLocks noChangeAspect="1" noChangeArrowheads="1"/>
        </xdr:cNvPicPr>
      </xdr:nvPicPr>
      <xdr:blipFill>
        <a:blip xmlns:r="http://schemas.openxmlformats.org/officeDocument/2006/relationships" r:embed="rId18"/>
        <a:srcRect/>
        <a:stretch>
          <a:fillRect/>
        </a:stretch>
      </xdr:blipFill>
      <xdr:spPr bwMode="auto">
        <a:xfrm>
          <a:off x="8296275" y="390525"/>
          <a:ext cx="1381125" cy="428625"/>
        </a:xfrm>
        <a:prstGeom prst="rect">
          <a:avLst/>
        </a:prstGeom>
        <a:noFill/>
        <a:ln w="9525">
          <a:noFill/>
          <a:miter lim="800000"/>
          <a:headEnd/>
          <a:tailEnd/>
        </a:ln>
      </xdr:spPr>
    </xdr:pic>
    <xdr:clientData/>
  </xdr:twoCellAnchor>
  <xdr:twoCellAnchor>
    <xdr:from>
      <xdr:col>1</xdr:col>
      <xdr:colOff>171450</xdr:colOff>
      <xdr:row>164</xdr:row>
      <xdr:rowOff>9525</xdr:rowOff>
    </xdr:from>
    <xdr:to>
      <xdr:col>8</xdr:col>
      <xdr:colOff>619125</xdr:colOff>
      <xdr:row>183</xdr:row>
      <xdr:rowOff>152400</xdr:rowOff>
    </xdr:to>
    <xdr:graphicFrame macro="">
      <xdr:nvGraphicFramePr>
        <xdr:cNvPr id="95954"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7</xdr:col>
      <xdr:colOff>1019175</xdr:colOff>
      <xdr:row>2</xdr:row>
      <xdr:rowOff>66675</xdr:rowOff>
    </xdr:from>
    <xdr:to>
      <xdr:col>9</xdr:col>
      <xdr:colOff>171450</xdr:colOff>
      <xdr:row>4</xdr:row>
      <xdr:rowOff>95250</xdr:rowOff>
    </xdr:to>
    <xdr:pic>
      <xdr:nvPicPr>
        <xdr:cNvPr id="68649" name="Picture 9"/>
        <xdr:cNvPicPr>
          <a:picLocks noChangeAspect="1" noChangeArrowheads="1"/>
        </xdr:cNvPicPr>
      </xdr:nvPicPr>
      <xdr:blipFill>
        <a:blip xmlns:r="http://schemas.openxmlformats.org/officeDocument/2006/relationships" r:embed="rId1"/>
        <a:srcRect/>
        <a:stretch>
          <a:fillRect/>
        </a:stretch>
      </xdr:blipFill>
      <xdr:spPr bwMode="auto">
        <a:xfrm>
          <a:off x="6781800" y="390525"/>
          <a:ext cx="1400175" cy="4286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66675</xdr:colOff>
      <xdr:row>102</xdr:row>
      <xdr:rowOff>0</xdr:rowOff>
    </xdr:from>
    <xdr:to>
      <xdr:col>12</xdr:col>
      <xdr:colOff>142875</xdr:colOff>
      <xdr:row>102</xdr:row>
      <xdr:rowOff>0</xdr:rowOff>
    </xdr:to>
    <xdr:pic>
      <xdr:nvPicPr>
        <xdr:cNvPr id="64701" name="Picture 41" descr="vosabblogo"/>
        <xdr:cNvPicPr>
          <a:picLocks noChangeAspect="1" noChangeArrowheads="1"/>
        </xdr:cNvPicPr>
      </xdr:nvPicPr>
      <xdr:blipFill>
        <a:blip xmlns:r="http://schemas.openxmlformats.org/officeDocument/2006/relationships" r:embed="rId1"/>
        <a:srcRect/>
        <a:stretch>
          <a:fillRect/>
        </a:stretch>
      </xdr:blipFill>
      <xdr:spPr bwMode="auto">
        <a:xfrm>
          <a:off x="8458200" y="16278225"/>
          <a:ext cx="1381125" cy="0"/>
        </a:xfrm>
        <a:prstGeom prst="rect">
          <a:avLst/>
        </a:prstGeom>
        <a:noFill/>
        <a:ln w="9525">
          <a:noFill/>
          <a:miter lim="800000"/>
          <a:headEnd/>
          <a:tailEnd/>
        </a:ln>
      </xdr:spPr>
    </xdr:pic>
    <xdr:clientData/>
  </xdr:twoCellAnchor>
  <xdr:twoCellAnchor>
    <xdr:from>
      <xdr:col>9</xdr:col>
      <xdr:colOff>1038225</xdr:colOff>
      <xdr:row>2</xdr:row>
      <xdr:rowOff>66675</xdr:rowOff>
    </xdr:from>
    <xdr:to>
      <xdr:col>12</xdr:col>
      <xdr:colOff>19050</xdr:colOff>
      <xdr:row>4</xdr:row>
      <xdr:rowOff>95250</xdr:rowOff>
    </xdr:to>
    <xdr:pic>
      <xdr:nvPicPr>
        <xdr:cNvPr id="64702" name="Picture 9"/>
        <xdr:cNvPicPr>
          <a:picLocks noChangeAspect="1" noChangeArrowheads="1"/>
        </xdr:cNvPicPr>
      </xdr:nvPicPr>
      <xdr:blipFill>
        <a:blip xmlns:r="http://schemas.openxmlformats.org/officeDocument/2006/relationships" r:embed="rId2"/>
        <a:srcRect/>
        <a:stretch>
          <a:fillRect/>
        </a:stretch>
      </xdr:blipFill>
      <xdr:spPr bwMode="auto">
        <a:xfrm>
          <a:off x="8305800" y="381000"/>
          <a:ext cx="1409700" cy="4286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18</xdr:col>
      <xdr:colOff>209550</xdr:colOff>
      <xdr:row>2</xdr:row>
      <xdr:rowOff>66675</xdr:rowOff>
    </xdr:from>
    <xdr:to>
      <xdr:col>20</xdr:col>
      <xdr:colOff>171450</xdr:colOff>
      <xdr:row>4</xdr:row>
      <xdr:rowOff>95250</xdr:rowOff>
    </xdr:to>
    <xdr:pic>
      <xdr:nvPicPr>
        <xdr:cNvPr id="78898" name="Picture 9"/>
        <xdr:cNvPicPr>
          <a:picLocks noChangeAspect="1" noChangeArrowheads="1"/>
        </xdr:cNvPicPr>
      </xdr:nvPicPr>
      <xdr:blipFill>
        <a:blip xmlns:r="http://schemas.openxmlformats.org/officeDocument/2006/relationships" r:embed="rId1"/>
        <a:srcRect/>
        <a:stretch>
          <a:fillRect/>
        </a:stretch>
      </xdr:blipFill>
      <xdr:spPr bwMode="auto">
        <a:xfrm>
          <a:off x="12230100" y="390525"/>
          <a:ext cx="1390650" cy="4286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762000</xdr:colOff>
      <xdr:row>2</xdr:row>
      <xdr:rowOff>66675</xdr:rowOff>
    </xdr:from>
    <xdr:to>
      <xdr:col>13</xdr:col>
      <xdr:colOff>0</xdr:colOff>
      <xdr:row>4</xdr:row>
      <xdr:rowOff>95250</xdr:rowOff>
    </xdr:to>
    <xdr:pic>
      <xdr:nvPicPr>
        <xdr:cNvPr id="2243" name="Picture 9"/>
        <xdr:cNvPicPr>
          <a:picLocks noChangeAspect="1" noChangeArrowheads="1"/>
        </xdr:cNvPicPr>
      </xdr:nvPicPr>
      <xdr:blipFill>
        <a:blip xmlns:r="http://schemas.openxmlformats.org/officeDocument/2006/relationships" r:embed="rId1"/>
        <a:srcRect/>
        <a:stretch>
          <a:fillRect/>
        </a:stretch>
      </xdr:blipFill>
      <xdr:spPr bwMode="auto">
        <a:xfrm>
          <a:off x="8267700" y="390525"/>
          <a:ext cx="1400175" cy="4286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18</xdr:col>
      <xdr:colOff>552450</xdr:colOff>
      <xdr:row>3</xdr:row>
      <xdr:rowOff>28575</xdr:rowOff>
    </xdr:from>
    <xdr:to>
      <xdr:col>22</xdr:col>
      <xdr:colOff>133350</xdr:colOff>
      <xdr:row>4</xdr:row>
      <xdr:rowOff>219075</xdr:rowOff>
    </xdr:to>
    <xdr:pic>
      <xdr:nvPicPr>
        <xdr:cNvPr id="67781" name="Picture 9"/>
        <xdr:cNvPicPr>
          <a:picLocks noChangeAspect="1" noChangeArrowheads="1"/>
        </xdr:cNvPicPr>
      </xdr:nvPicPr>
      <xdr:blipFill>
        <a:blip xmlns:r="http://schemas.openxmlformats.org/officeDocument/2006/relationships" r:embed="rId1"/>
        <a:srcRect/>
        <a:stretch>
          <a:fillRect/>
        </a:stretch>
      </xdr:blipFill>
      <xdr:spPr bwMode="auto">
        <a:xfrm>
          <a:off x="11220450" y="514350"/>
          <a:ext cx="1390650" cy="4286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18</xdr:col>
      <xdr:colOff>533400</xdr:colOff>
      <xdr:row>3</xdr:row>
      <xdr:rowOff>28575</xdr:rowOff>
    </xdr:from>
    <xdr:to>
      <xdr:col>22</xdr:col>
      <xdr:colOff>123825</xdr:colOff>
      <xdr:row>4</xdr:row>
      <xdr:rowOff>219075</xdr:rowOff>
    </xdr:to>
    <xdr:pic>
      <xdr:nvPicPr>
        <xdr:cNvPr id="66744" name="Picture 9"/>
        <xdr:cNvPicPr>
          <a:picLocks noChangeAspect="1" noChangeArrowheads="1"/>
        </xdr:cNvPicPr>
      </xdr:nvPicPr>
      <xdr:blipFill>
        <a:blip xmlns:r="http://schemas.openxmlformats.org/officeDocument/2006/relationships" r:embed="rId1"/>
        <a:srcRect/>
        <a:stretch>
          <a:fillRect/>
        </a:stretch>
      </xdr:blipFill>
      <xdr:spPr bwMode="auto">
        <a:xfrm>
          <a:off x="11201400" y="514350"/>
          <a:ext cx="1400175" cy="4286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18</xdr:col>
      <xdr:colOff>552450</xdr:colOff>
      <xdr:row>3</xdr:row>
      <xdr:rowOff>28575</xdr:rowOff>
    </xdr:from>
    <xdr:to>
      <xdr:col>22</xdr:col>
      <xdr:colOff>123825</xdr:colOff>
      <xdr:row>4</xdr:row>
      <xdr:rowOff>219075</xdr:rowOff>
    </xdr:to>
    <xdr:pic>
      <xdr:nvPicPr>
        <xdr:cNvPr id="65698" name="Picture 9"/>
        <xdr:cNvPicPr>
          <a:picLocks noChangeAspect="1" noChangeArrowheads="1"/>
        </xdr:cNvPicPr>
      </xdr:nvPicPr>
      <xdr:blipFill>
        <a:blip xmlns:r="http://schemas.openxmlformats.org/officeDocument/2006/relationships" r:embed="rId1"/>
        <a:srcRect/>
        <a:stretch>
          <a:fillRect/>
        </a:stretch>
      </xdr:blipFill>
      <xdr:spPr bwMode="auto">
        <a:xfrm>
          <a:off x="11220450" y="514350"/>
          <a:ext cx="1381125" cy="4286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10</xdr:col>
      <xdr:colOff>514350</xdr:colOff>
      <xdr:row>2</xdr:row>
      <xdr:rowOff>66675</xdr:rowOff>
    </xdr:from>
    <xdr:to>
      <xdr:col>13</xdr:col>
      <xdr:colOff>0</xdr:colOff>
      <xdr:row>4</xdr:row>
      <xdr:rowOff>95250</xdr:rowOff>
    </xdr:to>
    <xdr:pic>
      <xdr:nvPicPr>
        <xdr:cNvPr id="3245" name="Picture 9"/>
        <xdr:cNvPicPr>
          <a:picLocks noChangeAspect="1" noChangeArrowheads="1"/>
        </xdr:cNvPicPr>
      </xdr:nvPicPr>
      <xdr:blipFill>
        <a:blip xmlns:r="http://schemas.openxmlformats.org/officeDocument/2006/relationships" r:embed="rId1"/>
        <a:srcRect/>
        <a:stretch>
          <a:fillRect/>
        </a:stretch>
      </xdr:blipFill>
      <xdr:spPr bwMode="auto">
        <a:xfrm>
          <a:off x="7620000" y="390525"/>
          <a:ext cx="1381125" cy="4286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13</xdr:col>
      <xdr:colOff>752475</xdr:colOff>
      <xdr:row>2</xdr:row>
      <xdr:rowOff>66675</xdr:rowOff>
    </xdr:from>
    <xdr:to>
      <xdr:col>15</xdr:col>
      <xdr:colOff>171450</xdr:colOff>
      <xdr:row>4</xdr:row>
      <xdr:rowOff>95250</xdr:rowOff>
    </xdr:to>
    <xdr:pic>
      <xdr:nvPicPr>
        <xdr:cNvPr id="92198" name="Picture 9"/>
        <xdr:cNvPicPr>
          <a:picLocks noChangeAspect="1" noChangeArrowheads="1"/>
        </xdr:cNvPicPr>
      </xdr:nvPicPr>
      <xdr:blipFill>
        <a:blip xmlns:r="http://schemas.openxmlformats.org/officeDocument/2006/relationships" r:embed="rId1"/>
        <a:srcRect/>
        <a:stretch>
          <a:fillRect/>
        </a:stretch>
      </xdr:blipFill>
      <xdr:spPr bwMode="auto">
        <a:xfrm>
          <a:off x="12515850" y="390525"/>
          <a:ext cx="1400175" cy="428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08000" tIns="118800" rIns="126000" bIns="11880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08000" tIns="118800" rIns="126000" bIns="11880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goedhart@poraad.nl"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3.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C4:M216"/>
  <sheetViews>
    <sheetView showGridLines="0" zoomScale="85" zoomScaleNormal="85" zoomScaleSheetLayoutView="75" workbookViewId="0">
      <selection activeCell="B2" sqref="B2"/>
    </sheetView>
  </sheetViews>
  <sheetFormatPr defaultColWidth="9.140625" defaultRowHeight="12.75" x14ac:dyDescent="0.2"/>
  <cols>
    <col min="1" max="1" width="3.7109375" style="1199" customWidth="1"/>
    <col min="2" max="2" width="2.7109375" style="1199" customWidth="1"/>
    <col min="3" max="10" width="9.140625" style="1199"/>
    <col min="11" max="11" width="9.5703125" style="1199" bestFit="1" customWidth="1"/>
    <col min="12" max="12" width="12" style="1199" bestFit="1" customWidth="1"/>
    <col min="13" max="15" width="9.140625" style="1199"/>
    <col min="16" max="16" width="2.7109375" style="1199" customWidth="1"/>
    <col min="17" max="16384" width="9.140625" style="1199"/>
  </cols>
  <sheetData>
    <row r="4" spans="3:13" ht="15" x14ac:dyDescent="0.25">
      <c r="C4" s="1197" t="s">
        <v>743</v>
      </c>
      <c r="J4" s="1198" t="s">
        <v>77</v>
      </c>
      <c r="K4" s="1269">
        <v>41728</v>
      </c>
      <c r="M4" s="1202"/>
    </row>
    <row r="5" spans="3:13" x14ac:dyDescent="0.2">
      <c r="C5" s="1203"/>
    </row>
    <row r="6" spans="3:13" x14ac:dyDescent="0.2">
      <c r="C6" s="1203" t="s">
        <v>788</v>
      </c>
    </row>
    <row r="7" spans="3:13" x14ac:dyDescent="0.2">
      <c r="C7" s="1199" t="s">
        <v>789</v>
      </c>
    </row>
    <row r="8" spans="3:13" x14ac:dyDescent="0.2">
      <c r="C8" s="1203"/>
    </row>
    <row r="9" spans="3:13" x14ac:dyDescent="0.2">
      <c r="C9" s="1203" t="s">
        <v>779</v>
      </c>
    </row>
    <row r="10" spans="3:13" x14ac:dyDescent="0.2">
      <c r="C10" s="1199" t="s">
        <v>780</v>
      </c>
    </row>
    <row r="11" spans="3:13" x14ac:dyDescent="0.2">
      <c r="C11" s="1199" t="s">
        <v>781</v>
      </c>
    </row>
    <row r="12" spans="3:13" x14ac:dyDescent="0.2">
      <c r="C12" s="1199" t="s">
        <v>782</v>
      </c>
    </row>
    <row r="13" spans="3:13" x14ac:dyDescent="0.2">
      <c r="C13" s="1199" t="s">
        <v>786</v>
      </c>
    </row>
    <row r="14" spans="3:13" x14ac:dyDescent="0.2">
      <c r="C14" s="1199" t="s">
        <v>783</v>
      </c>
    </row>
    <row r="15" spans="3:13" x14ac:dyDescent="0.2">
      <c r="C15" s="1199" t="s">
        <v>784</v>
      </c>
    </row>
    <row r="17" spans="3:8" x14ac:dyDescent="0.2">
      <c r="C17" s="1203" t="s">
        <v>120</v>
      </c>
    </row>
    <row r="18" spans="3:8" x14ac:dyDescent="0.2">
      <c r="C18" s="1199" t="s">
        <v>78</v>
      </c>
      <c r="G18" s="1264" t="s">
        <v>51</v>
      </c>
      <c r="H18" s="1199" t="s">
        <v>698</v>
      </c>
    </row>
    <row r="19" spans="3:8" x14ac:dyDescent="0.2">
      <c r="C19" s="1199" t="s">
        <v>80</v>
      </c>
    </row>
    <row r="21" spans="3:8" x14ac:dyDescent="0.2">
      <c r="C21" s="1199" t="s">
        <v>758</v>
      </c>
    </row>
    <row r="22" spans="3:8" x14ac:dyDescent="0.2">
      <c r="C22" s="1199" t="s">
        <v>759</v>
      </c>
    </row>
    <row r="23" spans="3:8" x14ac:dyDescent="0.2">
      <c r="C23" s="1199" t="s">
        <v>760</v>
      </c>
    </row>
    <row r="24" spans="3:8" x14ac:dyDescent="0.2">
      <c r="C24" s="1273" t="s">
        <v>764</v>
      </c>
    </row>
    <row r="25" spans="3:8" x14ac:dyDescent="0.2">
      <c r="C25" s="1273" t="s">
        <v>771</v>
      </c>
    </row>
    <row r="27" spans="3:8" x14ac:dyDescent="0.2">
      <c r="C27" s="1199" t="s">
        <v>83</v>
      </c>
    </row>
    <row r="28" spans="3:8" x14ac:dyDescent="0.2">
      <c r="C28" s="1199" t="s">
        <v>84</v>
      </c>
    </row>
    <row r="29" spans="3:8" x14ac:dyDescent="0.2">
      <c r="C29" s="1199" t="s">
        <v>85</v>
      </c>
    </row>
    <row r="30" spans="3:8" x14ac:dyDescent="0.2">
      <c r="C30" s="1199" t="s">
        <v>626</v>
      </c>
    </row>
    <row r="32" spans="3:8" x14ac:dyDescent="0.2">
      <c r="C32" s="1199" t="s">
        <v>86</v>
      </c>
    </row>
    <row r="34" spans="3:3" x14ac:dyDescent="0.2">
      <c r="C34" s="1203" t="s">
        <v>119</v>
      </c>
    </row>
    <row r="35" spans="3:3" x14ac:dyDescent="0.2">
      <c r="C35" s="1203"/>
    </row>
    <row r="36" spans="3:3" x14ac:dyDescent="0.2">
      <c r="C36" s="1199" t="s">
        <v>87</v>
      </c>
    </row>
    <row r="37" spans="3:3" x14ac:dyDescent="0.2">
      <c r="C37" s="1199" t="s">
        <v>90</v>
      </c>
    </row>
    <row r="39" spans="3:3" x14ac:dyDescent="0.2">
      <c r="C39" s="1199" t="s">
        <v>73</v>
      </c>
    </row>
    <row r="40" spans="3:3" x14ac:dyDescent="0.2">
      <c r="C40" s="1199" t="s">
        <v>39</v>
      </c>
    </row>
    <row r="41" spans="3:3" x14ac:dyDescent="0.2">
      <c r="C41" s="1199" t="s">
        <v>41</v>
      </c>
    </row>
    <row r="42" spans="3:3" x14ac:dyDescent="0.2">
      <c r="C42" s="1265" t="s">
        <v>40</v>
      </c>
    </row>
    <row r="43" spans="3:3" x14ac:dyDescent="0.2">
      <c r="C43" s="1199" t="s">
        <v>744</v>
      </c>
    </row>
    <row r="45" spans="3:3" x14ac:dyDescent="0.2">
      <c r="C45" s="1199" t="s">
        <v>91</v>
      </c>
    </row>
    <row r="46" spans="3:3" x14ac:dyDescent="0.2">
      <c r="C46" s="1199" t="s">
        <v>699</v>
      </c>
    </row>
    <row r="48" spans="3:3" x14ac:dyDescent="0.2">
      <c r="C48" s="1199" t="s">
        <v>740</v>
      </c>
    </row>
    <row r="49" spans="3:3" x14ac:dyDescent="0.2">
      <c r="C49" s="1199" t="s">
        <v>669</v>
      </c>
    </row>
    <row r="51" spans="3:3" x14ac:dyDescent="0.2">
      <c r="C51" s="1199" t="s">
        <v>109</v>
      </c>
    </row>
    <row r="53" spans="3:3" x14ac:dyDescent="0.2">
      <c r="C53" s="1203" t="s">
        <v>121</v>
      </c>
    </row>
    <row r="55" spans="3:3" x14ac:dyDescent="0.2">
      <c r="C55" s="1199" t="s">
        <v>122</v>
      </c>
    </row>
    <row r="56" spans="3:3" x14ac:dyDescent="0.2">
      <c r="C56" s="1199" t="s">
        <v>123</v>
      </c>
    </row>
    <row r="57" spans="3:3" x14ac:dyDescent="0.2">
      <c r="C57" s="1199" t="s">
        <v>124</v>
      </c>
    </row>
    <row r="58" spans="3:3" x14ac:dyDescent="0.2">
      <c r="C58" s="1199" t="s">
        <v>125</v>
      </c>
    </row>
    <row r="59" spans="3:3" x14ac:dyDescent="0.2">
      <c r="C59" s="1199" t="s">
        <v>126</v>
      </c>
    </row>
    <row r="61" spans="3:3" x14ac:dyDescent="0.2">
      <c r="C61" s="1200" t="s">
        <v>745</v>
      </c>
    </row>
    <row r="62" spans="3:3" x14ac:dyDescent="0.2">
      <c r="C62" s="1200" t="s">
        <v>746</v>
      </c>
    </row>
    <row r="63" spans="3:3" x14ac:dyDescent="0.2">
      <c r="C63" s="1200" t="s">
        <v>728</v>
      </c>
    </row>
    <row r="64" spans="3:3" x14ac:dyDescent="0.2">
      <c r="C64" s="1200" t="s">
        <v>473</v>
      </c>
    </row>
    <row r="66" spans="3:3" x14ac:dyDescent="0.2">
      <c r="C66" s="1199" t="s">
        <v>359</v>
      </c>
    </row>
    <row r="67" spans="3:3" x14ac:dyDescent="0.2">
      <c r="C67" s="1199" t="s">
        <v>747</v>
      </c>
    </row>
    <row r="68" spans="3:3" x14ac:dyDescent="0.2">
      <c r="C68" s="1199" t="s">
        <v>700</v>
      </c>
    </row>
    <row r="69" spans="3:3" x14ac:dyDescent="0.2">
      <c r="C69" s="1199" t="s">
        <v>741</v>
      </c>
    </row>
    <row r="71" spans="3:3" x14ac:dyDescent="0.2">
      <c r="C71" s="1203" t="s">
        <v>127</v>
      </c>
    </row>
    <row r="72" spans="3:3" x14ac:dyDescent="0.2">
      <c r="C72" s="1203"/>
    </row>
    <row r="73" spans="3:3" x14ac:dyDescent="0.2">
      <c r="C73" s="1199" t="s">
        <v>199</v>
      </c>
    </row>
    <row r="75" spans="3:3" x14ac:dyDescent="0.2">
      <c r="C75" s="1200" t="s">
        <v>228</v>
      </c>
    </row>
    <row r="76" spans="3:3" x14ac:dyDescent="0.2">
      <c r="C76" s="1199" t="s">
        <v>230</v>
      </c>
    </row>
    <row r="77" spans="3:3" x14ac:dyDescent="0.2">
      <c r="C77" s="1199" t="s">
        <v>748</v>
      </c>
    </row>
    <row r="78" spans="3:3" x14ac:dyDescent="0.2">
      <c r="C78" s="1199" t="s">
        <v>749</v>
      </c>
    </row>
    <row r="79" spans="3:3" x14ac:dyDescent="0.2">
      <c r="C79" s="1199" t="s">
        <v>395</v>
      </c>
    </row>
    <row r="81" spans="3:3" x14ac:dyDescent="0.2">
      <c r="C81" s="1199" t="s">
        <v>472</v>
      </c>
    </row>
    <row r="82" spans="3:3" x14ac:dyDescent="0.2">
      <c r="C82" s="1199" t="s">
        <v>151</v>
      </c>
    </row>
    <row r="83" spans="3:3" x14ac:dyDescent="0.2">
      <c r="C83" s="1199" t="s">
        <v>128</v>
      </c>
    </row>
    <row r="84" spans="3:3" x14ac:dyDescent="0.2">
      <c r="C84" s="1199" t="s">
        <v>129</v>
      </c>
    </row>
    <row r="86" spans="3:3" x14ac:dyDescent="0.2">
      <c r="C86" s="1200" t="s">
        <v>670</v>
      </c>
    </row>
    <row r="87" spans="3:3" x14ac:dyDescent="0.2">
      <c r="C87" s="1199" t="s">
        <v>74</v>
      </c>
    </row>
    <row r="88" spans="3:3" x14ac:dyDescent="0.2">
      <c r="C88" s="1199" t="s">
        <v>131</v>
      </c>
    </row>
    <row r="89" spans="3:3" x14ac:dyDescent="0.2">
      <c r="C89" s="1199" t="s">
        <v>130</v>
      </c>
    </row>
    <row r="90" spans="3:3" x14ac:dyDescent="0.2">
      <c r="C90" s="1199" t="s">
        <v>772</v>
      </c>
    </row>
    <row r="92" spans="3:3" x14ac:dyDescent="0.2">
      <c r="C92" s="1199" t="s">
        <v>474</v>
      </c>
    </row>
    <row r="93" spans="3:3" x14ac:dyDescent="0.2">
      <c r="C93" s="1199" t="s">
        <v>750</v>
      </c>
    </row>
    <row r="95" spans="3:3" x14ac:dyDescent="0.2">
      <c r="C95" s="1266" t="s">
        <v>157</v>
      </c>
    </row>
    <row r="96" spans="3:3" x14ac:dyDescent="0.2">
      <c r="C96" s="1201" t="s">
        <v>477</v>
      </c>
    </row>
    <row r="97" spans="3:3" x14ac:dyDescent="0.2">
      <c r="C97" s="1201" t="s">
        <v>676</v>
      </c>
    </row>
    <row r="98" spans="3:3" x14ac:dyDescent="0.2">
      <c r="C98" s="1201" t="s">
        <v>213</v>
      </c>
    </row>
    <row r="99" spans="3:3" x14ac:dyDescent="0.2">
      <c r="C99" s="1201" t="s">
        <v>5</v>
      </c>
    </row>
    <row r="100" spans="3:3" x14ac:dyDescent="0.2">
      <c r="C100" s="1201"/>
    </row>
    <row r="101" spans="3:3" x14ac:dyDescent="0.2">
      <c r="C101" s="1267" t="s">
        <v>133</v>
      </c>
    </row>
    <row r="102" spans="3:3" x14ac:dyDescent="0.2">
      <c r="C102" s="1267"/>
    </row>
    <row r="103" spans="3:3" x14ac:dyDescent="0.2">
      <c r="C103" s="1201" t="s">
        <v>210</v>
      </c>
    </row>
    <row r="104" spans="3:3" x14ac:dyDescent="0.2">
      <c r="C104" s="1201" t="s">
        <v>211</v>
      </c>
    </row>
    <row r="105" spans="3:3" x14ac:dyDescent="0.2">
      <c r="C105" s="1201" t="s">
        <v>212</v>
      </c>
    </row>
    <row r="106" spans="3:3" x14ac:dyDescent="0.2">
      <c r="C106" s="1201" t="s">
        <v>110</v>
      </c>
    </row>
    <row r="107" spans="3:3" x14ac:dyDescent="0.2">
      <c r="C107" s="1201" t="s">
        <v>111</v>
      </c>
    </row>
    <row r="108" spans="3:3" x14ac:dyDescent="0.2">
      <c r="C108" s="1201"/>
    </row>
    <row r="109" spans="3:3" x14ac:dyDescent="0.2">
      <c r="C109" s="1201" t="s">
        <v>42</v>
      </c>
    </row>
    <row r="110" spans="3:3" x14ac:dyDescent="0.2">
      <c r="C110" s="1201" t="s">
        <v>43</v>
      </c>
    </row>
    <row r="111" spans="3:3" x14ac:dyDescent="0.2">
      <c r="C111" s="1201" t="s">
        <v>214</v>
      </c>
    </row>
    <row r="112" spans="3:3" x14ac:dyDescent="0.2">
      <c r="C112" s="1201" t="s">
        <v>215</v>
      </c>
    </row>
    <row r="113" spans="3:3" x14ac:dyDescent="0.2">
      <c r="C113" s="1201" t="s">
        <v>475</v>
      </c>
    </row>
    <row r="114" spans="3:3" x14ac:dyDescent="0.2">
      <c r="C114" s="1201"/>
    </row>
    <row r="115" spans="3:3" x14ac:dyDescent="0.2">
      <c r="C115" s="1201" t="s">
        <v>785</v>
      </c>
    </row>
    <row r="116" spans="3:3" x14ac:dyDescent="0.2">
      <c r="C116" s="1201" t="s">
        <v>675</v>
      </c>
    </row>
    <row r="117" spans="3:3" x14ac:dyDescent="0.2">
      <c r="C117" s="1201" t="s">
        <v>677</v>
      </c>
    </row>
    <row r="118" spans="3:3" x14ac:dyDescent="0.2">
      <c r="C118" s="1201" t="s">
        <v>678</v>
      </c>
    </row>
    <row r="119" spans="3:3" x14ac:dyDescent="0.2">
      <c r="C119" s="1201"/>
    </row>
    <row r="120" spans="3:3" x14ac:dyDescent="0.2">
      <c r="C120" s="1267" t="s">
        <v>134</v>
      </c>
    </row>
    <row r="121" spans="3:3" x14ac:dyDescent="0.2">
      <c r="C121" s="1267"/>
    </row>
    <row r="122" spans="3:3" x14ac:dyDescent="0.2">
      <c r="C122" s="1201" t="s">
        <v>196</v>
      </c>
    </row>
    <row r="123" spans="3:3" x14ac:dyDescent="0.2">
      <c r="C123" s="1201" t="s">
        <v>216</v>
      </c>
    </row>
    <row r="124" spans="3:3" x14ac:dyDescent="0.2">
      <c r="C124" s="1201" t="s">
        <v>217</v>
      </c>
    </row>
    <row r="125" spans="3:3" x14ac:dyDescent="0.2">
      <c r="C125" s="1201" t="s">
        <v>218</v>
      </c>
    </row>
    <row r="126" spans="3:3" x14ac:dyDescent="0.2">
      <c r="C126" s="1201" t="s">
        <v>226</v>
      </c>
    </row>
    <row r="127" spans="3:3" x14ac:dyDescent="0.2">
      <c r="C127" s="1201" t="s">
        <v>227</v>
      </c>
    </row>
    <row r="128" spans="3:3" x14ac:dyDescent="0.2">
      <c r="C128" s="1201"/>
    </row>
    <row r="129" spans="3:3" x14ac:dyDescent="0.2">
      <c r="C129" s="1267" t="s">
        <v>135</v>
      </c>
    </row>
    <row r="130" spans="3:3" x14ac:dyDescent="0.2">
      <c r="C130" s="1267"/>
    </row>
    <row r="131" spans="3:3" x14ac:dyDescent="0.2">
      <c r="C131" s="1201" t="s">
        <v>701</v>
      </c>
    </row>
    <row r="133" spans="3:3" x14ac:dyDescent="0.2">
      <c r="C133" s="1203" t="s">
        <v>136</v>
      </c>
    </row>
    <row r="134" spans="3:3" x14ac:dyDescent="0.2">
      <c r="C134" s="1202"/>
    </row>
    <row r="135" spans="3:3" x14ac:dyDescent="0.2">
      <c r="C135" s="1199" t="s">
        <v>671</v>
      </c>
    </row>
    <row r="136" spans="3:3" x14ac:dyDescent="0.2">
      <c r="C136" s="1199" t="s">
        <v>137</v>
      </c>
    </row>
    <row r="137" spans="3:3" x14ac:dyDescent="0.2">
      <c r="C137" s="1199" t="s">
        <v>476</v>
      </c>
    </row>
    <row r="139" spans="3:3" x14ac:dyDescent="0.2">
      <c r="C139" s="1199" t="s">
        <v>156</v>
      </c>
    </row>
    <row r="140" spans="3:3" x14ac:dyDescent="0.2">
      <c r="C140" s="1199" t="s">
        <v>138</v>
      </c>
    </row>
    <row r="141" spans="3:3" x14ac:dyDescent="0.2">
      <c r="C141" s="1199" t="s">
        <v>702</v>
      </c>
    </row>
    <row r="143" spans="3:3" x14ac:dyDescent="0.2">
      <c r="C143" s="1199" t="s">
        <v>316</v>
      </c>
    </row>
    <row r="144" spans="3:3" x14ac:dyDescent="0.2">
      <c r="C144" s="1199" t="s">
        <v>773</v>
      </c>
    </row>
    <row r="146" spans="3:3" x14ac:dyDescent="0.2">
      <c r="C146" s="1203" t="s">
        <v>139</v>
      </c>
    </row>
    <row r="147" spans="3:3" x14ac:dyDescent="0.2">
      <c r="C147" s="1203"/>
    </row>
    <row r="148" spans="3:3" x14ac:dyDescent="0.2">
      <c r="C148" s="1199" t="s">
        <v>491</v>
      </c>
    </row>
    <row r="149" spans="3:3" x14ac:dyDescent="0.2">
      <c r="C149" s="1199" t="s">
        <v>492</v>
      </c>
    </row>
    <row r="151" spans="3:3" x14ac:dyDescent="0.2">
      <c r="C151" s="1203" t="s">
        <v>140</v>
      </c>
    </row>
    <row r="152" spans="3:3" x14ac:dyDescent="0.2">
      <c r="C152" s="1203"/>
    </row>
    <row r="153" spans="3:3" x14ac:dyDescent="0.2">
      <c r="C153" s="1199" t="s">
        <v>116</v>
      </c>
    </row>
    <row r="154" spans="3:3" x14ac:dyDescent="0.2">
      <c r="C154" s="1199" t="s">
        <v>478</v>
      </c>
    </row>
    <row r="155" spans="3:3" x14ac:dyDescent="0.2">
      <c r="C155" s="1199" t="s">
        <v>479</v>
      </c>
    </row>
    <row r="157" spans="3:3" x14ac:dyDescent="0.2">
      <c r="C157" s="1203" t="s">
        <v>141</v>
      </c>
    </row>
    <row r="159" spans="3:3" x14ac:dyDescent="0.2">
      <c r="C159" s="1199" t="s">
        <v>493</v>
      </c>
    </row>
    <row r="160" spans="3:3" x14ac:dyDescent="0.2">
      <c r="C160" s="1199" t="s">
        <v>497</v>
      </c>
    </row>
    <row r="161" spans="3:3" x14ac:dyDescent="0.2">
      <c r="C161" s="1199" t="s">
        <v>679</v>
      </c>
    </row>
    <row r="163" spans="3:3" x14ac:dyDescent="0.2">
      <c r="C163" s="1203" t="s">
        <v>703</v>
      </c>
    </row>
    <row r="165" spans="3:3" x14ac:dyDescent="0.2">
      <c r="C165" s="1199" t="s">
        <v>712</v>
      </c>
    </row>
    <row r="166" spans="3:3" x14ac:dyDescent="0.2">
      <c r="C166" s="1199" t="s">
        <v>713</v>
      </c>
    </row>
    <row r="167" spans="3:3" x14ac:dyDescent="0.2">
      <c r="C167" s="1199" t="s">
        <v>714</v>
      </c>
    </row>
    <row r="169" spans="3:3" x14ac:dyDescent="0.2">
      <c r="C169" s="1203" t="s">
        <v>704</v>
      </c>
    </row>
    <row r="171" spans="3:3" x14ac:dyDescent="0.2">
      <c r="C171" s="1199" t="s">
        <v>774</v>
      </c>
    </row>
    <row r="172" spans="3:3" x14ac:dyDescent="0.2">
      <c r="C172" s="1199" t="s">
        <v>142</v>
      </c>
    </row>
    <row r="174" spans="3:3" x14ac:dyDescent="0.2">
      <c r="C174" s="1203" t="s">
        <v>705</v>
      </c>
    </row>
    <row r="175" spans="3:3" x14ac:dyDescent="0.2">
      <c r="C175" s="1203"/>
    </row>
    <row r="176" spans="3:3" x14ac:dyDescent="0.2">
      <c r="C176" s="1201" t="s">
        <v>219</v>
      </c>
    </row>
    <row r="177" spans="3:3" x14ac:dyDescent="0.2">
      <c r="C177" s="1201" t="s">
        <v>222</v>
      </c>
    </row>
    <row r="179" spans="3:3" x14ac:dyDescent="0.2">
      <c r="C179" s="1203" t="s">
        <v>706</v>
      </c>
    </row>
    <row r="180" spans="3:3" x14ac:dyDescent="0.2">
      <c r="C180" s="1203"/>
    </row>
    <row r="181" spans="3:3" x14ac:dyDescent="0.2">
      <c r="C181" s="1201" t="s">
        <v>680</v>
      </c>
    </row>
    <row r="182" spans="3:3" x14ac:dyDescent="0.2">
      <c r="C182" s="1201" t="s">
        <v>118</v>
      </c>
    </row>
    <row r="184" spans="3:3" x14ac:dyDescent="0.2">
      <c r="C184" s="1203" t="s">
        <v>707</v>
      </c>
    </row>
    <row r="186" spans="3:3" x14ac:dyDescent="0.2">
      <c r="C186" s="1201" t="s">
        <v>223</v>
      </c>
    </row>
    <row r="187" spans="3:3" x14ac:dyDescent="0.2">
      <c r="C187" s="1201" t="s">
        <v>224</v>
      </c>
    </row>
    <row r="188" spans="3:3" x14ac:dyDescent="0.2">
      <c r="C188" s="1201"/>
    </row>
    <row r="189" spans="3:3" x14ac:dyDescent="0.2">
      <c r="C189" s="1201" t="s">
        <v>396</v>
      </c>
    </row>
    <row r="190" spans="3:3" x14ac:dyDescent="0.2">
      <c r="C190" s="1201"/>
    </row>
    <row r="191" spans="3:3" x14ac:dyDescent="0.2">
      <c r="C191" s="1201" t="s">
        <v>197</v>
      </c>
    </row>
    <row r="192" spans="3:3" x14ac:dyDescent="0.2">
      <c r="C192" s="1201" t="s">
        <v>775</v>
      </c>
    </row>
    <row r="193" spans="3:3" x14ac:dyDescent="0.2">
      <c r="C193" s="1199" t="s">
        <v>225</v>
      </c>
    </row>
    <row r="195" spans="3:3" x14ac:dyDescent="0.2">
      <c r="C195" s="1203" t="s">
        <v>708</v>
      </c>
    </row>
    <row r="196" spans="3:3" x14ac:dyDescent="0.2">
      <c r="C196" s="1199" t="s">
        <v>354</v>
      </c>
    </row>
    <row r="197" spans="3:3" x14ac:dyDescent="0.2">
      <c r="C197" s="1199" t="s">
        <v>360</v>
      </c>
    </row>
    <row r="199" spans="3:3" x14ac:dyDescent="0.2">
      <c r="C199" s="1203" t="s">
        <v>709</v>
      </c>
    </row>
    <row r="200" spans="3:3" x14ac:dyDescent="0.2">
      <c r="C200" s="1203"/>
    </row>
    <row r="201" spans="3:3" x14ac:dyDescent="0.2">
      <c r="C201" s="1201" t="s">
        <v>498</v>
      </c>
    </row>
    <row r="202" spans="3:3" x14ac:dyDescent="0.2">
      <c r="C202" s="1201" t="s">
        <v>711</v>
      </c>
    </row>
    <row r="203" spans="3:3" x14ac:dyDescent="0.2">
      <c r="C203" s="1199" t="s">
        <v>751</v>
      </c>
    </row>
    <row r="204" spans="3:3" x14ac:dyDescent="0.2">
      <c r="C204" s="1199" t="s">
        <v>132</v>
      </c>
    </row>
    <row r="205" spans="3:3" x14ac:dyDescent="0.2">
      <c r="C205" s="1199" t="s">
        <v>143</v>
      </c>
    </row>
    <row r="207" spans="3:3" x14ac:dyDescent="0.2">
      <c r="C207" s="1203" t="s">
        <v>710</v>
      </c>
    </row>
    <row r="209" spans="3:6" x14ac:dyDescent="0.2">
      <c r="C209" s="1201" t="s">
        <v>672</v>
      </c>
    </row>
    <row r="210" spans="3:6" x14ac:dyDescent="0.2">
      <c r="C210" s="1199" t="s">
        <v>776</v>
      </c>
    </row>
    <row r="211" spans="3:6" x14ac:dyDescent="0.2">
      <c r="C211" s="1199" t="s">
        <v>777</v>
      </c>
    </row>
    <row r="213" spans="3:6" x14ac:dyDescent="0.2">
      <c r="C213" s="1203" t="s">
        <v>155</v>
      </c>
    </row>
    <row r="214" spans="3:6" x14ac:dyDescent="0.2">
      <c r="C214" s="1203"/>
    </row>
    <row r="215" spans="3:6" x14ac:dyDescent="0.2">
      <c r="C215" s="1201" t="s">
        <v>198</v>
      </c>
    </row>
    <row r="216" spans="3:6" x14ac:dyDescent="0.2">
      <c r="C216" s="1199" t="s">
        <v>628</v>
      </c>
      <c r="F216" s="1268" t="s">
        <v>627</v>
      </c>
    </row>
  </sheetData>
  <sheetProtection password="DFB1" sheet="1" objects="1" scenarios="1"/>
  <phoneticPr fontId="0" type="noConversion"/>
  <hyperlinks>
    <hyperlink ref="F216" r:id="rId1"/>
  </hyperlinks>
  <pageMargins left="0.74803149606299213" right="0.74803149606299213" top="0.98425196850393704" bottom="0.98425196850393704" header="0.51181102362204722" footer="0.51181102362204722"/>
  <pageSetup paperSize="9" scale="65" orientation="portrait" r:id="rId2"/>
  <headerFooter alignWithMargins="0">
    <oddHeader>&amp;L&amp;"Arial,Vet"&amp;F&amp;R&amp;"Arial,Vet"&amp;A</oddHeader>
    <oddFooter>&amp;L&amp;"Arial,Vet"PO-Raad&amp;C&amp;"Arial,Vet"&amp;D&amp;R&amp;"Arial,Vet"pagina &amp;P</oddFooter>
  </headerFooter>
  <rowBreaks count="2" manualBreakCount="2">
    <brk id="84" min="1" max="15" man="1"/>
    <brk id="155" min="1" max="15" man="1"/>
  </rowBreaks>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
  <dimension ref="B2:AD144"/>
  <sheetViews>
    <sheetView zoomScale="85" zoomScaleNormal="85" zoomScaleSheetLayoutView="55" workbookViewId="0">
      <pane ySplit="13" topLeftCell="A14" activePane="bottomLeft" state="frozen"/>
      <selection activeCell="B2" sqref="B2"/>
      <selection pane="bottomLeft" activeCell="B2" sqref="B2"/>
    </sheetView>
  </sheetViews>
  <sheetFormatPr defaultColWidth="9.140625" defaultRowHeight="12.75" x14ac:dyDescent="0.2"/>
  <cols>
    <col min="1" max="1" width="3.7109375" style="86" customWidth="1"/>
    <col min="2" max="3" width="2.7109375" style="86" customWidth="1"/>
    <col min="4" max="5" width="25.7109375" style="363" customWidth="1"/>
    <col min="6" max="7" width="8.7109375" style="202" customWidth="1"/>
    <col min="8" max="10" width="10.7109375" style="202" customWidth="1"/>
    <col min="11" max="11" width="0.85546875" style="86" customWidth="1"/>
    <col min="12" max="12" width="12.7109375" style="86" hidden="1" customWidth="1"/>
    <col min="13" max="16" width="10.7109375" style="86" customWidth="1"/>
    <col min="17" max="17" width="0.85546875" style="86" customWidth="1"/>
    <col min="18" max="22" width="10.7109375" style="86" customWidth="1"/>
    <col min="23" max="23" width="0.85546875" style="86" customWidth="1"/>
    <col min="24" max="26" width="12.7109375" style="86" customWidth="1"/>
    <col min="27" max="28" width="10.7109375" style="86" customWidth="1"/>
    <col min="29" max="30" width="2.7109375" style="86" customWidth="1"/>
    <col min="31" max="16384" width="9.140625" style="86"/>
  </cols>
  <sheetData>
    <row r="2" spans="2:30" x14ac:dyDescent="0.2">
      <c r="B2" s="88"/>
      <c r="C2" s="88"/>
      <c r="D2" s="303"/>
      <c r="E2" s="303"/>
      <c r="F2" s="204"/>
      <c r="G2" s="204"/>
      <c r="H2" s="204"/>
      <c r="I2" s="204"/>
      <c r="J2" s="204"/>
      <c r="K2" s="88"/>
      <c r="L2" s="88"/>
      <c r="M2" s="88"/>
      <c r="N2" s="88"/>
      <c r="O2" s="88"/>
      <c r="P2" s="88"/>
      <c r="Q2" s="88"/>
      <c r="R2" s="88"/>
      <c r="S2" s="88"/>
      <c r="T2" s="88"/>
      <c r="U2" s="88"/>
      <c r="V2" s="88"/>
      <c r="W2" s="88"/>
      <c r="X2" s="88"/>
      <c r="Y2" s="88"/>
      <c r="Z2" s="88"/>
      <c r="AA2" s="88"/>
      <c r="AB2" s="88"/>
      <c r="AC2" s="88"/>
      <c r="AD2" s="88"/>
    </row>
    <row r="3" spans="2:30" x14ac:dyDescent="0.2">
      <c r="B3" s="88"/>
      <c r="C3" s="88"/>
      <c r="D3" s="303"/>
      <c r="E3" s="303"/>
      <c r="F3" s="204"/>
      <c r="G3" s="204"/>
      <c r="H3" s="204"/>
      <c r="I3" s="204"/>
      <c r="J3" s="204"/>
      <c r="K3" s="88"/>
      <c r="L3" s="88"/>
      <c r="M3" s="88"/>
      <c r="N3" s="88"/>
      <c r="O3" s="88"/>
      <c r="P3" s="88"/>
      <c r="Q3" s="88"/>
      <c r="R3" s="88"/>
      <c r="S3" s="88"/>
      <c r="T3" s="88"/>
      <c r="U3" s="88"/>
      <c r="V3" s="88"/>
      <c r="W3" s="88"/>
      <c r="X3" s="88"/>
      <c r="Y3" s="88"/>
      <c r="Z3" s="88"/>
      <c r="AA3" s="88"/>
      <c r="AB3" s="88"/>
      <c r="AC3" s="88"/>
      <c r="AD3" s="88"/>
    </row>
    <row r="4" spans="2:30" s="711" customFormat="1" ht="18" customHeight="1" x14ac:dyDescent="0.3">
      <c r="B4" s="254"/>
      <c r="C4" s="94" t="s">
        <v>538</v>
      </c>
      <c r="D4" s="254"/>
      <c r="E4" s="893"/>
      <c r="F4" s="894"/>
      <c r="G4" s="894"/>
      <c r="H4" s="894"/>
      <c r="I4" s="894"/>
      <c r="J4" s="894"/>
      <c r="K4" s="254"/>
      <c r="L4" s="254"/>
      <c r="M4" s="254"/>
      <c r="N4" s="254"/>
      <c r="O4" s="254"/>
      <c r="P4" s="254"/>
      <c r="Q4" s="254"/>
      <c r="R4" s="254"/>
      <c r="S4" s="254"/>
      <c r="T4" s="254"/>
      <c r="U4" s="254"/>
      <c r="V4" s="254"/>
      <c r="W4" s="254"/>
      <c r="X4" s="254"/>
      <c r="Y4" s="254"/>
      <c r="Z4" s="254"/>
      <c r="AA4" s="254"/>
      <c r="AB4" s="254"/>
      <c r="AC4" s="254"/>
      <c r="AD4" s="254"/>
    </row>
    <row r="5" spans="2:30" s="435" customFormat="1" ht="17.25" customHeight="1" x14ac:dyDescent="0.25">
      <c r="B5" s="437"/>
      <c r="C5" s="437" t="s">
        <v>666</v>
      </c>
      <c r="D5" s="208"/>
      <c r="E5" s="895"/>
      <c r="F5" s="613"/>
      <c r="G5" s="613"/>
      <c r="H5" s="613"/>
      <c r="I5" s="613"/>
      <c r="J5" s="613"/>
      <c r="K5" s="437"/>
      <c r="L5" s="437"/>
      <c r="M5" s="437"/>
      <c r="N5" s="437"/>
      <c r="O5" s="437"/>
      <c r="P5" s="437"/>
      <c r="Q5" s="437"/>
      <c r="R5" s="437"/>
      <c r="S5" s="437"/>
      <c r="T5" s="437"/>
      <c r="U5" s="437"/>
      <c r="V5" s="437"/>
      <c r="W5" s="437"/>
      <c r="X5" s="437"/>
      <c r="Y5" s="437"/>
      <c r="Z5" s="437"/>
      <c r="AA5" s="437"/>
      <c r="AB5" s="437"/>
      <c r="AC5" s="437"/>
      <c r="AD5" s="437"/>
    </row>
    <row r="6" spans="2:30" ht="18.75" customHeight="1" x14ac:dyDescent="0.3">
      <c r="B6" s="88"/>
      <c r="C6" s="99" t="str">
        <f>geg!G12</f>
        <v>Basisschool</v>
      </c>
      <c r="D6" s="237"/>
      <c r="E6" s="303"/>
      <c r="F6" s="204"/>
      <c r="G6" s="204"/>
      <c r="H6" s="204"/>
      <c r="I6" s="204"/>
      <c r="J6" s="204"/>
      <c r="K6" s="88"/>
      <c r="L6" s="88"/>
      <c r="M6" s="88"/>
      <c r="N6" s="88"/>
      <c r="O6" s="88"/>
      <c r="P6" s="88"/>
      <c r="Q6" s="88"/>
      <c r="R6" s="88"/>
      <c r="S6" s="88"/>
      <c r="T6" s="88"/>
      <c r="U6" s="88"/>
      <c r="V6" s="88"/>
      <c r="W6" s="88"/>
      <c r="X6" s="88"/>
      <c r="Y6" s="88"/>
      <c r="Z6" s="88"/>
      <c r="AA6" s="88"/>
      <c r="AB6" s="88"/>
      <c r="AC6" s="88"/>
      <c r="AD6" s="88"/>
    </row>
    <row r="7" spans="2:30" ht="12" customHeight="1" x14ac:dyDescent="0.25">
      <c r="B7" s="88"/>
      <c r="C7" s="896"/>
      <c r="D7" s="303"/>
      <c r="E7" s="303"/>
      <c r="F7" s="204"/>
      <c r="G7" s="204"/>
      <c r="H7" s="204"/>
      <c r="I7" s="204"/>
      <c r="J7" s="204"/>
      <c r="K7" s="88"/>
      <c r="L7" s="88"/>
      <c r="M7" s="88"/>
      <c r="N7" s="88"/>
      <c r="O7" s="88"/>
      <c r="P7" s="88"/>
      <c r="Q7" s="88"/>
      <c r="R7" s="88"/>
      <c r="S7" s="88"/>
      <c r="T7" s="88"/>
      <c r="U7" s="88"/>
      <c r="V7" s="88"/>
      <c r="W7" s="88"/>
      <c r="X7" s="88"/>
      <c r="Y7" s="88"/>
      <c r="Z7" s="88"/>
      <c r="AA7" s="88"/>
      <c r="AB7" s="88"/>
      <c r="AC7" s="88"/>
      <c r="AD7" s="88"/>
    </row>
    <row r="8" spans="2:30" s="485" customFormat="1" x14ac:dyDescent="0.2">
      <c r="B8" s="897"/>
      <c r="C8" s="897"/>
      <c r="D8" s="877" t="s">
        <v>384</v>
      </c>
      <c r="E8" s="877" t="s">
        <v>383</v>
      </c>
      <c r="F8" s="897" t="s">
        <v>387</v>
      </c>
      <c r="G8" s="897" t="s">
        <v>76</v>
      </c>
      <c r="H8" s="897" t="s">
        <v>381</v>
      </c>
      <c r="I8" s="897" t="s">
        <v>303</v>
      </c>
      <c r="J8" s="897" t="s">
        <v>382</v>
      </c>
      <c r="K8" s="897"/>
      <c r="L8" s="897" t="s">
        <v>429</v>
      </c>
      <c r="M8" s="897" t="s">
        <v>431</v>
      </c>
      <c r="N8" s="897" t="s">
        <v>340</v>
      </c>
      <c r="O8" s="898" t="s">
        <v>428</v>
      </c>
      <c r="P8" s="897" t="s">
        <v>643</v>
      </c>
      <c r="Q8" s="897"/>
      <c r="R8" s="897">
        <f>P9</f>
        <v>2013</v>
      </c>
      <c r="S8" s="899">
        <f>R8+1</f>
        <v>2014</v>
      </c>
      <c r="T8" s="899">
        <f>R8+2</f>
        <v>2015</v>
      </c>
      <c r="U8" s="900">
        <f>R8+3</f>
        <v>2016</v>
      </c>
      <c r="V8" s="900">
        <f>S8+3</f>
        <v>2017</v>
      </c>
      <c r="W8" s="897"/>
      <c r="X8" s="897">
        <f>R8</f>
        <v>2013</v>
      </c>
      <c r="Y8" s="897">
        <f>S8</f>
        <v>2014</v>
      </c>
      <c r="Z8" s="897">
        <f>T8</f>
        <v>2015</v>
      </c>
      <c r="AA8" s="897">
        <f>U8</f>
        <v>2016</v>
      </c>
      <c r="AB8" s="897">
        <f>V8</f>
        <v>2017</v>
      </c>
      <c r="AC8" s="897"/>
      <c r="AD8" s="897"/>
    </row>
    <row r="9" spans="2:30" s="485" customFormat="1" x14ac:dyDescent="0.2">
      <c r="B9" s="897"/>
      <c r="C9" s="897"/>
      <c r="D9" s="877"/>
      <c r="E9" s="877"/>
      <c r="F9" s="897" t="s">
        <v>386</v>
      </c>
      <c r="G9" s="897" t="s">
        <v>75</v>
      </c>
      <c r="H9" s="897" t="s">
        <v>385</v>
      </c>
      <c r="I9" s="897" t="s">
        <v>301</v>
      </c>
      <c r="J9" s="897" t="s">
        <v>319</v>
      </c>
      <c r="K9" s="897"/>
      <c r="L9" s="897"/>
      <c r="M9" s="897" t="s">
        <v>432</v>
      </c>
      <c r="N9" s="897" t="s">
        <v>433</v>
      </c>
      <c r="O9" s="898" t="s">
        <v>340</v>
      </c>
      <c r="P9" s="898">
        <f>tab!D4</f>
        <v>2013</v>
      </c>
      <c r="Q9" s="897"/>
      <c r="R9" s="897" t="s">
        <v>340</v>
      </c>
      <c r="S9" s="897" t="s">
        <v>340</v>
      </c>
      <c r="T9" s="897" t="s">
        <v>340</v>
      </c>
      <c r="U9" s="897" t="s">
        <v>340</v>
      </c>
      <c r="V9" s="897" t="s">
        <v>340</v>
      </c>
      <c r="W9" s="897"/>
      <c r="X9" s="897" t="s">
        <v>343</v>
      </c>
      <c r="Y9" s="897" t="s">
        <v>343</v>
      </c>
      <c r="Z9" s="897" t="s">
        <v>343</v>
      </c>
      <c r="AA9" s="897" t="s">
        <v>343</v>
      </c>
      <c r="AB9" s="897" t="s">
        <v>343</v>
      </c>
      <c r="AC9" s="897"/>
      <c r="AD9" s="897"/>
    </row>
    <row r="10" spans="2:30" s="901" customFormat="1" x14ac:dyDescent="0.2">
      <c r="B10" s="255"/>
      <c r="C10" s="255"/>
      <c r="D10" s="902"/>
      <c r="E10" s="902"/>
      <c r="F10" s="255"/>
      <c r="G10" s="255"/>
      <c r="H10" s="255"/>
      <c r="I10" s="255"/>
      <c r="J10" s="255"/>
      <c r="K10" s="255"/>
      <c r="L10" s="255"/>
      <c r="M10" s="255"/>
      <c r="N10" s="255"/>
      <c r="O10" s="903"/>
      <c r="P10" s="903"/>
      <c r="Q10" s="255"/>
      <c r="R10" s="255"/>
      <c r="S10" s="255"/>
      <c r="T10" s="255"/>
      <c r="U10" s="255"/>
      <c r="V10" s="255"/>
      <c r="W10" s="255"/>
      <c r="X10" s="255"/>
      <c r="Y10" s="255"/>
      <c r="Z10" s="255"/>
      <c r="AA10" s="255"/>
      <c r="AB10" s="255"/>
      <c r="AC10" s="255"/>
      <c r="AD10" s="255"/>
    </row>
    <row r="11" spans="2:30" s="901" customFormat="1" x14ac:dyDescent="0.2">
      <c r="B11" s="255"/>
      <c r="C11" s="904"/>
      <c r="D11" s="905"/>
      <c r="E11" s="905"/>
      <c r="F11" s="906"/>
      <c r="G11" s="906"/>
      <c r="H11" s="906"/>
      <c r="I11" s="906"/>
      <c r="J11" s="906"/>
      <c r="K11" s="906"/>
      <c r="L11" s="906"/>
      <c r="M11" s="906"/>
      <c r="N11" s="906"/>
      <c r="O11" s="907"/>
      <c r="P11" s="907"/>
      <c r="Q11" s="906"/>
      <c r="R11" s="906"/>
      <c r="S11" s="906"/>
      <c r="T11" s="906"/>
      <c r="U11" s="906"/>
      <c r="V11" s="906"/>
      <c r="W11" s="906"/>
      <c r="X11" s="906"/>
      <c r="Y11" s="906"/>
      <c r="Z11" s="906"/>
      <c r="AA11" s="906"/>
      <c r="AB11" s="906"/>
      <c r="AC11" s="908"/>
      <c r="AD11" s="255"/>
    </row>
    <row r="12" spans="2:30" s="909" customFormat="1" x14ac:dyDescent="0.2">
      <c r="B12" s="910"/>
      <c r="C12" s="911"/>
      <c r="D12" s="912"/>
      <c r="E12" s="912"/>
      <c r="F12" s="913"/>
      <c r="G12" s="913"/>
      <c r="H12" s="913"/>
      <c r="I12" s="913"/>
      <c r="J12" s="913"/>
      <c r="K12" s="914"/>
      <c r="L12" s="914"/>
      <c r="M12" s="914"/>
      <c r="N12" s="914"/>
      <c r="O12" s="914"/>
      <c r="P12" s="529">
        <f>SUM(P14:P141)</f>
        <v>0</v>
      </c>
      <c r="Q12" s="914"/>
      <c r="R12" s="529">
        <f>SUM(R14:R141)</f>
        <v>10000</v>
      </c>
      <c r="S12" s="529">
        <f>SUM(S14:S141)</f>
        <v>10000</v>
      </c>
      <c r="T12" s="529">
        <f>SUM(T14:T141)</f>
        <v>10000</v>
      </c>
      <c r="U12" s="529">
        <f>SUM(U14:U141)</f>
        <v>10000</v>
      </c>
      <c r="V12" s="529">
        <f>SUM(V14:V141)</f>
        <v>10000</v>
      </c>
      <c r="W12" s="906"/>
      <c r="X12" s="529">
        <f>SUM(X14:X141)</f>
        <v>50000</v>
      </c>
      <c r="Y12" s="529">
        <f>SUM(Y14:Y141)</f>
        <v>0</v>
      </c>
      <c r="Z12" s="529">
        <f>SUM(Z14:Z141)</f>
        <v>0</v>
      </c>
      <c r="AA12" s="529">
        <f>SUM(AA14:AA141)</f>
        <v>0</v>
      </c>
      <c r="AB12" s="529">
        <f>SUM(AB14:AB141)</f>
        <v>0</v>
      </c>
      <c r="AC12" s="915"/>
      <c r="AD12" s="910"/>
    </row>
    <row r="13" spans="2:30" s="901" customFormat="1" x14ac:dyDescent="0.2">
      <c r="B13" s="255"/>
      <c r="C13" s="916"/>
      <c r="D13" s="276"/>
      <c r="E13" s="276"/>
      <c r="F13" s="337"/>
      <c r="G13" s="337"/>
      <c r="H13" s="337"/>
      <c r="I13" s="337"/>
      <c r="J13" s="337"/>
      <c r="K13" s="337"/>
      <c r="L13" s="337"/>
      <c r="M13" s="337"/>
      <c r="N13" s="337"/>
      <c r="O13" s="500"/>
      <c r="P13" s="500"/>
      <c r="Q13" s="337"/>
      <c r="R13" s="337"/>
      <c r="S13" s="337"/>
      <c r="T13" s="337"/>
      <c r="U13" s="337"/>
      <c r="V13" s="337"/>
      <c r="W13" s="337"/>
      <c r="X13" s="113"/>
      <c r="Y13" s="113"/>
      <c r="Z13" s="113"/>
      <c r="AA13" s="113"/>
      <c r="AB13" s="113"/>
      <c r="AC13" s="917"/>
      <c r="AD13" s="255"/>
    </row>
    <row r="14" spans="2:30" x14ac:dyDescent="0.2">
      <c r="B14" s="88"/>
      <c r="C14" s="108"/>
      <c r="D14" s="115" t="s">
        <v>734</v>
      </c>
      <c r="E14" s="115"/>
      <c r="F14" s="150"/>
      <c r="G14" s="132">
        <v>1</v>
      </c>
      <c r="H14" s="286">
        <v>50000</v>
      </c>
      <c r="I14" s="132">
        <v>2013</v>
      </c>
      <c r="J14" s="132">
        <v>5</v>
      </c>
      <c r="K14" s="110"/>
      <c r="L14" s="113">
        <f>IF(J14="geen",9999999999,J14)</f>
        <v>5</v>
      </c>
      <c r="M14" s="278">
        <f>G14*H14</f>
        <v>50000</v>
      </c>
      <c r="N14" s="278">
        <f t="shared" ref="N14:N65" si="0">IF(G14=0,0,(G14*H14)/L14)</f>
        <v>10000</v>
      </c>
      <c r="O14" s="166">
        <f>IF(L14=0,"-",(IF(L14&gt;3000,"-",I14+L14-1)))</f>
        <v>2017</v>
      </c>
      <c r="P14" s="278">
        <f>IF(J14="geen",IF(I14&lt;$R$8,G14*H14,0),IF(I14&gt;=$R$8,0,IF((H14*G14-(R$8-I14)*N14)&lt;0,0,H14*G14-(R$8-I14)*N14)))</f>
        <v>0</v>
      </c>
      <c r="Q14" s="110"/>
      <c r="R14" s="278">
        <f t="shared" ref="R14:R66" si="1">(IF(R$8&lt;$I14,0,IF($O14&lt;=R$8-1,0,$N14)))</f>
        <v>10000</v>
      </c>
      <c r="S14" s="278">
        <f t="shared" ref="S14:S66" si="2">(IF(S$8&lt;$I14,0,IF($O14&lt;=S$8-1,0,$N14)))</f>
        <v>10000</v>
      </c>
      <c r="T14" s="278">
        <f t="shared" ref="T14:T66" si="3">(IF(T$8&lt;$I14,0,IF($O14&lt;=T$8-1,0,$N14)))</f>
        <v>10000</v>
      </c>
      <c r="U14" s="278">
        <f>(IF(U$8&lt;$I14,0,IF($O14&lt;=U$8-1,0,$N14)))</f>
        <v>10000</v>
      </c>
      <c r="V14" s="278">
        <f>(IF(V$8&lt;$I14,0,IF($O14&lt;=V$8-1,0,$N14)))</f>
        <v>10000</v>
      </c>
      <c r="W14" s="110"/>
      <c r="X14" s="278">
        <f>IF(X$8=$I14,($G14*$H14),0)</f>
        <v>50000</v>
      </c>
      <c r="Y14" s="278">
        <f t="shared" ref="X14:AB23" si="4">IF(Y$8=$I14,($G14*$H14),0)</f>
        <v>0</v>
      </c>
      <c r="Z14" s="278">
        <f t="shared" si="4"/>
        <v>0</v>
      </c>
      <c r="AA14" s="278">
        <f t="shared" si="4"/>
        <v>0</v>
      </c>
      <c r="AB14" s="278">
        <f t="shared" si="4"/>
        <v>0</v>
      </c>
      <c r="AC14" s="188"/>
      <c r="AD14" s="88"/>
    </row>
    <row r="15" spans="2:30" x14ac:dyDescent="0.2">
      <c r="B15" s="88"/>
      <c r="C15" s="108"/>
      <c r="D15" s="115"/>
      <c r="E15" s="115"/>
      <c r="F15" s="150"/>
      <c r="G15" s="132"/>
      <c r="H15" s="286"/>
      <c r="I15" s="132"/>
      <c r="J15" s="132"/>
      <c r="K15" s="110"/>
      <c r="L15" s="113">
        <f t="shared" ref="L15:L67" si="5">IF(J15="geen",9999999999,J15)</f>
        <v>0</v>
      </c>
      <c r="M15" s="278">
        <f t="shared" ref="M15:M65" si="6">G15*H15</f>
        <v>0</v>
      </c>
      <c r="N15" s="278">
        <f t="shared" si="0"/>
        <v>0</v>
      </c>
      <c r="O15" s="166" t="str">
        <f t="shared" ref="O15:O65" si="7">IF(L15=0,"-",(IF(L15&gt;3000,"-",I15+L15-1)))</f>
        <v>-</v>
      </c>
      <c r="P15" s="278">
        <f t="shared" ref="P15:P45" si="8">IF(J15="geen",IF(I15&lt;$R$8,G15*H15,0),IF(I15&gt;=$R$8,0,IF((H15*G15-(R$8-I15)*N15)&lt;0,0,H15*G15-(R$8-I15)*N15)))</f>
        <v>0</v>
      </c>
      <c r="Q15" s="110"/>
      <c r="R15" s="278">
        <f t="shared" si="1"/>
        <v>0</v>
      </c>
      <c r="S15" s="278">
        <f t="shared" si="2"/>
        <v>0</v>
      </c>
      <c r="T15" s="278">
        <f t="shared" si="3"/>
        <v>0</v>
      </c>
      <c r="U15" s="278">
        <f t="shared" ref="U15:V66" si="9">(IF(U$8&lt;$I15,0,IF($O15&lt;=U$8-1,0,$N15)))</f>
        <v>0</v>
      </c>
      <c r="V15" s="278">
        <f t="shared" si="9"/>
        <v>0</v>
      </c>
      <c r="W15" s="110"/>
      <c r="X15" s="278">
        <f t="shared" si="4"/>
        <v>0</v>
      </c>
      <c r="Y15" s="278">
        <f t="shared" si="4"/>
        <v>0</v>
      </c>
      <c r="Z15" s="278">
        <f t="shared" si="4"/>
        <v>0</v>
      </c>
      <c r="AA15" s="278">
        <f t="shared" si="4"/>
        <v>0</v>
      </c>
      <c r="AB15" s="278">
        <f t="shared" si="4"/>
        <v>0</v>
      </c>
      <c r="AC15" s="188"/>
      <c r="AD15" s="88"/>
    </row>
    <row r="16" spans="2:30" x14ac:dyDescent="0.2">
      <c r="B16" s="88"/>
      <c r="C16" s="108"/>
      <c r="D16" s="115"/>
      <c r="E16" s="115"/>
      <c r="F16" s="150"/>
      <c r="G16" s="132"/>
      <c r="H16" s="286"/>
      <c r="I16" s="132"/>
      <c r="J16" s="132"/>
      <c r="K16" s="110"/>
      <c r="L16" s="113">
        <f t="shared" si="5"/>
        <v>0</v>
      </c>
      <c r="M16" s="278">
        <f t="shared" si="6"/>
        <v>0</v>
      </c>
      <c r="N16" s="278">
        <f t="shared" si="0"/>
        <v>0</v>
      </c>
      <c r="O16" s="166" t="str">
        <f t="shared" si="7"/>
        <v>-</v>
      </c>
      <c r="P16" s="278">
        <f t="shared" si="8"/>
        <v>0</v>
      </c>
      <c r="Q16" s="110"/>
      <c r="R16" s="278">
        <f t="shared" si="1"/>
        <v>0</v>
      </c>
      <c r="S16" s="278">
        <f t="shared" si="2"/>
        <v>0</v>
      </c>
      <c r="T16" s="278">
        <f t="shared" si="3"/>
        <v>0</v>
      </c>
      <c r="U16" s="278">
        <f t="shared" si="9"/>
        <v>0</v>
      </c>
      <c r="V16" s="278">
        <f t="shared" si="9"/>
        <v>0</v>
      </c>
      <c r="W16" s="110"/>
      <c r="X16" s="278">
        <f t="shared" si="4"/>
        <v>0</v>
      </c>
      <c r="Y16" s="278">
        <f t="shared" si="4"/>
        <v>0</v>
      </c>
      <c r="Z16" s="278">
        <f t="shared" si="4"/>
        <v>0</v>
      </c>
      <c r="AA16" s="278">
        <f t="shared" si="4"/>
        <v>0</v>
      </c>
      <c r="AB16" s="278">
        <f t="shared" si="4"/>
        <v>0</v>
      </c>
      <c r="AC16" s="188"/>
      <c r="AD16" s="88"/>
    </row>
    <row r="17" spans="2:30" x14ac:dyDescent="0.2">
      <c r="B17" s="88"/>
      <c r="C17" s="108"/>
      <c r="D17" s="115"/>
      <c r="E17" s="115"/>
      <c r="F17" s="150"/>
      <c r="G17" s="132"/>
      <c r="H17" s="286"/>
      <c r="I17" s="132"/>
      <c r="J17" s="132"/>
      <c r="K17" s="110"/>
      <c r="L17" s="113">
        <f t="shared" si="5"/>
        <v>0</v>
      </c>
      <c r="M17" s="278">
        <f t="shared" si="6"/>
        <v>0</v>
      </c>
      <c r="N17" s="278">
        <f t="shared" si="0"/>
        <v>0</v>
      </c>
      <c r="O17" s="166" t="str">
        <f t="shared" si="7"/>
        <v>-</v>
      </c>
      <c r="P17" s="278">
        <f t="shared" si="8"/>
        <v>0</v>
      </c>
      <c r="Q17" s="110"/>
      <c r="R17" s="278">
        <f t="shared" si="1"/>
        <v>0</v>
      </c>
      <c r="S17" s="278">
        <f t="shared" si="2"/>
        <v>0</v>
      </c>
      <c r="T17" s="278">
        <f t="shared" si="3"/>
        <v>0</v>
      </c>
      <c r="U17" s="278">
        <f t="shared" si="9"/>
        <v>0</v>
      </c>
      <c r="V17" s="278">
        <f t="shared" si="9"/>
        <v>0</v>
      </c>
      <c r="W17" s="110"/>
      <c r="X17" s="278">
        <f t="shared" si="4"/>
        <v>0</v>
      </c>
      <c r="Y17" s="278">
        <f t="shared" si="4"/>
        <v>0</v>
      </c>
      <c r="Z17" s="278">
        <f t="shared" si="4"/>
        <v>0</v>
      </c>
      <c r="AA17" s="278">
        <f t="shared" si="4"/>
        <v>0</v>
      </c>
      <c r="AB17" s="278">
        <f t="shared" si="4"/>
        <v>0</v>
      </c>
      <c r="AC17" s="188"/>
      <c r="AD17" s="88"/>
    </row>
    <row r="18" spans="2:30" x14ac:dyDescent="0.2">
      <c r="B18" s="88"/>
      <c r="C18" s="108"/>
      <c r="D18" s="115"/>
      <c r="E18" s="115"/>
      <c r="F18" s="150"/>
      <c r="G18" s="132"/>
      <c r="H18" s="286"/>
      <c r="I18" s="132"/>
      <c r="J18" s="132"/>
      <c r="K18" s="110"/>
      <c r="L18" s="113">
        <f t="shared" si="5"/>
        <v>0</v>
      </c>
      <c r="M18" s="278">
        <f t="shared" si="6"/>
        <v>0</v>
      </c>
      <c r="N18" s="278">
        <f t="shared" si="0"/>
        <v>0</v>
      </c>
      <c r="O18" s="166" t="str">
        <f t="shared" si="7"/>
        <v>-</v>
      </c>
      <c r="P18" s="278">
        <f t="shared" si="8"/>
        <v>0</v>
      </c>
      <c r="Q18" s="110"/>
      <c r="R18" s="278">
        <f t="shared" si="1"/>
        <v>0</v>
      </c>
      <c r="S18" s="278">
        <f t="shared" si="2"/>
        <v>0</v>
      </c>
      <c r="T18" s="278">
        <f t="shared" si="3"/>
        <v>0</v>
      </c>
      <c r="U18" s="278">
        <f t="shared" si="9"/>
        <v>0</v>
      </c>
      <c r="V18" s="278">
        <f t="shared" si="9"/>
        <v>0</v>
      </c>
      <c r="W18" s="110"/>
      <c r="X18" s="278">
        <f t="shared" si="4"/>
        <v>0</v>
      </c>
      <c r="Y18" s="278">
        <f t="shared" si="4"/>
        <v>0</v>
      </c>
      <c r="Z18" s="278">
        <f t="shared" si="4"/>
        <v>0</v>
      </c>
      <c r="AA18" s="278">
        <f t="shared" si="4"/>
        <v>0</v>
      </c>
      <c r="AB18" s="278">
        <f t="shared" si="4"/>
        <v>0</v>
      </c>
      <c r="AC18" s="188"/>
      <c r="AD18" s="88"/>
    </row>
    <row r="19" spans="2:30" x14ac:dyDescent="0.2">
      <c r="B19" s="88"/>
      <c r="C19" s="108"/>
      <c r="D19" s="115"/>
      <c r="E19" s="115"/>
      <c r="F19" s="150"/>
      <c r="G19" s="132"/>
      <c r="H19" s="286"/>
      <c r="I19" s="132"/>
      <c r="J19" s="132"/>
      <c r="K19" s="110"/>
      <c r="L19" s="113">
        <f t="shared" si="5"/>
        <v>0</v>
      </c>
      <c r="M19" s="278">
        <f t="shared" si="6"/>
        <v>0</v>
      </c>
      <c r="N19" s="278">
        <f t="shared" si="0"/>
        <v>0</v>
      </c>
      <c r="O19" s="166" t="str">
        <f t="shared" si="7"/>
        <v>-</v>
      </c>
      <c r="P19" s="278">
        <f t="shared" si="8"/>
        <v>0</v>
      </c>
      <c r="Q19" s="110"/>
      <c r="R19" s="278">
        <f t="shared" si="1"/>
        <v>0</v>
      </c>
      <c r="S19" s="278">
        <f t="shared" si="2"/>
        <v>0</v>
      </c>
      <c r="T19" s="278">
        <f t="shared" si="3"/>
        <v>0</v>
      </c>
      <c r="U19" s="278">
        <f t="shared" si="9"/>
        <v>0</v>
      </c>
      <c r="V19" s="278">
        <f t="shared" si="9"/>
        <v>0</v>
      </c>
      <c r="W19" s="110"/>
      <c r="X19" s="278">
        <f t="shared" si="4"/>
        <v>0</v>
      </c>
      <c r="Y19" s="278">
        <f t="shared" si="4"/>
        <v>0</v>
      </c>
      <c r="Z19" s="278">
        <f t="shared" si="4"/>
        <v>0</v>
      </c>
      <c r="AA19" s="278">
        <f t="shared" si="4"/>
        <v>0</v>
      </c>
      <c r="AB19" s="278">
        <f t="shared" si="4"/>
        <v>0</v>
      </c>
      <c r="AC19" s="188"/>
      <c r="AD19" s="88"/>
    </row>
    <row r="20" spans="2:30" x14ac:dyDescent="0.2">
      <c r="B20" s="88"/>
      <c r="C20" s="108"/>
      <c r="D20" s="115"/>
      <c r="E20" s="115"/>
      <c r="F20" s="150"/>
      <c r="G20" s="132"/>
      <c r="H20" s="286"/>
      <c r="I20" s="132"/>
      <c r="J20" s="132"/>
      <c r="K20" s="110"/>
      <c r="L20" s="113">
        <f t="shared" si="5"/>
        <v>0</v>
      </c>
      <c r="M20" s="278">
        <f t="shared" si="6"/>
        <v>0</v>
      </c>
      <c r="N20" s="278">
        <f t="shared" si="0"/>
        <v>0</v>
      </c>
      <c r="O20" s="166" t="str">
        <f t="shared" si="7"/>
        <v>-</v>
      </c>
      <c r="P20" s="278">
        <f t="shared" si="8"/>
        <v>0</v>
      </c>
      <c r="Q20" s="110"/>
      <c r="R20" s="278">
        <f t="shared" si="1"/>
        <v>0</v>
      </c>
      <c r="S20" s="278">
        <f t="shared" si="2"/>
        <v>0</v>
      </c>
      <c r="T20" s="278">
        <f t="shared" si="3"/>
        <v>0</v>
      </c>
      <c r="U20" s="278">
        <f t="shared" si="9"/>
        <v>0</v>
      </c>
      <c r="V20" s="278">
        <f t="shared" si="9"/>
        <v>0</v>
      </c>
      <c r="W20" s="110"/>
      <c r="X20" s="278">
        <f t="shared" si="4"/>
        <v>0</v>
      </c>
      <c r="Y20" s="278">
        <f t="shared" si="4"/>
        <v>0</v>
      </c>
      <c r="Z20" s="278">
        <f t="shared" si="4"/>
        <v>0</v>
      </c>
      <c r="AA20" s="278">
        <f t="shared" si="4"/>
        <v>0</v>
      </c>
      <c r="AB20" s="278">
        <f t="shared" si="4"/>
        <v>0</v>
      </c>
      <c r="AC20" s="188"/>
      <c r="AD20" s="88"/>
    </row>
    <row r="21" spans="2:30" x14ac:dyDescent="0.2">
      <c r="B21" s="88"/>
      <c r="C21" s="108"/>
      <c r="D21" s="115"/>
      <c r="E21" s="115"/>
      <c r="F21" s="150"/>
      <c r="G21" s="132"/>
      <c r="H21" s="286"/>
      <c r="I21" s="132"/>
      <c r="J21" s="132"/>
      <c r="K21" s="110"/>
      <c r="L21" s="113">
        <f t="shared" si="5"/>
        <v>0</v>
      </c>
      <c r="M21" s="278">
        <f t="shared" si="6"/>
        <v>0</v>
      </c>
      <c r="N21" s="278">
        <f t="shared" si="0"/>
        <v>0</v>
      </c>
      <c r="O21" s="166" t="str">
        <f t="shared" si="7"/>
        <v>-</v>
      </c>
      <c r="P21" s="278">
        <f t="shared" si="8"/>
        <v>0</v>
      </c>
      <c r="Q21" s="110"/>
      <c r="R21" s="278">
        <f t="shared" si="1"/>
        <v>0</v>
      </c>
      <c r="S21" s="278">
        <f t="shared" si="2"/>
        <v>0</v>
      </c>
      <c r="T21" s="278">
        <f t="shared" si="3"/>
        <v>0</v>
      </c>
      <c r="U21" s="278">
        <f t="shared" si="9"/>
        <v>0</v>
      </c>
      <c r="V21" s="278">
        <f t="shared" si="9"/>
        <v>0</v>
      </c>
      <c r="W21" s="110"/>
      <c r="X21" s="278">
        <f t="shared" si="4"/>
        <v>0</v>
      </c>
      <c r="Y21" s="278">
        <f t="shared" si="4"/>
        <v>0</v>
      </c>
      <c r="Z21" s="278">
        <f t="shared" si="4"/>
        <v>0</v>
      </c>
      <c r="AA21" s="278">
        <f t="shared" si="4"/>
        <v>0</v>
      </c>
      <c r="AB21" s="278">
        <f t="shared" si="4"/>
        <v>0</v>
      </c>
      <c r="AC21" s="188"/>
      <c r="AD21" s="88"/>
    </row>
    <row r="22" spans="2:30" x14ac:dyDescent="0.2">
      <c r="B22" s="88"/>
      <c r="C22" s="108"/>
      <c r="D22" s="115"/>
      <c r="E22" s="115"/>
      <c r="F22" s="150"/>
      <c r="G22" s="132"/>
      <c r="H22" s="286"/>
      <c r="I22" s="132"/>
      <c r="J22" s="132"/>
      <c r="K22" s="110"/>
      <c r="L22" s="113">
        <f t="shared" si="5"/>
        <v>0</v>
      </c>
      <c r="M22" s="278">
        <f t="shared" si="6"/>
        <v>0</v>
      </c>
      <c r="N22" s="278">
        <f t="shared" si="0"/>
        <v>0</v>
      </c>
      <c r="O22" s="166" t="str">
        <f t="shared" si="7"/>
        <v>-</v>
      </c>
      <c r="P22" s="278">
        <f t="shared" si="8"/>
        <v>0</v>
      </c>
      <c r="Q22" s="110"/>
      <c r="R22" s="278">
        <f t="shared" si="1"/>
        <v>0</v>
      </c>
      <c r="S22" s="278">
        <f t="shared" si="2"/>
        <v>0</v>
      </c>
      <c r="T22" s="278">
        <f t="shared" si="3"/>
        <v>0</v>
      </c>
      <c r="U22" s="278">
        <f t="shared" si="9"/>
        <v>0</v>
      </c>
      <c r="V22" s="278">
        <f t="shared" si="9"/>
        <v>0</v>
      </c>
      <c r="W22" s="110"/>
      <c r="X22" s="278">
        <f t="shared" si="4"/>
        <v>0</v>
      </c>
      <c r="Y22" s="278">
        <f t="shared" si="4"/>
        <v>0</v>
      </c>
      <c r="Z22" s="278">
        <f t="shared" si="4"/>
        <v>0</v>
      </c>
      <c r="AA22" s="278">
        <f t="shared" si="4"/>
        <v>0</v>
      </c>
      <c r="AB22" s="278">
        <f t="shared" si="4"/>
        <v>0</v>
      </c>
      <c r="AC22" s="188"/>
      <c r="AD22" s="88"/>
    </row>
    <row r="23" spans="2:30" x14ac:dyDescent="0.2">
      <c r="B23" s="88"/>
      <c r="C23" s="108"/>
      <c r="D23" s="115"/>
      <c r="E23" s="115"/>
      <c r="F23" s="150"/>
      <c r="G23" s="132"/>
      <c r="H23" s="286"/>
      <c r="I23" s="132"/>
      <c r="J23" s="132"/>
      <c r="K23" s="110"/>
      <c r="L23" s="113">
        <f t="shared" si="5"/>
        <v>0</v>
      </c>
      <c r="M23" s="278">
        <f t="shared" si="6"/>
        <v>0</v>
      </c>
      <c r="N23" s="278">
        <f t="shared" si="0"/>
        <v>0</v>
      </c>
      <c r="O23" s="166" t="str">
        <f t="shared" si="7"/>
        <v>-</v>
      </c>
      <c r="P23" s="278">
        <f t="shared" si="8"/>
        <v>0</v>
      </c>
      <c r="Q23" s="110"/>
      <c r="R23" s="278">
        <f t="shared" si="1"/>
        <v>0</v>
      </c>
      <c r="S23" s="278">
        <f t="shared" si="2"/>
        <v>0</v>
      </c>
      <c r="T23" s="278">
        <f t="shared" si="3"/>
        <v>0</v>
      </c>
      <c r="U23" s="278">
        <f t="shared" si="9"/>
        <v>0</v>
      </c>
      <c r="V23" s="278">
        <f t="shared" si="9"/>
        <v>0</v>
      </c>
      <c r="W23" s="110"/>
      <c r="X23" s="278">
        <f t="shared" si="4"/>
        <v>0</v>
      </c>
      <c r="Y23" s="278">
        <f t="shared" si="4"/>
        <v>0</v>
      </c>
      <c r="Z23" s="278">
        <f t="shared" si="4"/>
        <v>0</v>
      </c>
      <c r="AA23" s="278">
        <f t="shared" si="4"/>
        <v>0</v>
      </c>
      <c r="AB23" s="278">
        <f t="shared" si="4"/>
        <v>0</v>
      </c>
      <c r="AC23" s="188"/>
      <c r="AD23" s="88"/>
    </row>
    <row r="24" spans="2:30" x14ac:dyDescent="0.2">
      <c r="B24" s="88"/>
      <c r="C24" s="108"/>
      <c r="D24" s="115"/>
      <c r="E24" s="115"/>
      <c r="F24" s="150"/>
      <c r="G24" s="132"/>
      <c r="H24" s="286"/>
      <c r="I24" s="132"/>
      <c r="J24" s="132"/>
      <c r="K24" s="110"/>
      <c r="L24" s="113">
        <f t="shared" si="5"/>
        <v>0</v>
      </c>
      <c r="M24" s="278">
        <f t="shared" si="6"/>
        <v>0</v>
      </c>
      <c r="N24" s="278">
        <f t="shared" si="0"/>
        <v>0</v>
      </c>
      <c r="O24" s="166" t="str">
        <f t="shared" si="7"/>
        <v>-</v>
      </c>
      <c r="P24" s="278">
        <f t="shared" si="8"/>
        <v>0</v>
      </c>
      <c r="Q24" s="110"/>
      <c r="R24" s="278">
        <f t="shared" si="1"/>
        <v>0</v>
      </c>
      <c r="S24" s="278">
        <f t="shared" si="2"/>
        <v>0</v>
      </c>
      <c r="T24" s="278">
        <f t="shared" si="3"/>
        <v>0</v>
      </c>
      <c r="U24" s="278">
        <f t="shared" si="9"/>
        <v>0</v>
      </c>
      <c r="V24" s="278">
        <f t="shared" si="9"/>
        <v>0</v>
      </c>
      <c r="W24" s="110"/>
      <c r="X24" s="278">
        <f t="shared" ref="X24:AB33" si="10">IF(X$8=$I24,($G24*$H24),0)</f>
        <v>0</v>
      </c>
      <c r="Y24" s="278">
        <f t="shared" si="10"/>
        <v>0</v>
      </c>
      <c r="Z24" s="278">
        <f t="shared" si="10"/>
        <v>0</v>
      </c>
      <c r="AA24" s="278">
        <f t="shared" si="10"/>
        <v>0</v>
      </c>
      <c r="AB24" s="278">
        <f t="shared" si="10"/>
        <v>0</v>
      </c>
      <c r="AC24" s="188"/>
      <c r="AD24" s="88"/>
    </row>
    <row r="25" spans="2:30" x14ac:dyDescent="0.2">
      <c r="B25" s="88"/>
      <c r="C25" s="108"/>
      <c r="D25" s="115"/>
      <c r="E25" s="115"/>
      <c r="F25" s="150"/>
      <c r="G25" s="132"/>
      <c r="H25" s="286"/>
      <c r="I25" s="132"/>
      <c r="J25" s="132"/>
      <c r="K25" s="110"/>
      <c r="L25" s="113">
        <f t="shared" si="5"/>
        <v>0</v>
      </c>
      <c r="M25" s="278">
        <f t="shared" si="6"/>
        <v>0</v>
      </c>
      <c r="N25" s="278">
        <f t="shared" si="0"/>
        <v>0</v>
      </c>
      <c r="O25" s="166" t="str">
        <f t="shared" si="7"/>
        <v>-</v>
      </c>
      <c r="P25" s="278">
        <f t="shared" si="8"/>
        <v>0</v>
      </c>
      <c r="Q25" s="110"/>
      <c r="R25" s="278">
        <f t="shared" si="1"/>
        <v>0</v>
      </c>
      <c r="S25" s="278">
        <f t="shared" si="2"/>
        <v>0</v>
      </c>
      <c r="T25" s="278">
        <f t="shared" si="3"/>
        <v>0</v>
      </c>
      <c r="U25" s="278">
        <f t="shared" si="9"/>
        <v>0</v>
      </c>
      <c r="V25" s="278">
        <f t="shared" si="9"/>
        <v>0</v>
      </c>
      <c r="W25" s="110"/>
      <c r="X25" s="278">
        <f t="shared" si="10"/>
        <v>0</v>
      </c>
      <c r="Y25" s="278">
        <f t="shared" si="10"/>
        <v>0</v>
      </c>
      <c r="Z25" s="278">
        <f t="shared" si="10"/>
        <v>0</v>
      </c>
      <c r="AA25" s="278">
        <f t="shared" si="10"/>
        <v>0</v>
      </c>
      <c r="AB25" s="278">
        <f t="shared" si="10"/>
        <v>0</v>
      </c>
      <c r="AC25" s="188"/>
      <c r="AD25" s="88"/>
    </row>
    <row r="26" spans="2:30" x14ac:dyDescent="0.2">
      <c r="B26" s="88"/>
      <c r="C26" s="108"/>
      <c r="D26" s="115"/>
      <c r="E26" s="115"/>
      <c r="F26" s="150"/>
      <c r="G26" s="132"/>
      <c r="H26" s="286"/>
      <c r="I26" s="132"/>
      <c r="J26" s="132"/>
      <c r="K26" s="110"/>
      <c r="L26" s="113">
        <f t="shared" si="5"/>
        <v>0</v>
      </c>
      <c r="M26" s="278">
        <f t="shared" si="6"/>
        <v>0</v>
      </c>
      <c r="N26" s="278">
        <f t="shared" si="0"/>
        <v>0</v>
      </c>
      <c r="O26" s="166" t="str">
        <f t="shared" si="7"/>
        <v>-</v>
      </c>
      <c r="P26" s="278">
        <f t="shared" si="8"/>
        <v>0</v>
      </c>
      <c r="Q26" s="110"/>
      <c r="R26" s="278">
        <f t="shared" si="1"/>
        <v>0</v>
      </c>
      <c r="S26" s="278">
        <f t="shared" si="2"/>
        <v>0</v>
      </c>
      <c r="T26" s="278">
        <f t="shared" si="3"/>
        <v>0</v>
      </c>
      <c r="U26" s="278">
        <f t="shared" si="9"/>
        <v>0</v>
      </c>
      <c r="V26" s="278">
        <f t="shared" si="9"/>
        <v>0</v>
      </c>
      <c r="W26" s="110"/>
      <c r="X26" s="278">
        <f t="shared" si="10"/>
        <v>0</v>
      </c>
      <c r="Y26" s="278">
        <f t="shared" si="10"/>
        <v>0</v>
      </c>
      <c r="Z26" s="278">
        <f t="shared" si="10"/>
        <v>0</v>
      </c>
      <c r="AA26" s="278">
        <f t="shared" si="10"/>
        <v>0</v>
      </c>
      <c r="AB26" s="278">
        <f t="shared" si="10"/>
        <v>0</v>
      </c>
      <c r="AC26" s="188"/>
      <c r="AD26" s="88"/>
    </row>
    <row r="27" spans="2:30" x14ac:dyDescent="0.2">
      <c r="B27" s="88"/>
      <c r="C27" s="108"/>
      <c r="D27" s="115"/>
      <c r="E27" s="115"/>
      <c r="F27" s="150"/>
      <c r="G27" s="132"/>
      <c r="H27" s="286"/>
      <c r="I27" s="132"/>
      <c r="J27" s="132"/>
      <c r="K27" s="110"/>
      <c r="L27" s="113">
        <f t="shared" si="5"/>
        <v>0</v>
      </c>
      <c r="M27" s="278">
        <f t="shared" si="6"/>
        <v>0</v>
      </c>
      <c r="N27" s="278">
        <f t="shared" si="0"/>
        <v>0</v>
      </c>
      <c r="O27" s="166" t="str">
        <f t="shared" si="7"/>
        <v>-</v>
      </c>
      <c r="P27" s="278">
        <f t="shared" si="8"/>
        <v>0</v>
      </c>
      <c r="Q27" s="110"/>
      <c r="R27" s="278">
        <f t="shared" si="1"/>
        <v>0</v>
      </c>
      <c r="S27" s="278">
        <f t="shared" si="2"/>
        <v>0</v>
      </c>
      <c r="T27" s="278">
        <f t="shared" si="3"/>
        <v>0</v>
      </c>
      <c r="U27" s="278">
        <f t="shared" si="9"/>
        <v>0</v>
      </c>
      <c r="V27" s="278">
        <f t="shared" si="9"/>
        <v>0</v>
      </c>
      <c r="W27" s="110"/>
      <c r="X27" s="278">
        <f t="shared" si="10"/>
        <v>0</v>
      </c>
      <c r="Y27" s="278">
        <f t="shared" si="10"/>
        <v>0</v>
      </c>
      <c r="Z27" s="278">
        <f t="shared" si="10"/>
        <v>0</v>
      </c>
      <c r="AA27" s="278">
        <f t="shared" si="10"/>
        <v>0</v>
      </c>
      <c r="AB27" s="278">
        <f t="shared" si="10"/>
        <v>0</v>
      </c>
      <c r="AC27" s="188"/>
      <c r="AD27" s="88"/>
    </row>
    <row r="28" spans="2:30" x14ac:dyDescent="0.2">
      <c r="B28" s="88"/>
      <c r="C28" s="108"/>
      <c r="D28" s="115"/>
      <c r="E28" s="115"/>
      <c r="F28" s="150"/>
      <c r="G28" s="132"/>
      <c r="H28" s="286"/>
      <c r="I28" s="132"/>
      <c r="J28" s="132"/>
      <c r="K28" s="110"/>
      <c r="L28" s="113">
        <f t="shared" si="5"/>
        <v>0</v>
      </c>
      <c r="M28" s="278">
        <f t="shared" si="6"/>
        <v>0</v>
      </c>
      <c r="N28" s="278">
        <f t="shared" si="0"/>
        <v>0</v>
      </c>
      <c r="O28" s="166" t="str">
        <f t="shared" si="7"/>
        <v>-</v>
      </c>
      <c r="P28" s="278">
        <f t="shared" si="8"/>
        <v>0</v>
      </c>
      <c r="Q28" s="110"/>
      <c r="R28" s="278">
        <f t="shared" si="1"/>
        <v>0</v>
      </c>
      <c r="S28" s="278">
        <f t="shared" si="2"/>
        <v>0</v>
      </c>
      <c r="T28" s="278">
        <f t="shared" si="3"/>
        <v>0</v>
      </c>
      <c r="U28" s="278">
        <f t="shared" si="9"/>
        <v>0</v>
      </c>
      <c r="V28" s="278">
        <f t="shared" si="9"/>
        <v>0</v>
      </c>
      <c r="W28" s="110"/>
      <c r="X28" s="278">
        <f t="shared" si="10"/>
        <v>0</v>
      </c>
      <c r="Y28" s="278">
        <f t="shared" si="10"/>
        <v>0</v>
      </c>
      <c r="Z28" s="278">
        <f t="shared" si="10"/>
        <v>0</v>
      </c>
      <c r="AA28" s="278">
        <f t="shared" si="10"/>
        <v>0</v>
      </c>
      <c r="AB28" s="278">
        <f t="shared" si="10"/>
        <v>0</v>
      </c>
      <c r="AC28" s="188"/>
      <c r="AD28" s="88"/>
    </row>
    <row r="29" spans="2:30" x14ac:dyDescent="0.2">
      <c r="B29" s="88"/>
      <c r="C29" s="108"/>
      <c r="D29" s="115"/>
      <c r="E29" s="115"/>
      <c r="F29" s="150"/>
      <c r="G29" s="132"/>
      <c r="H29" s="286"/>
      <c r="I29" s="132"/>
      <c r="J29" s="132"/>
      <c r="K29" s="110"/>
      <c r="L29" s="113">
        <f t="shared" si="5"/>
        <v>0</v>
      </c>
      <c r="M29" s="278">
        <f t="shared" si="6"/>
        <v>0</v>
      </c>
      <c r="N29" s="278">
        <f t="shared" si="0"/>
        <v>0</v>
      </c>
      <c r="O29" s="166" t="str">
        <f t="shared" si="7"/>
        <v>-</v>
      </c>
      <c r="P29" s="278">
        <f t="shared" si="8"/>
        <v>0</v>
      </c>
      <c r="Q29" s="110"/>
      <c r="R29" s="278">
        <f t="shared" si="1"/>
        <v>0</v>
      </c>
      <c r="S29" s="278">
        <f t="shared" si="2"/>
        <v>0</v>
      </c>
      <c r="T29" s="278">
        <f t="shared" si="3"/>
        <v>0</v>
      </c>
      <c r="U29" s="278">
        <f t="shared" si="9"/>
        <v>0</v>
      </c>
      <c r="V29" s="278">
        <f t="shared" si="9"/>
        <v>0</v>
      </c>
      <c r="W29" s="110"/>
      <c r="X29" s="278">
        <f t="shared" si="10"/>
        <v>0</v>
      </c>
      <c r="Y29" s="278">
        <f t="shared" si="10"/>
        <v>0</v>
      </c>
      <c r="Z29" s="278">
        <f t="shared" si="10"/>
        <v>0</v>
      </c>
      <c r="AA29" s="278">
        <f t="shared" si="10"/>
        <v>0</v>
      </c>
      <c r="AB29" s="278">
        <f t="shared" si="10"/>
        <v>0</v>
      </c>
      <c r="AC29" s="188"/>
      <c r="AD29" s="88"/>
    </row>
    <row r="30" spans="2:30" x14ac:dyDescent="0.2">
      <c r="B30" s="88"/>
      <c r="C30" s="108"/>
      <c r="D30" s="115"/>
      <c r="E30" s="115"/>
      <c r="F30" s="150"/>
      <c r="G30" s="132"/>
      <c r="H30" s="286"/>
      <c r="I30" s="132"/>
      <c r="J30" s="132"/>
      <c r="K30" s="110"/>
      <c r="L30" s="113">
        <f t="shared" si="5"/>
        <v>0</v>
      </c>
      <c r="M30" s="278">
        <f t="shared" si="6"/>
        <v>0</v>
      </c>
      <c r="N30" s="278">
        <f t="shared" si="0"/>
        <v>0</v>
      </c>
      <c r="O30" s="166" t="str">
        <f t="shared" si="7"/>
        <v>-</v>
      </c>
      <c r="P30" s="278">
        <f t="shared" si="8"/>
        <v>0</v>
      </c>
      <c r="Q30" s="110"/>
      <c r="R30" s="278">
        <f t="shared" si="1"/>
        <v>0</v>
      </c>
      <c r="S30" s="278">
        <f t="shared" si="2"/>
        <v>0</v>
      </c>
      <c r="T30" s="278">
        <f t="shared" si="3"/>
        <v>0</v>
      </c>
      <c r="U30" s="278">
        <f t="shared" si="9"/>
        <v>0</v>
      </c>
      <c r="V30" s="278">
        <f t="shared" si="9"/>
        <v>0</v>
      </c>
      <c r="W30" s="110"/>
      <c r="X30" s="278">
        <f t="shared" si="10"/>
        <v>0</v>
      </c>
      <c r="Y30" s="278">
        <f t="shared" si="10"/>
        <v>0</v>
      </c>
      <c r="Z30" s="278">
        <f t="shared" si="10"/>
        <v>0</v>
      </c>
      <c r="AA30" s="278">
        <f t="shared" si="10"/>
        <v>0</v>
      </c>
      <c r="AB30" s="278">
        <f t="shared" si="10"/>
        <v>0</v>
      </c>
      <c r="AC30" s="188"/>
      <c r="AD30" s="88"/>
    </row>
    <row r="31" spans="2:30" x14ac:dyDescent="0.2">
      <c r="B31" s="88"/>
      <c r="C31" s="108"/>
      <c r="D31" s="115"/>
      <c r="E31" s="115"/>
      <c r="F31" s="150"/>
      <c r="G31" s="132"/>
      <c r="H31" s="286"/>
      <c r="I31" s="132"/>
      <c r="J31" s="132"/>
      <c r="K31" s="110"/>
      <c r="L31" s="113">
        <f t="shared" si="5"/>
        <v>0</v>
      </c>
      <c r="M31" s="278">
        <f t="shared" si="6"/>
        <v>0</v>
      </c>
      <c r="N31" s="278">
        <f t="shared" si="0"/>
        <v>0</v>
      </c>
      <c r="O31" s="166" t="str">
        <f t="shared" si="7"/>
        <v>-</v>
      </c>
      <c r="P31" s="278">
        <f t="shared" si="8"/>
        <v>0</v>
      </c>
      <c r="Q31" s="110"/>
      <c r="R31" s="278">
        <f t="shared" si="1"/>
        <v>0</v>
      </c>
      <c r="S31" s="278">
        <f t="shared" si="2"/>
        <v>0</v>
      </c>
      <c r="T31" s="278">
        <f t="shared" si="3"/>
        <v>0</v>
      </c>
      <c r="U31" s="278">
        <f t="shared" si="9"/>
        <v>0</v>
      </c>
      <c r="V31" s="278">
        <f t="shared" si="9"/>
        <v>0</v>
      </c>
      <c r="W31" s="110"/>
      <c r="X31" s="278">
        <f t="shared" si="10"/>
        <v>0</v>
      </c>
      <c r="Y31" s="278">
        <f t="shared" si="10"/>
        <v>0</v>
      </c>
      <c r="Z31" s="278">
        <f t="shared" si="10"/>
        <v>0</v>
      </c>
      <c r="AA31" s="278">
        <f t="shared" si="10"/>
        <v>0</v>
      </c>
      <c r="AB31" s="278">
        <f t="shared" si="10"/>
        <v>0</v>
      </c>
      <c r="AC31" s="188"/>
      <c r="AD31" s="88"/>
    </row>
    <row r="32" spans="2:30" x14ac:dyDescent="0.2">
      <c r="B32" s="88"/>
      <c r="C32" s="108"/>
      <c r="D32" s="115"/>
      <c r="E32" s="115"/>
      <c r="F32" s="150"/>
      <c r="G32" s="132"/>
      <c r="H32" s="286"/>
      <c r="I32" s="132"/>
      <c r="J32" s="132"/>
      <c r="K32" s="110"/>
      <c r="L32" s="113">
        <f t="shared" si="5"/>
        <v>0</v>
      </c>
      <c r="M32" s="278">
        <f t="shared" si="6"/>
        <v>0</v>
      </c>
      <c r="N32" s="278">
        <f t="shared" si="0"/>
        <v>0</v>
      </c>
      <c r="O32" s="166" t="str">
        <f t="shared" si="7"/>
        <v>-</v>
      </c>
      <c r="P32" s="278">
        <f t="shared" si="8"/>
        <v>0</v>
      </c>
      <c r="Q32" s="110"/>
      <c r="R32" s="278">
        <f t="shared" si="1"/>
        <v>0</v>
      </c>
      <c r="S32" s="278">
        <f t="shared" si="2"/>
        <v>0</v>
      </c>
      <c r="T32" s="278">
        <f t="shared" si="3"/>
        <v>0</v>
      </c>
      <c r="U32" s="278">
        <f t="shared" si="9"/>
        <v>0</v>
      </c>
      <c r="V32" s="278">
        <f t="shared" si="9"/>
        <v>0</v>
      </c>
      <c r="W32" s="110"/>
      <c r="X32" s="278">
        <f t="shared" si="10"/>
        <v>0</v>
      </c>
      <c r="Y32" s="278">
        <f t="shared" si="10"/>
        <v>0</v>
      </c>
      <c r="Z32" s="278">
        <f t="shared" si="10"/>
        <v>0</v>
      </c>
      <c r="AA32" s="278">
        <f t="shared" si="10"/>
        <v>0</v>
      </c>
      <c r="AB32" s="278">
        <f t="shared" si="10"/>
        <v>0</v>
      </c>
      <c r="AC32" s="188"/>
      <c r="AD32" s="88"/>
    </row>
    <row r="33" spans="2:30" x14ac:dyDescent="0.2">
      <c r="B33" s="88"/>
      <c r="C33" s="108"/>
      <c r="D33" s="115"/>
      <c r="E33" s="115"/>
      <c r="F33" s="150"/>
      <c r="G33" s="132"/>
      <c r="H33" s="286"/>
      <c r="I33" s="132"/>
      <c r="J33" s="132"/>
      <c r="K33" s="110"/>
      <c r="L33" s="113">
        <f t="shared" si="5"/>
        <v>0</v>
      </c>
      <c r="M33" s="278">
        <f t="shared" si="6"/>
        <v>0</v>
      </c>
      <c r="N33" s="278">
        <f t="shared" si="0"/>
        <v>0</v>
      </c>
      <c r="O33" s="166" t="str">
        <f t="shared" si="7"/>
        <v>-</v>
      </c>
      <c r="P33" s="278">
        <f t="shared" si="8"/>
        <v>0</v>
      </c>
      <c r="Q33" s="110"/>
      <c r="R33" s="278">
        <f t="shared" si="1"/>
        <v>0</v>
      </c>
      <c r="S33" s="278">
        <f t="shared" si="2"/>
        <v>0</v>
      </c>
      <c r="T33" s="278">
        <f t="shared" si="3"/>
        <v>0</v>
      </c>
      <c r="U33" s="278">
        <f t="shared" si="9"/>
        <v>0</v>
      </c>
      <c r="V33" s="278">
        <f t="shared" si="9"/>
        <v>0</v>
      </c>
      <c r="W33" s="110"/>
      <c r="X33" s="278">
        <f t="shared" si="10"/>
        <v>0</v>
      </c>
      <c r="Y33" s="278">
        <f t="shared" si="10"/>
        <v>0</v>
      </c>
      <c r="Z33" s="278">
        <f t="shared" si="10"/>
        <v>0</v>
      </c>
      <c r="AA33" s="278">
        <f t="shared" si="10"/>
        <v>0</v>
      </c>
      <c r="AB33" s="278">
        <f t="shared" si="10"/>
        <v>0</v>
      </c>
      <c r="AC33" s="188"/>
      <c r="AD33" s="88"/>
    </row>
    <row r="34" spans="2:30" x14ac:dyDescent="0.2">
      <c r="B34" s="88"/>
      <c r="C34" s="108"/>
      <c r="D34" s="115"/>
      <c r="E34" s="115"/>
      <c r="F34" s="150"/>
      <c r="G34" s="132"/>
      <c r="H34" s="286"/>
      <c r="I34" s="132"/>
      <c r="J34" s="132"/>
      <c r="K34" s="110"/>
      <c r="L34" s="113">
        <f t="shared" si="5"/>
        <v>0</v>
      </c>
      <c r="M34" s="278">
        <f t="shared" si="6"/>
        <v>0</v>
      </c>
      <c r="N34" s="278">
        <f t="shared" si="0"/>
        <v>0</v>
      </c>
      <c r="O34" s="166" t="str">
        <f t="shared" si="7"/>
        <v>-</v>
      </c>
      <c r="P34" s="278">
        <f t="shared" si="8"/>
        <v>0</v>
      </c>
      <c r="Q34" s="110"/>
      <c r="R34" s="278">
        <f t="shared" si="1"/>
        <v>0</v>
      </c>
      <c r="S34" s="278">
        <f t="shared" si="2"/>
        <v>0</v>
      </c>
      <c r="T34" s="278">
        <f t="shared" si="3"/>
        <v>0</v>
      </c>
      <c r="U34" s="278">
        <f t="shared" si="9"/>
        <v>0</v>
      </c>
      <c r="V34" s="278">
        <f t="shared" si="9"/>
        <v>0</v>
      </c>
      <c r="W34" s="110"/>
      <c r="X34" s="278">
        <f t="shared" ref="X34:AB43" si="11">IF(X$8=$I34,($G34*$H34),0)</f>
        <v>0</v>
      </c>
      <c r="Y34" s="278">
        <f t="shared" si="11"/>
        <v>0</v>
      </c>
      <c r="Z34" s="278">
        <f t="shared" si="11"/>
        <v>0</v>
      </c>
      <c r="AA34" s="278">
        <f t="shared" si="11"/>
        <v>0</v>
      </c>
      <c r="AB34" s="278">
        <f t="shared" si="11"/>
        <v>0</v>
      </c>
      <c r="AC34" s="188"/>
      <c r="AD34" s="88"/>
    </row>
    <row r="35" spans="2:30" x14ac:dyDescent="0.2">
      <c r="B35" s="88"/>
      <c r="C35" s="108"/>
      <c r="D35" s="115"/>
      <c r="E35" s="115"/>
      <c r="F35" s="150"/>
      <c r="G35" s="132"/>
      <c r="H35" s="286"/>
      <c r="I35" s="132"/>
      <c r="J35" s="132"/>
      <c r="K35" s="110"/>
      <c r="L35" s="113">
        <f t="shared" si="5"/>
        <v>0</v>
      </c>
      <c r="M35" s="278">
        <f t="shared" si="6"/>
        <v>0</v>
      </c>
      <c r="N35" s="278">
        <f t="shared" si="0"/>
        <v>0</v>
      </c>
      <c r="O35" s="166" t="str">
        <f t="shared" si="7"/>
        <v>-</v>
      </c>
      <c r="P35" s="278">
        <f t="shared" si="8"/>
        <v>0</v>
      </c>
      <c r="Q35" s="110"/>
      <c r="R35" s="278">
        <f t="shared" si="1"/>
        <v>0</v>
      </c>
      <c r="S35" s="278">
        <f t="shared" si="2"/>
        <v>0</v>
      </c>
      <c r="T35" s="278">
        <f t="shared" si="3"/>
        <v>0</v>
      </c>
      <c r="U35" s="278">
        <f t="shared" si="9"/>
        <v>0</v>
      </c>
      <c r="V35" s="278">
        <f t="shared" si="9"/>
        <v>0</v>
      </c>
      <c r="W35" s="110"/>
      <c r="X35" s="278">
        <f t="shared" si="11"/>
        <v>0</v>
      </c>
      <c r="Y35" s="278">
        <f t="shared" si="11"/>
        <v>0</v>
      </c>
      <c r="Z35" s="278">
        <f t="shared" si="11"/>
        <v>0</v>
      </c>
      <c r="AA35" s="278">
        <f t="shared" si="11"/>
        <v>0</v>
      </c>
      <c r="AB35" s="278">
        <f t="shared" si="11"/>
        <v>0</v>
      </c>
      <c r="AC35" s="188"/>
      <c r="AD35" s="88"/>
    </row>
    <row r="36" spans="2:30" x14ac:dyDescent="0.2">
      <c r="B36" s="88"/>
      <c r="C36" s="108"/>
      <c r="D36" s="115"/>
      <c r="E36" s="115"/>
      <c r="F36" s="150"/>
      <c r="G36" s="132"/>
      <c r="H36" s="286"/>
      <c r="I36" s="132"/>
      <c r="J36" s="132"/>
      <c r="K36" s="110"/>
      <c r="L36" s="113">
        <f t="shared" si="5"/>
        <v>0</v>
      </c>
      <c r="M36" s="278">
        <f t="shared" si="6"/>
        <v>0</v>
      </c>
      <c r="N36" s="278">
        <f t="shared" si="0"/>
        <v>0</v>
      </c>
      <c r="O36" s="166" t="str">
        <f t="shared" si="7"/>
        <v>-</v>
      </c>
      <c r="P36" s="278">
        <f t="shared" si="8"/>
        <v>0</v>
      </c>
      <c r="Q36" s="110"/>
      <c r="R36" s="278">
        <f t="shared" si="1"/>
        <v>0</v>
      </c>
      <c r="S36" s="278">
        <f t="shared" si="2"/>
        <v>0</v>
      </c>
      <c r="T36" s="278">
        <f t="shared" si="3"/>
        <v>0</v>
      </c>
      <c r="U36" s="278">
        <f t="shared" si="9"/>
        <v>0</v>
      </c>
      <c r="V36" s="278">
        <f t="shared" si="9"/>
        <v>0</v>
      </c>
      <c r="W36" s="110"/>
      <c r="X36" s="278">
        <f t="shared" si="11"/>
        <v>0</v>
      </c>
      <c r="Y36" s="278">
        <f t="shared" si="11"/>
        <v>0</v>
      </c>
      <c r="Z36" s="278">
        <f t="shared" si="11"/>
        <v>0</v>
      </c>
      <c r="AA36" s="278">
        <f t="shared" si="11"/>
        <v>0</v>
      </c>
      <c r="AB36" s="278">
        <f t="shared" si="11"/>
        <v>0</v>
      </c>
      <c r="AC36" s="188"/>
      <c r="AD36" s="88"/>
    </row>
    <row r="37" spans="2:30" x14ac:dyDescent="0.2">
      <c r="B37" s="88"/>
      <c r="C37" s="108"/>
      <c r="D37" s="115"/>
      <c r="E37" s="115"/>
      <c r="F37" s="150"/>
      <c r="G37" s="132"/>
      <c r="H37" s="286"/>
      <c r="I37" s="132"/>
      <c r="J37" s="132"/>
      <c r="K37" s="110"/>
      <c r="L37" s="113">
        <f t="shared" si="5"/>
        <v>0</v>
      </c>
      <c r="M37" s="278">
        <f t="shared" si="6"/>
        <v>0</v>
      </c>
      <c r="N37" s="278">
        <f t="shared" si="0"/>
        <v>0</v>
      </c>
      <c r="O37" s="166" t="str">
        <f t="shared" si="7"/>
        <v>-</v>
      </c>
      <c r="P37" s="278">
        <f t="shared" si="8"/>
        <v>0</v>
      </c>
      <c r="Q37" s="110"/>
      <c r="R37" s="278">
        <f t="shared" si="1"/>
        <v>0</v>
      </c>
      <c r="S37" s="278">
        <f t="shared" si="2"/>
        <v>0</v>
      </c>
      <c r="T37" s="278">
        <f t="shared" si="3"/>
        <v>0</v>
      </c>
      <c r="U37" s="278">
        <f t="shared" si="9"/>
        <v>0</v>
      </c>
      <c r="V37" s="278">
        <f t="shared" si="9"/>
        <v>0</v>
      </c>
      <c r="W37" s="110"/>
      <c r="X37" s="278">
        <f t="shared" si="11"/>
        <v>0</v>
      </c>
      <c r="Y37" s="278">
        <f t="shared" si="11"/>
        <v>0</v>
      </c>
      <c r="Z37" s="278">
        <f t="shared" si="11"/>
        <v>0</v>
      </c>
      <c r="AA37" s="278">
        <f t="shared" si="11"/>
        <v>0</v>
      </c>
      <c r="AB37" s="278">
        <f t="shared" si="11"/>
        <v>0</v>
      </c>
      <c r="AC37" s="188"/>
      <c r="AD37" s="88"/>
    </row>
    <row r="38" spans="2:30" x14ac:dyDescent="0.2">
      <c r="B38" s="88"/>
      <c r="C38" s="108"/>
      <c r="D38" s="115"/>
      <c r="E38" s="115"/>
      <c r="F38" s="150"/>
      <c r="G38" s="132"/>
      <c r="H38" s="286"/>
      <c r="I38" s="132"/>
      <c r="J38" s="132"/>
      <c r="K38" s="110"/>
      <c r="L38" s="113">
        <f t="shared" si="5"/>
        <v>0</v>
      </c>
      <c r="M38" s="278">
        <f t="shared" si="6"/>
        <v>0</v>
      </c>
      <c r="N38" s="278">
        <f t="shared" si="0"/>
        <v>0</v>
      </c>
      <c r="O38" s="166" t="str">
        <f t="shared" si="7"/>
        <v>-</v>
      </c>
      <c r="P38" s="278">
        <f t="shared" si="8"/>
        <v>0</v>
      </c>
      <c r="Q38" s="110"/>
      <c r="R38" s="278">
        <f t="shared" si="1"/>
        <v>0</v>
      </c>
      <c r="S38" s="278">
        <f t="shared" si="2"/>
        <v>0</v>
      </c>
      <c r="T38" s="278">
        <f t="shared" si="3"/>
        <v>0</v>
      </c>
      <c r="U38" s="278">
        <f t="shared" si="9"/>
        <v>0</v>
      </c>
      <c r="V38" s="278">
        <f t="shared" si="9"/>
        <v>0</v>
      </c>
      <c r="W38" s="110"/>
      <c r="X38" s="278">
        <f t="shared" si="11"/>
        <v>0</v>
      </c>
      <c r="Y38" s="278">
        <f t="shared" si="11"/>
        <v>0</v>
      </c>
      <c r="Z38" s="278">
        <f t="shared" si="11"/>
        <v>0</v>
      </c>
      <c r="AA38" s="278">
        <f t="shared" si="11"/>
        <v>0</v>
      </c>
      <c r="AB38" s="278">
        <f t="shared" si="11"/>
        <v>0</v>
      </c>
      <c r="AC38" s="188"/>
      <c r="AD38" s="88"/>
    </row>
    <row r="39" spans="2:30" x14ac:dyDescent="0.2">
      <c r="B39" s="88"/>
      <c r="C39" s="108"/>
      <c r="D39" s="115"/>
      <c r="E39" s="115"/>
      <c r="F39" s="150"/>
      <c r="G39" s="132"/>
      <c r="H39" s="286"/>
      <c r="I39" s="132"/>
      <c r="J39" s="132"/>
      <c r="K39" s="110"/>
      <c r="L39" s="113">
        <f t="shared" si="5"/>
        <v>0</v>
      </c>
      <c r="M39" s="278">
        <f t="shared" si="6"/>
        <v>0</v>
      </c>
      <c r="N39" s="278">
        <f t="shared" si="0"/>
        <v>0</v>
      </c>
      <c r="O39" s="166" t="str">
        <f t="shared" si="7"/>
        <v>-</v>
      </c>
      <c r="P39" s="278">
        <f t="shared" si="8"/>
        <v>0</v>
      </c>
      <c r="Q39" s="110"/>
      <c r="R39" s="278">
        <f t="shared" si="1"/>
        <v>0</v>
      </c>
      <c r="S39" s="278">
        <f t="shared" si="2"/>
        <v>0</v>
      </c>
      <c r="T39" s="278">
        <f t="shared" si="3"/>
        <v>0</v>
      </c>
      <c r="U39" s="278">
        <f t="shared" si="9"/>
        <v>0</v>
      </c>
      <c r="V39" s="278">
        <f t="shared" si="9"/>
        <v>0</v>
      </c>
      <c r="W39" s="110"/>
      <c r="X39" s="278">
        <f t="shared" si="11"/>
        <v>0</v>
      </c>
      <c r="Y39" s="278">
        <f t="shared" si="11"/>
        <v>0</v>
      </c>
      <c r="Z39" s="278">
        <f t="shared" si="11"/>
        <v>0</v>
      </c>
      <c r="AA39" s="278">
        <f t="shared" si="11"/>
        <v>0</v>
      </c>
      <c r="AB39" s="278">
        <f t="shared" si="11"/>
        <v>0</v>
      </c>
      <c r="AC39" s="188"/>
      <c r="AD39" s="88"/>
    </row>
    <row r="40" spans="2:30" x14ac:dyDescent="0.2">
      <c r="B40" s="88"/>
      <c r="C40" s="108"/>
      <c r="D40" s="115"/>
      <c r="E40" s="115"/>
      <c r="F40" s="150"/>
      <c r="G40" s="132"/>
      <c r="H40" s="286"/>
      <c r="I40" s="132"/>
      <c r="J40" s="132"/>
      <c r="K40" s="110"/>
      <c r="L40" s="113">
        <f t="shared" si="5"/>
        <v>0</v>
      </c>
      <c r="M40" s="278">
        <f t="shared" si="6"/>
        <v>0</v>
      </c>
      <c r="N40" s="278">
        <f t="shared" si="0"/>
        <v>0</v>
      </c>
      <c r="O40" s="166" t="str">
        <f t="shared" si="7"/>
        <v>-</v>
      </c>
      <c r="P40" s="278">
        <f t="shared" si="8"/>
        <v>0</v>
      </c>
      <c r="Q40" s="110"/>
      <c r="R40" s="278">
        <f t="shared" si="1"/>
        <v>0</v>
      </c>
      <c r="S40" s="278">
        <f t="shared" si="2"/>
        <v>0</v>
      </c>
      <c r="T40" s="278">
        <f t="shared" si="3"/>
        <v>0</v>
      </c>
      <c r="U40" s="278">
        <f t="shared" si="9"/>
        <v>0</v>
      </c>
      <c r="V40" s="278">
        <f t="shared" si="9"/>
        <v>0</v>
      </c>
      <c r="W40" s="110"/>
      <c r="X40" s="278">
        <f t="shared" si="11"/>
        <v>0</v>
      </c>
      <c r="Y40" s="278">
        <f t="shared" si="11"/>
        <v>0</v>
      </c>
      <c r="Z40" s="278">
        <f t="shared" si="11"/>
        <v>0</v>
      </c>
      <c r="AA40" s="278">
        <f t="shared" si="11"/>
        <v>0</v>
      </c>
      <c r="AB40" s="278">
        <f t="shared" si="11"/>
        <v>0</v>
      </c>
      <c r="AC40" s="188"/>
      <c r="AD40" s="88"/>
    </row>
    <row r="41" spans="2:30" x14ac:dyDescent="0.2">
      <c r="B41" s="88"/>
      <c r="C41" s="108"/>
      <c r="D41" s="115"/>
      <c r="E41" s="115"/>
      <c r="F41" s="150"/>
      <c r="G41" s="132"/>
      <c r="H41" s="286"/>
      <c r="I41" s="132"/>
      <c r="J41" s="132"/>
      <c r="K41" s="110"/>
      <c r="L41" s="113">
        <f t="shared" si="5"/>
        <v>0</v>
      </c>
      <c r="M41" s="278">
        <f t="shared" si="6"/>
        <v>0</v>
      </c>
      <c r="N41" s="278">
        <f t="shared" si="0"/>
        <v>0</v>
      </c>
      <c r="O41" s="166" t="str">
        <f t="shared" si="7"/>
        <v>-</v>
      </c>
      <c r="P41" s="278">
        <f t="shared" si="8"/>
        <v>0</v>
      </c>
      <c r="Q41" s="110"/>
      <c r="R41" s="278">
        <f t="shared" si="1"/>
        <v>0</v>
      </c>
      <c r="S41" s="278">
        <f t="shared" si="2"/>
        <v>0</v>
      </c>
      <c r="T41" s="278">
        <f t="shared" si="3"/>
        <v>0</v>
      </c>
      <c r="U41" s="278">
        <f t="shared" si="9"/>
        <v>0</v>
      </c>
      <c r="V41" s="278">
        <f t="shared" si="9"/>
        <v>0</v>
      </c>
      <c r="W41" s="110"/>
      <c r="X41" s="278">
        <f t="shared" si="11"/>
        <v>0</v>
      </c>
      <c r="Y41" s="278">
        <f t="shared" si="11"/>
        <v>0</v>
      </c>
      <c r="Z41" s="278">
        <f t="shared" si="11"/>
        <v>0</v>
      </c>
      <c r="AA41" s="278">
        <f t="shared" si="11"/>
        <v>0</v>
      </c>
      <c r="AB41" s="278">
        <f t="shared" si="11"/>
        <v>0</v>
      </c>
      <c r="AC41" s="188"/>
      <c r="AD41" s="88"/>
    </row>
    <row r="42" spans="2:30" x14ac:dyDescent="0.2">
      <c r="B42" s="88"/>
      <c r="C42" s="108"/>
      <c r="D42" s="115"/>
      <c r="E42" s="115"/>
      <c r="F42" s="150"/>
      <c r="G42" s="132"/>
      <c r="H42" s="286"/>
      <c r="I42" s="132"/>
      <c r="J42" s="132"/>
      <c r="K42" s="110"/>
      <c r="L42" s="113">
        <f t="shared" si="5"/>
        <v>0</v>
      </c>
      <c r="M42" s="278">
        <f t="shared" si="6"/>
        <v>0</v>
      </c>
      <c r="N42" s="278">
        <f t="shared" si="0"/>
        <v>0</v>
      </c>
      <c r="O42" s="166" t="str">
        <f t="shared" si="7"/>
        <v>-</v>
      </c>
      <c r="P42" s="278">
        <f t="shared" si="8"/>
        <v>0</v>
      </c>
      <c r="Q42" s="110"/>
      <c r="R42" s="278">
        <f t="shared" si="1"/>
        <v>0</v>
      </c>
      <c r="S42" s="278">
        <f t="shared" si="2"/>
        <v>0</v>
      </c>
      <c r="T42" s="278">
        <f t="shared" si="3"/>
        <v>0</v>
      </c>
      <c r="U42" s="278">
        <f t="shared" si="9"/>
        <v>0</v>
      </c>
      <c r="V42" s="278">
        <f t="shared" si="9"/>
        <v>0</v>
      </c>
      <c r="W42" s="110"/>
      <c r="X42" s="278">
        <f t="shared" si="11"/>
        <v>0</v>
      </c>
      <c r="Y42" s="278">
        <f t="shared" si="11"/>
        <v>0</v>
      </c>
      <c r="Z42" s="278">
        <f t="shared" si="11"/>
        <v>0</v>
      </c>
      <c r="AA42" s="278">
        <f t="shared" si="11"/>
        <v>0</v>
      </c>
      <c r="AB42" s="278">
        <f t="shared" si="11"/>
        <v>0</v>
      </c>
      <c r="AC42" s="188"/>
      <c r="AD42" s="88"/>
    </row>
    <row r="43" spans="2:30" x14ac:dyDescent="0.2">
      <c r="B43" s="88"/>
      <c r="C43" s="108"/>
      <c r="D43" s="115"/>
      <c r="E43" s="115"/>
      <c r="F43" s="150"/>
      <c r="G43" s="132"/>
      <c r="H43" s="286"/>
      <c r="I43" s="132"/>
      <c r="J43" s="132"/>
      <c r="K43" s="110"/>
      <c r="L43" s="113">
        <f t="shared" si="5"/>
        <v>0</v>
      </c>
      <c r="M43" s="278">
        <f t="shared" si="6"/>
        <v>0</v>
      </c>
      <c r="N43" s="278">
        <f t="shared" si="0"/>
        <v>0</v>
      </c>
      <c r="O43" s="166" t="str">
        <f t="shared" si="7"/>
        <v>-</v>
      </c>
      <c r="P43" s="278">
        <f t="shared" si="8"/>
        <v>0</v>
      </c>
      <c r="Q43" s="110"/>
      <c r="R43" s="278">
        <f t="shared" si="1"/>
        <v>0</v>
      </c>
      <c r="S43" s="278">
        <f t="shared" si="2"/>
        <v>0</v>
      </c>
      <c r="T43" s="278">
        <f t="shared" si="3"/>
        <v>0</v>
      </c>
      <c r="U43" s="278">
        <f t="shared" si="9"/>
        <v>0</v>
      </c>
      <c r="V43" s="278">
        <f t="shared" si="9"/>
        <v>0</v>
      </c>
      <c r="W43" s="110"/>
      <c r="X43" s="278">
        <f t="shared" si="11"/>
        <v>0</v>
      </c>
      <c r="Y43" s="278">
        <f t="shared" si="11"/>
        <v>0</v>
      </c>
      <c r="Z43" s="278">
        <f t="shared" si="11"/>
        <v>0</v>
      </c>
      <c r="AA43" s="278">
        <f t="shared" si="11"/>
        <v>0</v>
      </c>
      <c r="AB43" s="278">
        <f t="shared" si="11"/>
        <v>0</v>
      </c>
      <c r="AC43" s="188"/>
      <c r="AD43" s="88"/>
    </row>
    <row r="44" spans="2:30" x14ac:dyDescent="0.2">
      <c r="B44" s="88"/>
      <c r="C44" s="108"/>
      <c r="D44" s="115"/>
      <c r="E44" s="115"/>
      <c r="F44" s="150"/>
      <c r="G44" s="132"/>
      <c r="H44" s="286"/>
      <c r="I44" s="132"/>
      <c r="J44" s="132"/>
      <c r="K44" s="110"/>
      <c r="L44" s="113">
        <f t="shared" si="5"/>
        <v>0</v>
      </c>
      <c r="M44" s="278">
        <f t="shared" si="6"/>
        <v>0</v>
      </c>
      <c r="N44" s="278">
        <f t="shared" si="0"/>
        <v>0</v>
      </c>
      <c r="O44" s="166" t="str">
        <f t="shared" si="7"/>
        <v>-</v>
      </c>
      <c r="P44" s="278">
        <f t="shared" si="8"/>
        <v>0</v>
      </c>
      <c r="Q44" s="110"/>
      <c r="R44" s="278">
        <f t="shared" si="1"/>
        <v>0</v>
      </c>
      <c r="S44" s="278">
        <f t="shared" si="2"/>
        <v>0</v>
      </c>
      <c r="T44" s="278">
        <f t="shared" si="3"/>
        <v>0</v>
      </c>
      <c r="U44" s="278">
        <f t="shared" si="9"/>
        <v>0</v>
      </c>
      <c r="V44" s="278">
        <f t="shared" si="9"/>
        <v>0</v>
      </c>
      <c r="W44" s="110"/>
      <c r="X44" s="278">
        <f t="shared" ref="X44:AB53" si="12">IF(X$8=$I44,($G44*$H44),0)</f>
        <v>0</v>
      </c>
      <c r="Y44" s="278">
        <f t="shared" si="12"/>
        <v>0</v>
      </c>
      <c r="Z44" s="278">
        <f t="shared" si="12"/>
        <v>0</v>
      </c>
      <c r="AA44" s="278">
        <f t="shared" si="12"/>
        <v>0</v>
      </c>
      <c r="AB44" s="278">
        <f t="shared" si="12"/>
        <v>0</v>
      </c>
      <c r="AC44" s="188"/>
      <c r="AD44" s="88"/>
    </row>
    <row r="45" spans="2:30" x14ac:dyDescent="0.2">
      <c r="B45" s="88"/>
      <c r="C45" s="108"/>
      <c r="D45" s="115"/>
      <c r="E45" s="115"/>
      <c r="F45" s="150"/>
      <c r="G45" s="132"/>
      <c r="H45" s="286"/>
      <c r="I45" s="132"/>
      <c r="J45" s="132"/>
      <c r="K45" s="110"/>
      <c r="L45" s="113">
        <f t="shared" si="5"/>
        <v>0</v>
      </c>
      <c r="M45" s="278">
        <f t="shared" si="6"/>
        <v>0</v>
      </c>
      <c r="N45" s="278">
        <f t="shared" si="0"/>
        <v>0</v>
      </c>
      <c r="O45" s="166" t="str">
        <f t="shared" si="7"/>
        <v>-</v>
      </c>
      <c r="P45" s="278">
        <f t="shared" si="8"/>
        <v>0</v>
      </c>
      <c r="Q45" s="110"/>
      <c r="R45" s="278">
        <f t="shared" si="1"/>
        <v>0</v>
      </c>
      <c r="S45" s="278">
        <f t="shared" si="2"/>
        <v>0</v>
      </c>
      <c r="T45" s="278">
        <f t="shared" si="3"/>
        <v>0</v>
      </c>
      <c r="U45" s="278">
        <f t="shared" si="9"/>
        <v>0</v>
      </c>
      <c r="V45" s="278">
        <f t="shared" si="9"/>
        <v>0</v>
      </c>
      <c r="W45" s="110"/>
      <c r="X45" s="278">
        <f t="shared" si="12"/>
        <v>0</v>
      </c>
      <c r="Y45" s="278">
        <f t="shared" si="12"/>
        <v>0</v>
      </c>
      <c r="Z45" s="278">
        <f t="shared" si="12"/>
        <v>0</v>
      </c>
      <c r="AA45" s="278">
        <f t="shared" si="12"/>
        <v>0</v>
      </c>
      <c r="AB45" s="278">
        <f t="shared" si="12"/>
        <v>0</v>
      </c>
      <c r="AC45" s="188"/>
      <c r="AD45" s="88"/>
    </row>
    <row r="46" spans="2:30" x14ac:dyDescent="0.2">
      <c r="B46" s="88"/>
      <c r="C46" s="108"/>
      <c r="D46" s="115"/>
      <c r="E46" s="115"/>
      <c r="F46" s="150"/>
      <c r="G46" s="132"/>
      <c r="H46" s="286"/>
      <c r="I46" s="132"/>
      <c r="J46" s="132"/>
      <c r="K46" s="110"/>
      <c r="L46" s="113">
        <f t="shared" si="5"/>
        <v>0</v>
      </c>
      <c r="M46" s="278">
        <f t="shared" si="6"/>
        <v>0</v>
      </c>
      <c r="N46" s="278">
        <f t="shared" si="0"/>
        <v>0</v>
      </c>
      <c r="O46" s="166" t="str">
        <f t="shared" si="7"/>
        <v>-</v>
      </c>
      <c r="P46" s="278">
        <f t="shared" ref="P46:P77" si="13">IF(J46="geen",IF(I46&lt;$R$8,G46*H46,0),IF(I46&gt;=$R$8,0,IF((H46*G46-(R$8-I46)*N46)&lt;0,0,H46*G46-(R$8-I46)*N46)))</f>
        <v>0</v>
      </c>
      <c r="Q46" s="110"/>
      <c r="R46" s="278">
        <f t="shared" si="1"/>
        <v>0</v>
      </c>
      <c r="S46" s="278">
        <f t="shared" si="2"/>
        <v>0</v>
      </c>
      <c r="T46" s="278">
        <f t="shared" si="3"/>
        <v>0</v>
      </c>
      <c r="U46" s="278">
        <f t="shared" si="9"/>
        <v>0</v>
      </c>
      <c r="V46" s="278">
        <f t="shared" si="9"/>
        <v>0</v>
      </c>
      <c r="W46" s="110"/>
      <c r="X46" s="278">
        <f t="shared" si="12"/>
        <v>0</v>
      </c>
      <c r="Y46" s="278">
        <f t="shared" si="12"/>
        <v>0</v>
      </c>
      <c r="Z46" s="278">
        <f t="shared" si="12"/>
        <v>0</v>
      </c>
      <c r="AA46" s="278">
        <f t="shared" si="12"/>
        <v>0</v>
      </c>
      <c r="AB46" s="278">
        <f t="shared" si="12"/>
        <v>0</v>
      </c>
      <c r="AC46" s="188"/>
      <c r="AD46" s="88"/>
    </row>
    <row r="47" spans="2:30" x14ac:dyDescent="0.2">
      <c r="B47" s="88"/>
      <c r="C47" s="108"/>
      <c r="D47" s="115"/>
      <c r="E47" s="115"/>
      <c r="F47" s="150"/>
      <c r="G47" s="132"/>
      <c r="H47" s="286"/>
      <c r="I47" s="132"/>
      <c r="J47" s="132"/>
      <c r="K47" s="110"/>
      <c r="L47" s="113">
        <f t="shared" si="5"/>
        <v>0</v>
      </c>
      <c r="M47" s="278">
        <f t="shared" si="6"/>
        <v>0</v>
      </c>
      <c r="N47" s="278">
        <f t="shared" si="0"/>
        <v>0</v>
      </c>
      <c r="O47" s="166" t="str">
        <f t="shared" si="7"/>
        <v>-</v>
      </c>
      <c r="P47" s="278">
        <f t="shared" si="13"/>
        <v>0</v>
      </c>
      <c r="Q47" s="110"/>
      <c r="R47" s="278">
        <f t="shared" si="1"/>
        <v>0</v>
      </c>
      <c r="S47" s="278">
        <f t="shared" si="2"/>
        <v>0</v>
      </c>
      <c r="T47" s="278">
        <f t="shared" si="3"/>
        <v>0</v>
      </c>
      <c r="U47" s="278">
        <f t="shared" si="9"/>
        <v>0</v>
      </c>
      <c r="V47" s="278">
        <f t="shared" si="9"/>
        <v>0</v>
      </c>
      <c r="W47" s="110"/>
      <c r="X47" s="278">
        <f t="shared" si="12"/>
        <v>0</v>
      </c>
      <c r="Y47" s="278">
        <f t="shared" si="12"/>
        <v>0</v>
      </c>
      <c r="Z47" s="278">
        <f t="shared" si="12"/>
        <v>0</v>
      </c>
      <c r="AA47" s="278">
        <f t="shared" si="12"/>
        <v>0</v>
      </c>
      <c r="AB47" s="278">
        <f t="shared" si="12"/>
        <v>0</v>
      </c>
      <c r="AC47" s="188"/>
      <c r="AD47" s="88"/>
    </row>
    <row r="48" spans="2:30" x14ac:dyDescent="0.2">
      <c r="B48" s="88"/>
      <c r="C48" s="108"/>
      <c r="D48" s="115"/>
      <c r="E48" s="115"/>
      <c r="F48" s="150"/>
      <c r="G48" s="132"/>
      <c r="H48" s="286"/>
      <c r="I48" s="132"/>
      <c r="J48" s="132"/>
      <c r="K48" s="110"/>
      <c r="L48" s="113">
        <f t="shared" si="5"/>
        <v>0</v>
      </c>
      <c r="M48" s="278">
        <f t="shared" si="6"/>
        <v>0</v>
      </c>
      <c r="N48" s="278">
        <f t="shared" si="0"/>
        <v>0</v>
      </c>
      <c r="O48" s="166" t="str">
        <f t="shared" si="7"/>
        <v>-</v>
      </c>
      <c r="P48" s="278">
        <f t="shared" si="13"/>
        <v>0</v>
      </c>
      <c r="Q48" s="110"/>
      <c r="R48" s="278">
        <f t="shared" si="1"/>
        <v>0</v>
      </c>
      <c r="S48" s="278">
        <f t="shared" si="2"/>
        <v>0</v>
      </c>
      <c r="T48" s="278">
        <f t="shared" si="3"/>
        <v>0</v>
      </c>
      <c r="U48" s="278">
        <f t="shared" si="9"/>
        <v>0</v>
      </c>
      <c r="V48" s="278">
        <f t="shared" si="9"/>
        <v>0</v>
      </c>
      <c r="W48" s="110"/>
      <c r="X48" s="278">
        <f t="shared" si="12"/>
        <v>0</v>
      </c>
      <c r="Y48" s="278">
        <f t="shared" si="12"/>
        <v>0</v>
      </c>
      <c r="Z48" s="278">
        <f t="shared" si="12"/>
        <v>0</v>
      </c>
      <c r="AA48" s="278">
        <f t="shared" si="12"/>
        <v>0</v>
      </c>
      <c r="AB48" s="278">
        <f t="shared" si="12"/>
        <v>0</v>
      </c>
      <c r="AC48" s="188"/>
      <c r="AD48" s="88"/>
    </row>
    <row r="49" spans="2:30" x14ac:dyDescent="0.2">
      <c r="B49" s="88"/>
      <c r="C49" s="108"/>
      <c r="D49" s="115"/>
      <c r="E49" s="115"/>
      <c r="F49" s="150"/>
      <c r="G49" s="132"/>
      <c r="H49" s="286"/>
      <c r="I49" s="132"/>
      <c r="J49" s="132"/>
      <c r="K49" s="110"/>
      <c r="L49" s="113">
        <f t="shared" si="5"/>
        <v>0</v>
      </c>
      <c r="M49" s="278">
        <f t="shared" si="6"/>
        <v>0</v>
      </c>
      <c r="N49" s="278">
        <f t="shared" si="0"/>
        <v>0</v>
      </c>
      <c r="O49" s="166" t="str">
        <f t="shared" si="7"/>
        <v>-</v>
      </c>
      <c r="P49" s="278">
        <f t="shared" si="13"/>
        <v>0</v>
      </c>
      <c r="Q49" s="110"/>
      <c r="R49" s="278">
        <f t="shared" si="1"/>
        <v>0</v>
      </c>
      <c r="S49" s="278">
        <f t="shared" si="2"/>
        <v>0</v>
      </c>
      <c r="T49" s="278">
        <f t="shared" si="3"/>
        <v>0</v>
      </c>
      <c r="U49" s="278">
        <f t="shared" si="9"/>
        <v>0</v>
      </c>
      <c r="V49" s="278">
        <f t="shared" si="9"/>
        <v>0</v>
      </c>
      <c r="W49" s="110"/>
      <c r="X49" s="278">
        <f t="shared" si="12"/>
        <v>0</v>
      </c>
      <c r="Y49" s="278">
        <f t="shared" si="12"/>
        <v>0</v>
      </c>
      <c r="Z49" s="278">
        <f t="shared" si="12"/>
        <v>0</v>
      </c>
      <c r="AA49" s="278">
        <f t="shared" si="12"/>
        <v>0</v>
      </c>
      <c r="AB49" s="278">
        <f t="shared" si="12"/>
        <v>0</v>
      </c>
      <c r="AC49" s="188"/>
      <c r="AD49" s="88"/>
    </row>
    <row r="50" spans="2:30" x14ac:dyDescent="0.2">
      <c r="B50" s="88"/>
      <c r="C50" s="108"/>
      <c r="D50" s="115"/>
      <c r="E50" s="115"/>
      <c r="F50" s="150"/>
      <c r="G50" s="132"/>
      <c r="H50" s="286"/>
      <c r="I50" s="132"/>
      <c r="J50" s="132"/>
      <c r="K50" s="110"/>
      <c r="L50" s="113">
        <f t="shared" si="5"/>
        <v>0</v>
      </c>
      <c r="M50" s="278">
        <f t="shared" si="6"/>
        <v>0</v>
      </c>
      <c r="N50" s="278">
        <f t="shared" si="0"/>
        <v>0</v>
      </c>
      <c r="O50" s="166" t="str">
        <f t="shared" si="7"/>
        <v>-</v>
      </c>
      <c r="P50" s="278">
        <f t="shared" si="13"/>
        <v>0</v>
      </c>
      <c r="Q50" s="110"/>
      <c r="R50" s="278">
        <f t="shared" si="1"/>
        <v>0</v>
      </c>
      <c r="S50" s="278">
        <f t="shared" si="2"/>
        <v>0</v>
      </c>
      <c r="T50" s="278">
        <f t="shared" si="3"/>
        <v>0</v>
      </c>
      <c r="U50" s="278">
        <f t="shared" si="9"/>
        <v>0</v>
      </c>
      <c r="V50" s="278">
        <f t="shared" si="9"/>
        <v>0</v>
      </c>
      <c r="W50" s="110"/>
      <c r="X50" s="278">
        <f t="shared" si="12"/>
        <v>0</v>
      </c>
      <c r="Y50" s="278">
        <f t="shared" si="12"/>
        <v>0</v>
      </c>
      <c r="Z50" s="278">
        <f t="shared" si="12"/>
        <v>0</v>
      </c>
      <c r="AA50" s="278">
        <f t="shared" si="12"/>
        <v>0</v>
      </c>
      <c r="AB50" s="278">
        <f t="shared" si="12"/>
        <v>0</v>
      </c>
      <c r="AC50" s="188"/>
      <c r="AD50" s="88"/>
    </row>
    <row r="51" spans="2:30" x14ac:dyDescent="0.2">
      <c r="B51" s="88"/>
      <c r="C51" s="108"/>
      <c r="D51" s="115"/>
      <c r="E51" s="115"/>
      <c r="F51" s="150"/>
      <c r="G51" s="132"/>
      <c r="H51" s="286"/>
      <c r="I51" s="132"/>
      <c r="J51" s="132"/>
      <c r="K51" s="110"/>
      <c r="L51" s="113">
        <f t="shared" si="5"/>
        <v>0</v>
      </c>
      <c r="M51" s="278">
        <f t="shared" si="6"/>
        <v>0</v>
      </c>
      <c r="N51" s="278">
        <f t="shared" si="0"/>
        <v>0</v>
      </c>
      <c r="O51" s="166" t="str">
        <f t="shared" si="7"/>
        <v>-</v>
      </c>
      <c r="P51" s="278">
        <f t="shared" si="13"/>
        <v>0</v>
      </c>
      <c r="Q51" s="110"/>
      <c r="R51" s="278">
        <f t="shared" si="1"/>
        <v>0</v>
      </c>
      <c r="S51" s="278">
        <f t="shared" si="2"/>
        <v>0</v>
      </c>
      <c r="T51" s="278">
        <f t="shared" si="3"/>
        <v>0</v>
      </c>
      <c r="U51" s="278">
        <f t="shared" si="9"/>
        <v>0</v>
      </c>
      <c r="V51" s="278">
        <f t="shared" si="9"/>
        <v>0</v>
      </c>
      <c r="W51" s="110"/>
      <c r="X51" s="278">
        <f t="shared" si="12"/>
        <v>0</v>
      </c>
      <c r="Y51" s="278">
        <f t="shared" si="12"/>
        <v>0</v>
      </c>
      <c r="Z51" s="278">
        <f t="shared" si="12"/>
        <v>0</v>
      </c>
      <c r="AA51" s="278">
        <f t="shared" si="12"/>
        <v>0</v>
      </c>
      <c r="AB51" s="278">
        <f t="shared" si="12"/>
        <v>0</v>
      </c>
      <c r="AC51" s="188"/>
      <c r="AD51" s="88"/>
    </row>
    <row r="52" spans="2:30" x14ac:dyDescent="0.2">
      <c r="B52" s="88"/>
      <c r="C52" s="108"/>
      <c r="D52" s="115"/>
      <c r="E52" s="115"/>
      <c r="F52" s="150"/>
      <c r="G52" s="132"/>
      <c r="H52" s="286"/>
      <c r="I52" s="132"/>
      <c r="J52" s="132"/>
      <c r="K52" s="110"/>
      <c r="L52" s="113">
        <f t="shared" si="5"/>
        <v>0</v>
      </c>
      <c r="M52" s="278">
        <f t="shared" si="6"/>
        <v>0</v>
      </c>
      <c r="N52" s="278">
        <f t="shared" si="0"/>
        <v>0</v>
      </c>
      <c r="O52" s="166" t="str">
        <f t="shared" si="7"/>
        <v>-</v>
      </c>
      <c r="P52" s="278">
        <f t="shared" si="13"/>
        <v>0</v>
      </c>
      <c r="Q52" s="110"/>
      <c r="R52" s="278">
        <f t="shared" si="1"/>
        <v>0</v>
      </c>
      <c r="S52" s="278">
        <f t="shared" si="2"/>
        <v>0</v>
      </c>
      <c r="T52" s="278">
        <f t="shared" si="3"/>
        <v>0</v>
      </c>
      <c r="U52" s="278">
        <f t="shared" si="9"/>
        <v>0</v>
      </c>
      <c r="V52" s="278">
        <f t="shared" si="9"/>
        <v>0</v>
      </c>
      <c r="W52" s="110"/>
      <c r="X52" s="278">
        <f t="shared" si="12"/>
        <v>0</v>
      </c>
      <c r="Y52" s="278">
        <f t="shared" si="12"/>
        <v>0</v>
      </c>
      <c r="Z52" s="278">
        <f t="shared" si="12"/>
        <v>0</v>
      </c>
      <c r="AA52" s="278">
        <f t="shared" si="12"/>
        <v>0</v>
      </c>
      <c r="AB52" s="278">
        <f t="shared" si="12"/>
        <v>0</v>
      </c>
      <c r="AC52" s="188"/>
      <c r="AD52" s="88"/>
    </row>
    <row r="53" spans="2:30" x14ac:dyDescent="0.2">
      <c r="B53" s="88"/>
      <c r="C53" s="108"/>
      <c r="D53" s="115"/>
      <c r="E53" s="115"/>
      <c r="F53" s="150"/>
      <c r="G53" s="132"/>
      <c r="H53" s="286"/>
      <c r="I53" s="132"/>
      <c r="J53" s="132"/>
      <c r="K53" s="110"/>
      <c r="L53" s="113">
        <f t="shared" si="5"/>
        <v>0</v>
      </c>
      <c r="M53" s="278">
        <f t="shared" si="6"/>
        <v>0</v>
      </c>
      <c r="N53" s="278">
        <f t="shared" si="0"/>
        <v>0</v>
      </c>
      <c r="O53" s="166" t="str">
        <f t="shared" si="7"/>
        <v>-</v>
      </c>
      <c r="P53" s="278">
        <f t="shared" si="13"/>
        <v>0</v>
      </c>
      <c r="Q53" s="110"/>
      <c r="R53" s="278">
        <f t="shared" si="1"/>
        <v>0</v>
      </c>
      <c r="S53" s="278">
        <f t="shared" si="2"/>
        <v>0</v>
      </c>
      <c r="T53" s="278">
        <f t="shared" si="3"/>
        <v>0</v>
      </c>
      <c r="U53" s="278">
        <f t="shared" si="9"/>
        <v>0</v>
      </c>
      <c r="V53" s="278">
        <f t="shared" si="9"/>
        <v>0</v>
      </c>
      <c r="W53" s="110"/>
      <c r="X53" s="278">
        <f t="shared" si="12"/>
        <v>0</v>
      </c>
      <c r="Y53" s="278">
        <f t="shared" si="12"/>
        <v>0</v>
      </c>
      <c r="Z53" s="278">
        <f t="shared" si="12"/>
        <v>0</v>
      </c>
      <c r="AA53" s="278">
        <f t="shared" si="12"/>
        <v>0</v>
      </c>
      <c r="AB53" s="278">
        <f t="shared" si="12"/>
        <v>0</v>
      </c>
      <c r="AC53" s="188"/>
      <c r="AD53" s="88"/>
    </row>
    <row r="54" spans="2:30" x14ac:dyDescent="0.2">
      <c r="B54" s="88"/>
      <c r="C54" s="108"/>
      <c r="D54" s="115"/>
      <c r="E54" s="115"/>
      <c r="F54" s="150"/>
      <c r="G54" s="132"/>
      <c r="H54" s="286"/>
      <c r="I54" s="132"/>
      <c r="J54" s="132"/>
      <c r="K54" s="110"/>
      <c r="L54" s="113">
        <f t="shared" si="5"/>
        <v>0</v>
      </c>
      <c r="M54" s="278">
        <f t="shared" si="6"/>
        <v>0</v>
      </c>
      <c r="N54" s="278">
        <f t="shared" si="0"/>
        <v>0</v>
      </c>
      <c r="O54" s="166" t="str">
        <f t="shared" si="7"/>
        <v>-</v>
      </c>
      <c r="P54" s="278">
        <f t="shared" si="13"/>
        <v>0</v>
      </c>
      <c r="Q54" s="110"/>
      <c r="R54" s="278">
        <f t="shared" si="1"/>
        <v>0</v>
      </c>
      <c r="S54" s="278">
        <f t="shared" si="2"/>
        <v>0</v>
      </c>
      <c r="T54" s="278">
        <f t="shared" si="3"/>
        <v>0</v>
      </c>
      <c r="U54" s="278">
        <f t="shared" si="9"/>
        <v>0</v>
      </c>
      <c r="V54" s="278">
        <f t="shared" si="9"/>
        <v>0</v>
      </c>
      <c r="W54" s="110"/>
      <c r="X54" s="278">
        <f t="shared" ref="X54:AB66" si="14">IF(X$8=$I54,($G54*$H54),0)</f>
        <v>0</v>
      </c>
      <c r="Y54" s="278">
        <f t="shared" si="14"/>
        <v>0</v>
      </c>
      <c r="Z54" s="278">
        <f t="shared" si="14"/>
        <v>0</v>
      </c>
      <c r="AA54" s="278">
        <f t="shared" si="14"/>
        <v>0</v>
      </c>
      <c r="AB54" s="278">
        <f t="shared" si="14"/>
        <v>0</v>
      </c>
      <c r="AC54" s="188"/>
      <c r="AD54" s="88"/>
    </row>
    <row r="55" spans="2:30" x14ac:dyDescent="0.2">
      <c r="B55" s="88"/>
      <c r="C55" s="108"/>
      <c r="D55" s="115"/>
      <c r="E55" s="115"/>
      <c r="F55" s="150"/>
      <c r="G55" s="132"/>
      <c r="H55" s="286"/>
      <c r="I55" s="132"/>
      <c r="J55" s="132"/>
      <c r="K55" s="110"/>
      <c r="L55" s="113">
        <f t="shared" si="5"/>
        <v>0</v>
      </c>
      <c r="M55" s="278">
        <f t="shared" si="6"/>
        <v>0</v>
      </c>
      <c r="N55" s="278">
        <f t="shared" si="0"/>
        <v>0</v>
      </c>
      <c r="O55" s="166" t="str">
        <f t="shared" si="7"/>
        <v>-</v>
      </c>
      <c r="P55" s="278">
        <f t="shared" si="13"/>
        <v>0</v>
      </c>
      <c r="Q55" s="110"/>
      <c r="R55" s="278">
        <f t="shared" si="1"/>
        <v>0</v>
      </c>
      <c r="S55" s="278">
        <f t="shared" si="2"/>
        <v>0</v>
      </c>
      <c r="T55" s="278">
        <f t="shared" si="3"/>
        <v>0</v>
      </c>
      <c r="U55" s="278">
        <f t="shared" si="9"/>
        <v>0</v>
      </c>
      <c r="V55" s="278">
        <f t="shared" si="9"/>
        <v>0</v>
      </c>
      <c r="W55" s="110"/>
      <c r="X55" s="278">
        <f t="shared" si="14"/>
        <v>0</v>
      </c>
      <c r="Y55" s="278">
        <f t="shared" si="14"/>
        <v>0</v>
      </c>
      <c r="Z55" s="278">
        <f t="shared" si="14"/>
        <v>0</v>
      </c>
      <c r="AA55" s="278">
        <f t="shared" si="14"/>
        <v>0</v>
      </c>
      <c r="AB55" s="278">
        <f t="shared" si="14"/>
        <v>0</v>
      </c>
      <c r="AC55" s="188"/>
      <c r="AD55" s="88"/>
    </row>
    <row r="56" spans="2:30" x14ac:dyDescent="0.2">
      <c r="B56" s="88"/>
      <c r="C56" s="108"/>
      <c r="D56" s="115"/>
      <c r="E56" s="115"/>
      <c r="F56" s="150"/>
      <c r="G56" s="132"/>
      <c r="H56" s="286"/>
      <c r="I56" s="132"/>
      <c r="J56" s="132"/>
      <c r="K56" s="110"/>
      <c r="L56" s="113">
        <f t="shared" si="5"/>
        <v>0</v>
      </c>
      <c r="M56" s="278">
        <f t="shared" si="6"/>
        <v>0</v>
      </c>
      <c r="N56" s="278">
        <f t="shared" si="0"/>
        <v>0</v>
      </c>
      <c r="O56" s="166" t="str">
        <f t="shared" si="7"/>
        <v>-</v>
      </c>
      <c r="P56" s="278">
        <f t="shared" si="13"/>
        <v>0</v>
      </c>
      <c r="Q56" s="110"/>
      <c r="R56" s="278">
        <f t="shared" si="1"/>
        <v>0</v>
      </c>
      <c r="S56" s="278">
        <f t="shared" si="2"/>
        <v>0</v>
      </c>
      <c r="T56" s="278">
        <f t="shared" si="3"/>
        <v>0</v>
      </c>
      <c r="U56" s="278">
        <f t="shared" si="9"/>
        <v>0</v>
      </c>
      <c r="V56" s="278">
        <f t="shared" si="9"/>
        <v>0</v>
      </c>
      <c r="W56" s="110"/>
      <c r="X56" s="278">
        <f t="shared" si="14"/>
        <v>0</v>
      </c>
      <c r="Y56" s="278">
        <f t="shared" si="14"/>
        <v>0</v>
      </c>
      <c r="Z56" s="278">
        <f t="shared" si="14"/>
        <v>0</v>
      </c>
      <c r="AA56" s="278">
        <f t="shared" si="14"/>
        <v>0</v>
      </c>
      <c r="AB56" s="278">
        <f t="shared" si="14"/>
        <v>0</v>
      </c>
      <c r="AC56" s="188"/>
      <c r="AD56" s="88"/>
    </row>
    <row r="57" spans="2:30" x14ac:dyDescent="0.2">
      <c r="B57" s="88"/>
      <c r="C57" s="108"/>
      <c r="D57" s="115"/>
      <c r="E57" s="115"/>
      <c r="F57" s="150"/>
      <c r="G57" s="132"/>
      <c r="H57" s="286"/>
      <c r="I57" s="132"/>
      <c r="J57" s="132"/>
      <c r="K57" s="110"/>
      <c r="L57" s="113">
        <f t="shared" si="5"/>
        <v>0</v>
      </c>
      <c r="M57" s="278">
        <f t="shared" si="6"/>
        <v>0</v>
      </c>
      <c r="N57" s="278">
        <f t="shared" si="0"/>
        <v>0</v>
      </c>
      <c r="O57" s="166" t="str">
        <f t="shared" si="7"/>
        <v>-</v>
      </c>
      <c r="P57" s="278">
        <f t="shared" si="13"/>
        <v>0</v>
      </c>
      <c r="Q57" s="110"/>
      <c r="R57" s="278">
        <f t="shared" si="1"/>
        <v>0</v>
      </c>
      <c r="S57" s="278">
        <f t="shared" si="2"/>
        <v>0</v>
      </c>
      <c r="T57" s="278">
        <f t="shared" si="3"/>
        <v>0</v>
      </c>
      <c r="U57" s="278">
        <f t="shared" si="9"/>
        <v>0</v>
      </c>
      <c r="V57" s="278">
        <f t="shared" si="9"/>
        <v>0</v>
      </c>
      <c r="W57" s="110"/>
      <c r="X57" s="278">
        <f t="shared" si="14"/>
        <v>0</v>
      </c>
      <c r="Y57" s="278">
        <f t="shared" si="14"/>
        <v>0</v>
      </c>
      <c r="Z57" s="278">
        <f t="shared" si="14"/>
        <v>0</v>
      </c>
      <c r="AA57" s="278">
        <f t="shared" si="14"/>
        <v>0</v>
      </c>
      <c r="AB57" s="278">
        <f t="shared" si="14"/>
        <v>0</v>
      </c>
      <c r="AC57" s="188"/>
      <c r="AD57" s="88"/>
    </row>
    <row r="58" spans="2:30" x14ac:dyDescent="0.2">
      <c r="B58" s="88"/>
      <c r="C58" s="108"/>
      <c r="D58" s="115"/>
      <c r="E58" s="115"/>
      <c r="F58" s="150"/>
      <c r="G58" s="132"/>
      <c r="H58" s="286"/>
      <c r="I58" s="132"/>
      <c r="J58" s="132"/>
      <c r="K58" s="110"/>
      <c r="L58" s="113">
        <f t="shared" si="5"/>
        <v>0</v>
      </c>
      <c r="M58" s="278">
        <f t="shared" si="6"/>
        <v>0</v>
      </c>
      <c r="N58" s="278">
        <f t="shared" si="0"/>
        <v>0</v>
      </c>
      <c r="O58" s="166" t="str">
        <f t="shared" si="7"/>
        <v>-</v>
      </c>
      <c r="P58" s="278">
        <f t="shared" si="13"/>
        <v>0</v>
      </c>
      <c r="Q58" s="110"/>
      <c r="R58" s="278">
        <f t="shared" si="1"/>
        <v>0</v>
      </c>
      <c r="S58" s="278">
        <f t="shared" si="2"/>
        <v>0</v>
      </c>
      <c r="T58" s="278">
        <f t="shared" si="3"/>
        <v>0</v>
      </c>
      <c r="U58" s="278">
        <f t="shared" si="9"/>
        <v>0</v>
      </c>
      <c r="V58" s="278">
        <f t="shared" si="9"/>
        <v>0</v>
      </c>
      <c r="W58" s="110"/>
      <c r="X58" s="278">
        <f t="shared" si="14"/>
        <v>0</v>
      </c>
      <c r="Y58" s="278">
        <f t="shared" si="14"/>
        <v>0</v>
      </c>
      <c r="Z58" s="278">
        <f t="shared" si="14"/>
        <v>0</v>
      </c>
      <c r="AA58" s="278">
        <f t="shared" si="14"/>
        <v>0</v>
      </c>
      <c r="AB58" s="278">
        <f t="shared" si="14"/>
        <v>0</v>
      </c>
      <c r="AC58" s="188"/>
      <c r="AD58" s="88"/>
    </row>
    <row r="59" spans="2:30" x14ac:dyDescent="0.2">
      <c r="B59" s="88"/>
      <c r="C59" s="108"/>
      <c r="D59" s="115"/>
      <c r="E59" s="115"/>
      <c r="F59" s="150"/>
      <c r="G59" s="132"/>
      <c r="H59" s="286"/>
      <c r="I59" s="132"/>
      <c r="J59" s="132"/>
      <c r="K59" s="110"/>
      <c r="L59" s="113">
        <f t="shared" si="5"/>
        <v>0</v>
      </c>
      <c r="M59" s="278">
        <f t="shared" si="6"/>
        <v>0</v>
      </c>
      <c r="N59" s="278">
        <f t="shared" si="0"/>
        <v>0</v>
      </c>
      <c r="O59" s="166" t="str">
        <f t="shared" si="7"/>
        <v>-</v>
      </c>
      <c r="P59" s="278">
        <f t="shared" si="13"/>
        <v>0</v>
      </c>
      <c r="Q59" s="110"/>
      <c r="R59" s="278">
        <f t="shared" si="1"/>
        <v>0</v>
      </c>
      <c r="S59" s="278">
        <f t="shared" si="2"/>
        <v>0</v>
      </c>
      <c r="T59" s="278">
        <f t="shared" si="3"/>
        <v>0</v>
      </c>
      <c r="U59" s="278">
        <f t="shared" si="9"/>
        <v>0</v>
      </c>
      <c r="V59" s="278">
        <f t="shared" si="9"/>
        <v>0</v>
      </c>
      <c r="W59" s="110"/>
      <c r="X59" s="278">
        <f t="shared" si="14"/>
        <v>0</v>
      </c>
      <c r="Y59" s="278">
        <f t="shared" si="14"/>
        <v>0</v>
      </c>
      <c r="Z59" s="278">
        <f t="shared" si="14"/>
        <v>0</v>
      </c>
      <c r="AA59" s="278">
        <f t="shared" si="14"/>
        <v>0</v>
      </c>
      <c r="AB59" s="278">
        <f t="shared" si="14"/>
        <v>0</v>
      </c>
      <c r="AC59" s="188"/>
      <c r="AD59" s="88"/>
    </row>
    <row r="60" spans="2:30" x14ac:dyDescent="0.2">
      <c r="B60" s="88"/>
      <c r="C60" s="108"/>
      <c r="D60" s="115"/>
      <c r="E60" s="115"/>
      <c r="F60" s="150"/>
      <c r="G60" s="132"/>
      <c r="H60" s="286"/>
      <c r="I60" s="132"/>
      <c r="J60" s="132"/>
      <c r="K60" s="110"/>
      <c r="L60" s="113">
        <f t="shared" si="5"/>
        <v>0</v>
      </c>
      <c r="M60" s="278">
        <f t="shared" si="6"/>
        <v>0</v>
      </c>
      <c r="N60" s="278">
        <f t="shared" si="0"/>
        <v>0</v>
      </c>
      <c r="O60" s="166" t="str">
        <f t="shared" si="7"/>
        <v>-</v>
      </c>
      <c r="P60" s="278">
        <f t="shared" si="13"/>
        <v>0</v>
      </c>
      <c r="Q60" s="110"/>
      <c r="R60" s="278">
        <f t="shared" si="1"/>
        <v>0</v>
      </c>
      <c r="S60" s="278">
        <f t="shared" si="2"/>
        <v>0</v>
      </c>
      <c r="T60" s="278">
        <f t="shared" si="3"/>
        <v>0</v>
      </c>
      <c r="U60" s="278">
        <f t="shared" si="9"/>
        <v>0</v>
      </c>
      <c r="V60" s="278">
        <f t="shared" si="9"/>
        <v>0</v>
      </c>
      <c r="W60" s="110"/>
      <c r="X60" s="278">
        <f t="shared" si="14"/>
        <v>0</v>
      </c>
      <c r="Y60" s="278">
        <f t="shared" si="14"/>
        <v>0</v>
      </c>
      <c r="Z60" s="278">
        <f t="shared" si="14"/>
        <v>0</v>
      </c>
      <c r="AA60" s="278">
        <f t="shared" si="14"/>
        <v>0</v>
      </c>
      <c r="AB60" s="278">
        <f t="shared" si="14"/>
        <v>0</v>
      </c>
      <c r="AC60" s="188"/>
      <c r="AD60" s="88"/>
    </row>
    <row r="61" spans="2:30" x14ac:dyDescent="0.2">
      <c r="B61" s="88"/>
      <c r="C61" s="108"/>
      <c r="D61" s="115"/>
      <c r="E61" s="115"/>
      <c r="F61" s="150"/>
      <c r="G61" s="132"/>
      <c r="H61" s="286"/>
      <c r="I61" s="132"/>
      <c r="J61" s="132"/>
      <c r="K61" s="110"/>
      <c r="L61" s="113">
        <f t="shared" si="5"/>
        <v>0</v>
      </c>
      <c r="M61" s="278">
        <f t="shared" si="6"/>
        <v>0</v>
      </c>
      <c r="N61" s="278">
        <f t="shared" si="0"/>
        <v>0</v>
      </c>
      <c r="O61" s="166" t="str">
        <f t="shared" si="7"/>
        <v>-</v>
      </c>
      <c r="P61" s="278">
        <f t="shared" si="13"/>
        <v>0</v>
      </c>
      <c r="Q61" s="110"/>
      <c r="R61" s="278">
        <f t="shared" si="1"/>
        <v>0</v>
      </c>
      <c r="S61" s="278">
        <f t="shared" si="2"/>
        <v>0</v>
      </c>
      <c r="T61" s="278">
        <f t="shared" si="3"/>
        <v>0</v>
      </c>
      <c r="U61" s="278">
        <f t="shared" si="9"/>
        <v>0</v>
      </c>
      <c r="V61" s="278">
        <f t="shared" si="9"/>
        <v>0</v>
      </c>
      <c r="W61" s="110"/>
      <c r="X61" s="278">
        <f t="shared" si="14"/>
        <v>0</v>
      </c>
      <c r="Y61" s="278">
        <f t="shared" si="14"/>
        <v>0</v>
      </c>
      <c r="Z61" s="278">
        <f t="shared" si="14"/>
        <v>0</v>
      </c>
      <c r="AA61" s="278">
        <f t="shared" si="14"/>
        <v>0</v>
      </c>
      <c r="AB61" s="278">
        <f t="shared" si="14"/>
        <v>0</v>
      </c>
      <c r="AC61" s="188"/>
      <c r="AD61" s="88"/>
    </row>
    <row r="62" spans="2:30" x14ac:dyDescent="0.2">
      <c r="B62" s="88"/>
      <c r="C62" s="108"/>
      <c r="D62" s="115"/>
      <c r="E62" s="115"/>
      <c r="F62" s="150"/>
      <c r="G62" s="132"/>
      <c r="H62" s="286"/>
      <c r="I62" s="132"/>
      <c r="J62" s="132"/>
      <c r="K62" s="110"/>
      <c r="L62" s="113">
        <f t="shared" si="5"/>
        <v>0</v>
      </c>
      <c r="M62" s="278">
        <f t="shared" si="6"/>
        <v>0</v>
      </c>
      <c r="N62" s="278">
        <f t="shared" si="0"/>
        <v>0</v>
      </c>
      <c r="O62" s="166" t="str">
        <f t="shared" si="7"/>
        <v>-</v>
      </c>
      <c r="P62" s="278">
        <f t="shared" si="13"/>
        <v>0</v>
      </c>
      <c r="Q62" s="110"/>
      <c r="R62" s="278">
        <f t="shared" si="1"/>
        <v>0</v>
      </c>
      <c r="S62" s="278">
        <f t="shared" si="2"/>
        <v>0</v>
      </c>
      <c r="T62" s="278">
        <f t="shared" si="3"/>
        <v>0</v>
      </c>
      <c r="U62" s="278">
        <f t="shared" si="9"/>
        <v>0</v>
      </c>
      <c r="V62" s="278">
        <f t="shared" si="9"/>
        <v>0</v>
      </c>
      <c r="W62" s="110"/>
      <c r="X62" s="278">
        <f t="shared" si="14"/>
        <v>0</v>
      </c>
      <c r="Y62" s="278">
        <f t="shared" si="14"/>
        <v>0</v>
      </c>
      <c r="Z62" s="278">
        <f t="shared" si="14"/>
        <v>0</v>
      </c>
      <c r="AA62" s="278">
        <f t="shared" si="14"/>
        <v>0</v>
      </c>
      <c r="AB62" s="278">
        <f t="shared" si="14"/>
        <v>0</v>
      </c>
      <c r="AC62" s="188"/>
      <c r="AD62" s="88"/>
    </row>
    <row r="63" spans="2:30" x14ac:dyDescent="0.2">
      <c r="B63" s="88"/>
      <c r="C63" s="108"/>
      <c r="D63" s="115"/>
      <c r="E63" s="115"/>
      <c r="F63" s="150"/>
      <c r="G63" s="132"/>
      <c r="H63" s="286"/>
      <c r="I63" s="132"/>
      <c r="J63" s="132"/>
      <c r="K63" s="110"/>
      <c r="L63" s="113">
        <f t="shared" si="5"/>
        <v>0</v>
      </c>
      <c r="M63" s="278">
        <f t="shared" si="6"/>
        <v>0</v>
      </c>
      <c r="N63" s="278">
        <f t="shared" si="0"/>
        <v>0</v>
      </c>
      <c r="O63" s="166" t="str">
        <f t="shared" si="7"/>
        <v>-</v>
      </c>
      <c r="P63" s="278">
        <f t="shared" si="13"/>
        <v>0</v>
      </c>
      <c r="Q63" s="110"/>
      <c r="R63" s="278">
        <f t="shared" si="1"/>
        <v>0</v>
      </c>
      <c r="S63" s="278">
        <f t="shared" si="2"/>
        <v>0</v>
      </c>
      <c r="T63" s="278">
        <f t="shared" si="3"/>
        <v>0</v>
      </c>
      <c r="U63" s="278">
        <f t="shared" si="9"/>
        <v>0</v>
      </c>
      <c r="V63" s="278">
        <f t="shared" si="9"/>
        <v>0</v>
      </c>
      <c r="W63" s="110"/>
      <c r="X63" s="278">
        <f t="shared" si="14"/>
        <v>0</v>
      </c>
      <c r="Y63" s="278">
        <f t="shared" si="14"/>
        <v>0</v>
      </c>
      <c r="Z63" s="278">
        <f t="shared" si="14"/>
        <v>0</v>
      </c>
      <c r="AA63" s="278">
        <f t="shared" si="14"/>
        <v>0</v>
      </c>
      <c r="AB63" s="278">
        <f t="shared" si="14"/>
        <v>0</v>
      </c>
      <c r="AC63" s="188"/>
      <c r="AD63" s="88"/>
    </row>
    <row r="64" spans="2:30" x14ac:dyDescent="0.2">
      <c r="B64" s="88"/>
      <c r="C64" s="108"/>
      <c r="D64" s="115"/>
      <c r="E64" s="115"/>
      <c r="F64" s="150"/>
      <c r="G64" s="132"/>
      <c r="H64" s="286"/>
      <c r="I64" s="132"/>
      <c r="J64" s="132"/>
      <c r="K64" s="110"/>
      <c r="L64" s="113">
        <f t="shared" si="5"/>
        <v>0</v>
      </c>
      <c r="M64" s="278">
        <f t="shared" si="6"/>
        <v>0</v>
      </c>
      <c r="N64" s="278">
        <f t="shared" si="0"/>
        <v>0</v>
      </c>
      <c r="O64" s="166" t="str">
        <f t="shared" si="7"/>
        <v>-</v>
      </c>
      <c r="P64" s="278">
        <f t="shared" si="13"/>
        <v>0</v>
      </c>
      <c r="Q64" s="110"/>
      <c r="R64" s="278">
        <f t="shared" si="1"/>
        <v>0</v>
      </c>
      <c r="S64" s="278">
        <f t="shared" si="2"/>
        <v>0</v>
      </c>
      <c r="T64" s="278">
        <f t="shared" si="3"/>
        <v>0</v>
      </c>
      <c r="U64" s="278">
        <f t="shared" si="9"/>
        <v>0</v>
      </c>
      <c r="V64" s="278">
        <f t="shared" si="9"/>
        <v>0</v>
      </c>
      <c r="W64" s="110"/>
      <c r="X64" s="278">
        <f t="shared" si="14"/>
        <v>0</v>
      </c>
      <c r="Y64" s="278">
        <f t="shared" si="14"/>
        <v>0</v>
      </c>
      <c r="Z64" s="278">
        <f t="shared" si="14"/>
        <v>0</v>
      </c>
      <c r="AA64" s="278">
        <f t="shared" si="14"/>
        <v>0</v>
      </c>
      <c r="AB64" s="278">
        <f t="shared" si="14"/>
        <v>0</v>
      </c>
      <c r="AC64" s="188"/>
      <c r="AD64" s="88"/>
    </row>
    <row r="65" spans="2:30" x14ac:dyDescent="0.2">
      <c r="B65" s="88"/>
      <c r="C65" s="108"/>
      <c r="D65" s="115"/>
      <c r="E65" s="115"/>
      <c r="F65" s="150"/>
      <c r="G65" s="132"/>
      <c r="H65" s="286"/>
      <c r="I65" s="132"/>
      <c r="J65" s="132"/>
      <c r="K65" s="110"/>
      <c r="L65" s="113">
        <f t="shared" si="5"/>
        <v>0</v>
      </c>
      <c r="M65" s="278">
        <f t="shared" si="6"/>
        <v>0</v>
      </c>
      <c r="N65" s="278">
        <f t="shared" si="0"/>
        <v>0</v>
      </c>
      <c r="O65" s="166" t="str">
        <f t="shared" si="7"/>
        <v>-</v>
      </c>
      <c r="P65" s="278">
        <f t="shared" si="13"/>
        <v>0</v>
      </c>
      <c r="Q65" s="110"/>
      <c r="R65" s="278">
        <f t="shared" si="1"/>
        <v>0</v>
      </c>
      <c r="S65" s="278">
        <f t="shared" si="2"/>
        <v>0</v>
      </c>
      <c r="T65" s="278">
        <f t="shared" si="3"/>
        <v>0</v>
      </c>
      <c r="U65" s="278">
        <f t="shared" si="9"/>
        <v>0</v>
      </c>
      <c r="V65" s="278">
        <f t="shared" si="9"/>
        <v>0</v>
      </c>
      <c r="W65" s="110"/>
      <c r="X65" s="278">
        <f t="shared" si="14"/>
        <v>0</v>
      </c>
      <c r="Y65" s="278">
        <f t="shared" si="14"/>
        <v>0</v>
      </c>
      <c r="Z65" s="278">
        <f t="shared" si="14"/>
        <v>0</v>
      </c>
      <c r="AA65" s="278">
        <f t="shared" si="14"/>
        <v>0</v>
      </c>
      <c r="AB65" s="278">
        <f t="shared" si="14"/>
        <v>0</v>
      </c>
      <c r="AC65" s="188"/>
      <c r="AD65" s="88"/>
    </row>
    <row r="66" spans="2:30" x14ac:dyDescent="0.2">
      <c r="B66" s="88"/>
      <c r="C66" s="108"/>
      <c r="D66" s="115"/>
      <c r="E66" s="115"/>
      <c r="F66" s="150"/>
      <c r="G66" s="132"/>
      <c r="H66" s="286"/>
      <c r="I66" s="132"/>
      <c r="J66" s="132"/>
      <c r="K66" s="110"/>
      <c r="L66" s="113">
        <f t="shared" si="5"/>
        <v>0</v>
      </c>
      <c r="M66" s="278">
        <f t="shared" ref="M66:M94" si="15">G66*H66</f>
        <v>0</v>
      </c>
      <c r="N66" s="278">
        <f t="shared" ref="N66:N94" si="16">IF(G66=0,0,(G66*H66)/L66)</f>
        <v>0</v>
      </c>
      <c r="O66" s="166" t="str">
        <f t="shared" ref="O66:O94" si="17">IF(L66=0,"-",(IF(L66&gt;3000,"-",I66+L66-1)))</f>
        <v>-</v>
      </c>
      <c r="P66" s="278">
        <f t="shared" si="13"/>
        <v>0</v>
      </c>
      <c r="Q66" s="110"/>
      <c r="R66" s="278">
        <f t="shared" si="1"/>
        <v>0</v>
      </c>
      <c r="S66" s="278">
        <f t="shared" si="2"/>
        <v>0</v>
      </c>
      <c r="T66" s="278">
        <f t="shared" si="3"/>
        <v>0</v>
      </c>
      <c r="U66" s="278">
        <f t="shared" si="9"/>
        <v>0</v>
      </c>
      <c r="V66" s="278">
        <f t="shared" si="9"/>
        <v>0</v>
      </c>
      <c r="W66" s="110"/>
      <c r="X66" s="278">
        <f t="shared" si="14"/>
        <v>0</v>
      </c>
      <c r="Y66" s="278">
        <f t="shared" si="14"/>
        <v>0</v>
      </c>
      <c r="Z66" s="278">
        <f t="shared" si="14"/>
        <v>0</v>
      </c>
      <c r="AA66" s="278">
        <f t="shared" si="14"/>
        <v>0</v>
      </c>
      <c r="AB66" s="278">
        <f t="shared" si="14"/>
        <v>0</v>
      </c>
      <c r="AC66" s="188"/>
      <c r="AD66" s="88"/>
    </row>
    <row r="67" spans="2:30" x14ac:dyDescent="0.2">
      <c r="B67" s="88"/>
      <c r="C67" s="108"/>
      <c r="D67" s="115"/>
      <c r="E67" s="115"/>
      <c r="F67" s="150"/>
      <c r="G67" s="132"/>
      <c r="H67" s="286"/>
      <c r="I67" s="132"/>
      <c r="J67" s="132"/>
      <c r="K67" s="110"/>
      <c r="L67" s="113">
        <f t="shared" si="5"/>
        <v>0</v>
      </c>
      <c r="M67" s="278">
        <f t="shared" si="15"/>
        <v>0</v>
      </c>
      <c r="N67" s="278">
        <f t="shared" si="16"/>
        <v>0</v>
      </c>
      <c r="O67" s="166" t="str">
        <f t="shared" si="17"/>
        <v>-</v>
      </c>
      <c r="P67" s="278">
        <f t="shared" si="13"/>
        <v>0</v>
      </c>
      <c r="Q67" s="110"/>
      <c r="R67" s="278">
        <f t="shared" ref="R67:R137" si="18">(IF(R$8&lt;$I67,0,IF($O67&lt;=R$8-1,0,$N67)))</f>
        <v>0</v>
      </c>
      <c r="S67" s="278">
        <f t="shared" ref="S67:S137" si="19">(IF(S$8&lt;$I67,0,IF($O67&lt;=S$8-1,0,$N67)))</f>
        <v>0</v>
      </c>
      <c r="T67" s="278">
        <f t="shared" ref="T67:T137" si="20">(IF(T$8&lt;$I67,0,IF($O67&lt;=T$8-1,0,$N67)))</f>
        <v>0</v>
      </c>
      <c r="U67" s="278">
        <f t="shared" ref="U67:V94" si="21">(IF(U$8&lt;$I67,0,IF($O67&lt;=U$8-1,0,$N67)))</f>
        <v>0</v>
      </c>
      <c r="V67" s="278">
        <f t="shared" si="21"/>
        <v>0</v>
      </c>
      <c r="W67" s="110"/>
      <c r="X67" s="278">
        <f t="shared" ref="X67:Z92" si="22">IF(X$8=$I67,($G67*$H67),0)</f>
        <v>0</v>
      </c>
      <c r="Y67" s="278">
        <f t="shared" si="22"/>
        <v>0</v>
      </c>
      <c r="Z67" s="278">
        <f t="shared" si="22"/>
        <v>0</v>
      </c>
      <c r="AA67" s="278">
        <f t="shared" ref="AA67:AB76" si="23">IF(AA$8=$I67,($G67*$H67),0)</f>
        <v>0</v>
      </c>
      <c r="AB67" s="278">
        <f t="shared" si="23"/>
        <v>0</v>
      </c>
      <c r="AC67" s="188"/>
      <c r="AD67" s="88"/>
    </row>
    <row r="68" spans="2:30" x14ac:dyDescent="0.2">
      <c r="B68" s="88"/>
      <c r="C68" s="108"/>
      <c r="D68" s="115"/>
      <c r="E68" s="115"/>
      <c r="F68" s="150"/>
      <c r="G68" s="132"/>
      <c r="H68" s="286"/>
      <c r="I68" s="132"/>
      <c r="J68" s="132"/>
      <c r="K68" s="110"/>
      <c r="L68" s="113">
        <f t="shared" ref="L68:L94" si="24">IF(J68="geen",9999999999,J68)</f>
        <v>0</v>
      </c>
      <c r="M68" s="278">
        <f t="shared" si="15"/>
        <v>0</v>
      </c>
      <c r="N68" s="278">
        <f t="shared" si="16"/>
        <v>0</v>
      </c>
      <c r="O68" s="166" t="str">
        <f t="shared" si="17"/>
        <v>-</v>
      </c>
      <c r="P68" s="278">
        <f t="shared" si="13"/>
        <v>0</v>
      </c>
      <c r="Q68" s="110"/>
      <c r="R68" s="278">
        <f t="shared" si="18"/>
        <v>0</v>
      </c>
      <c r="S68" s="278">
        <f t="shared" si="19"/>
        <v>0</v>
      </c>
      <c r="T68" s="278">
        <f t="shared" si="20"/>
        <v>0</v>
      </c>
      <c r="U68" s="278">
        <f t="shared" si="21"/>
        <v>0</v>
      </c>
      <c r="V68" s="278">
        <f t="shared" si="21"/>
        <v>0</v>
      </c>
      <c r="W68" s="110"/>
      <c r="X68" s="278">
        <f t="shared" si="22"/>
        <v>0</v>
      </c>
      <c r="Y68" s="278">
        <f t="shared" si="22"/>
        <v>0</v>
      </c>
      <c r="Z68" s="278">
        <f t="shared" si="22"/>
        <v>0</v>
      </c>
      <c r="AA68" s="278">
        <f t="shared" si="23"/>
        <v>0</v>
      </c>
      <c r="AB68" s="278">
        <f t="shared" si="23"/>
        <v>0</v>
      </c>
      <c r="AC68" s="188"/>
      <c r="AD68" s="88"/>
    </row>
    <row r="69" spans="2:30" x14ac:dyDescent="0.2">
      <c r="B69" s="88"/>
      <c r="C69" s="108"/>
      <c r="D69" s="115"/>
      <c r="E69" s="115"/>
      <c r="F69" s="150"/>
      <c r="G69" s="132"/>
      <c r="H69" s="286"/>
      <c r="I69" s="132"/>
      <c r="J69" s="132"/>
      <c r="K69" s="110"/>
      <c r="L69" s="113">
        <f t="shared" si="24"/>
        <v>0</v>
      </c>
      <c r="M69" s="278">
        <f t="shared" si="15"/>
        <v>0</v>
      </c>
      <c r="N69" s="278">
        <f t="shared" si="16"/>
        <v>0</v>
      </c>
      <c r="O69" s="166" t="str">
        <f t="shared" si="17"/>
        <v>-</v>
      </c>
      <c r="P69" s="278">
        <f t="shared" si="13"/>
        <v>0</v>
      </c>
      <c r="Q69" s="110"/>
      <c r="R69" s="278">
        <f t="shared" si="18"/>
        <v>0</v>
      </c>
      <c r="S69" s="278">
        <f t="shared" si="19"/>
        <v>0</v>
      </c>
      <c r="T69" s="278">
        <f t="shared" si="20"/>
        <v>0</v>
      </c>
      <c r="U69" s="278">
        <f t="shared" si="21"/>
        <v>0</v>
      </c>
      <c r="V69" s="278">
        <f t="shared" si="21"/>
        <v>0</v>
      </c>
      <c r="W69" s="110"/>
      <c r="X69" s="278">
        <f t="shared" si="22"/>
        <v>0</v>
      </c>
      <c r="Y69" s="278">
        <f t="shared" si="22"/>
        <v>0</v>
      </c>
      <c r="Z69" s="278">
        <f t="shared" si="22"/>
        <v>0</v>
      </c>
      <c r="AA69" s="278">
        <f t="shared" si="23"/>
        <v>0</v>
      </c>
      <c r="AB69" s="278">
        <f t="shared" si="23"/>
        <v>0</v>
      </c>
      <c r="AC69" s="188"/>
      <c r="AD69" s="88"/>
    </row>
    <row r="70" spans="2:30" x14ac:dyDescent="0.2">
      <c r="B70" s="88"/>
      <c r="C70" s="108"/>
      <c r="D70" s="115"/>
      <c r="E70" s="115"/>
      <c r="F70" s="150"/>
      <c r="G70" s="132"/>
      <c r="H70" s="286"/>
      <c r="I70" s="132"/>
      <c r="J70" s="132"/>
      <c r="K70" s="110"/>
      <c r="L70" s="113">
        <f t="shared" si="24"/>
        <v>0</v>
      </c>
      <c r="M70" s="278">
        <f t="shared" si="15"/>
        <v>0</v>
      </c>
      <c r="N70" s="278">
        <f t="shared" si="16"/>
        <v>0</v>
      </c>
      <c r="O70" s="166" t="str">
        <f t="shared" si="17"/>
        <v>-</v>
      </c>
      <c r="P70" s="278">
        <f t="shared" si="13"/>
        <v>0</v>
      </c>
      <c r="Q70" s="110"/>
      <c r="R70" s="278">
        <f t="shared" si="18"/>
        <v>0</v>
      </c>
      <c r="S70" s="278">
        <f t="shared" si="19"/>
        <v>0</v>
      </c>
      <c r="T70" s="278">
        <f t="shared" si="20"/>
        <v>0</v>
      </c>
      <c r="U70" s="278">
        <f t="shared" si="21"/>
        <v>0</v>
      </c>
      <c r="V70" s="278">
        <f t="shared" si="21"/>
        <v>0</v>
      </c>
      <c r="W70" s="110"/>
      <c r="X70" s="278">
        <f t="shared" si="22"/>
        <v>0</v>
      </c>
      <c r="Y70" s="278">
        <f t="shared" si="22"/>
        <v>0</v>
      </c>
      <c r="Z70" s="278">
        <f t="shared" si="22"/>
        <v>0</v>
      </c>
      <c r="AA70" s="278">
        <f t="shared" si="23"/>
        <v>0</v>
      </c>
      <c r="AB70" s="278">
        <f t="shared" si="23"/>
        <v>0</v>
      </c>
      <c r="AC70" s="188"/>
      <c r="AD70" s="88"/>
    </row>
    <row r="71" spans="2:30" x14ac:dyDescent="0.2">
      <c r="B71" s="88"/>
      <c r="C71" s="108"/>
      <c r="D71" s="115"/>
      <c r="E71" s="115"/>
      <c r="F71" s="150"/>
      <c r="G71" s="132"/>
      <c r="H71" s="286"/>
      <c r="I71" s="132"/>
      <c r="J71" s="132"/>
      <c r="K71" s="110"/>
      <c r="L71" s="113">
        <f t="shared" si="24"/>
        <v>0</v>
      </c>
      <c r="M71" s="278">
        <f t="shared" si="15"/>
        <v>0</v>
      </c>
      <c r="N71" s="278">
        <f t="shared" si="16"/>
        <v>0</v>
      </c>
      <c r="O71" s="166" t="str">
        <f t="shared" si="17"/>
        <v>-</v>
      </c>
      <c r="P71" s="278">
        <f t="shared" si="13"/>
        <v>0</v>
      </c>
      <c r="Q71" s="110"/>
      <c r="R71" s="278">
        <f t="shared" si="18"/>
        <v>0</v>
      </c>
      <c r="S71" s="278">
        <f t="shared" si="19"/>
        <v>0</v>
      </c>
      <c r="T71" s="278">
        <f t="shared" si="20"/>
        <v>0</v>
      </c>
      <c r="U71" s="278">
        <f t="shared" si="21"/>
        <v>0</v>
      </c>
      <c r="V71" s="278">
        <f t="shared" si="21"/>
        <v>0</v>
      </c>
      <c r="W71" s="110"/>
      <c r="X71" s="278">
        <f t="shared" si="22"/>
        <v>0</v>
      </c>
      <c r="Y71" s="278">
        <f t="shared" si="22"/>
        <v>0</v>
      </c>
      <c r="Z71" s="278">
        <f t="shared" si="22"/>
        <v>0</v>
      </c>
      <c r="AA71" s="278">
        <f t="shared" si="23"/>
        <v>0</v>
      </c>
      <c r="AB71" s="278">
        <f t="shared" si="23"/>
        <v>0</v>
      </c>
      <c r="AC71" s="188"/>
      <c r="AD71" s="88"/>
    </row>
    <row r="72" spans="2:30" x14ac:dyDescent="0.2">
      <c r="B72" s="88"/>
      <c r="C72" s="108"/>
      <c r="D72" s="115"/>
      <c r="E72" s="115"/>
      <c r="F72" s="150"/>
      <c r="G72" s="132"/>
      <c r="H72" s="286"/>
      <c r="I72" s="132"/>
      <c r="J72" s="132"/>
      <c r="K72" s="110"/>
      <c r="L72" s="113">
        <f t="shared" si="24"/>
        <v>0</v>
      </c>
      <c r="M72" s="278">
        <f t="shared" si="15"/>
        <v>0</v>
      </c>
      <c r="N72" s="278">
        <f t="shared" si="16"/>
        <v>0</v>
      </c>
      <c r="O72" s="166" t="str">
        <f t="shared" si="17"/>
        <v>-</v>
      </c>
      <c r="P72" s="278">
        <f t="shared" si="13"/>
        <v>0</v>
      </c>
      <c r="Q72" s="110"/>
      <c r="R72" s="278">
        <f t="shared" si="18"/>
        <v>0</v>
      </c>
      <c r="S72" s="278">
        <f t="shared" si="19"/>
        <v>0</v>
      </c>
      <c r="T72" s="278">
        <f t="shared" si="20"/>
        <v>0</v>
      </c>
      <c r="U72" s="278">
        <f t="shared" si="21"/>
        <v>0</v>
      </c>
      <c r="V72" s="278">
        <f t="shared" si="21"/>
        <v>0</v>
      </c>
      <c r="W72" s="110"/>
      <c r="X72" s="278">
        <f t="shared" si="22"/>
        <v>0</v>
      </c>
      <c r="Y72" s="278">
        <f t="shared" si="22"/>
        <v>0</v>
      </c>
      <c r="Z72" s="278">
        <f t="shared" si="22"/>
        <v>0</v>
      </c>
      <c r="AA72" s="278">
        <f t="shared" si="23"/>
        <v>0</v>
      </c>
      <c r="AB72" s="278">
        <f t="shared" si="23"/>
        <v>0</v>
      </c>
      <c r="AC72" s="188"/>
      <c r="AD72" s="88"/>
    </row>
    <row r="73" spans="2:30" x14ac:dyDescent="0.2">
      <c r="B73" s="88"/>
      <c r="C73" s="108"/>
      <c r="D73" s="115"/>
      <c r="E73" s="115"/>
      <c r="F73" s="150"/>
      <c r="G73" s="132"/>
      <c r="H73" s="286"/>
      <c r="I73" s="132"/>
      <c r="J73" s="132"/>
      <c r="K73" s="110"/>
      <c r="L73" s="113">
        <f t="shared" si="24"/>
        <v>0</v>
      </c>
      <c r="M73" s="278">
        <f t="shared" si="15"/>
        <v>0</v>
      </c>
      <c r="N73" s="278">
        <f t="shared" si="16"/>
        <v>0</v>
      </c>
      <c r="O73" s="166" t="str">
        <f t="shared" si="17"/>
        <v>-</v>
      </c>
      <c r="P73" s="278">
        <f t="shared" si="13"/>
        <v>0</v>
      </c>
      <c r="Q73" s="110"/>
      <c r="R73" s="278">
        <f t="shared" si="18"/>
        <v>0</v>
      </c>
      <c r="S73" s="278">
        <f t="shared" si="19"/>
        <v>0</v>
      </c>
      <c r="T73" s="278">
        <f t="shared" si="20"/>
        <v>0</v>
      </c>
      <c r="U73" s="278">
        <f t="shared" si="21"/>
        <v>0</v>
      </c>
      <c r="V73" s="278">
        <f t="shared" si="21"/>
        <v>0</v>
      </c>
      <c r="W73" s="110"/>
      <c r="X73" s="278">
        <f t="shared" si="22"/>
        <v>0</v>
      </c>
      <c r="Y73" s="278">
        <f t="shared" si="22"/>
        <v>0</v>
      </c>
      <c r="Z73" s="278">
        <f t="shared" si="22"/>
        <v>0</v>
      </c>
      <c r="AA73" s="278">
        <f t="shared" si="23"/>
        <v>0</v>
      </c>
      <c r="AB73" s="278">
        <f t="shared" si="23"/>
        <v>0</v>
      </c>
      <c r="AC73" s="188"/>
      <c r="AD73" s="88"/>
    </row>
    <row r="74" spans="2:30" x14ac:dyDescent="0.2">
      <c r="B74" s="88"/>
      <c r="C74" s="108"/>
      <c r="D74" s="115"/>
      <c r="E74" s="115"/>
      <c r="F74" s="150"/>
      <c r="G74" s="132"/>
      <c r="H74" s="286"/>
      <c r="I74" s="132"/>
      <c r="J74" s="132"/>
      <c r="K74" s="110"/>
      <c r="L74" s="113">
        <f t="shared" si="24"/>
        <v>0</v>
      </c>
      <c r="M74" s="278">
        <f t="shared" si="15"/>
        <v>0</v>
      </c>
      <c r="N74" s="278">
        <f t="shared" si="16"/>
        <v>0</v>
      </c>
      <c r="O74" s="166" t="str">
        <f t="shared" si="17"/>
        <v>-</v>
      </c>
      <c r="P74" s="278">
        <f t="shared" si="13"/>
        <v>0</v>
      </c>
      <c r="Q74" s="110"/>
      <c r="R74" s="278">
        <f t="shared" si="18"/>
        <v>0</v>
      </c>
      <c r="S74" s="278">
        <f t="shared" si="19"/>
        <v>0</v>
      </c>
      <c r="T74" s="278">
        <f t="shared" si="20"/>
        <v>0</v>
      </c>
      <c r="U74" s="278">
        <f t="shared" si="21"/>
        <v>0</v>
      </c>
      <c r="V74" s="278">
        <f t="shared" si="21"/>
        <v>0</v>
      </c>
      <c r="W74" s="110"/>
      <c r="X74" s="278">
        <f t="shared" si="22"/>
        <v>0</v>
      </c>
      <c r="Y74" s="278">
        <f t="shared" si="22"/>
        <v>0</v>
      </c>
      <c r="Z74" s="278">
        <f t="shared" si="22"/>
        <v>0</v>
      </c>
      <c r="AA74" s="278">
        <f t="shared" si="23"/>
        <v>0</v>
      </c>
      <c r="AB74" s="278">
        <f t="shared" si="23"/>
        <v>0</v>
      </c>
      <c r="AC74" s="188"/>
      <c r="AD74" s="88"/>
    </row>
    <row r="75" spans="2:30" x14ac:dyDescent="0.2">
      <c r="B75" s="88"/>
      <c r="C75" s="108"/>
      <c r="D75" s="115"/>
      <c r="E75" s="115"/>
      <c r="F75" s="150"/>
      <c r="G75" s="132"/>
      <c r="H75" s="286"/>
      <c r="I75" s="132"/>
      <c r="J75" s="132"/>
      <c r="K75" s="110"/>
      <c r="L75" s="113">
        <f t="shared" si="24"/>
        <v>0</v>
      </c>
      <c r="M75" s="278">
        <f t="shared" si="15"/>
        <v>0</v>
      </c>
      <c r="N75" s="278">
        <f t="shared" si="16"/>
        <v>0</v>
      </c>
      <c r="O75" s="166" t="str">
        <f t="shared" si="17"/>
        <v>-</v>
      </c>
      <c r="P75" s="278">
        <f t="shared" si="13"/>
        <v>0</v>
      </c>
      <c r="Q75" s="110"/>
      <c r="R75" s="278">
        <f t="shared" si="18"/>
        <v>0</v>
      </c>
      <c r="S75" s="278">
        <f t="shared" si="19"/>
        <v>0</v>
      </c>
      <c r="T75" s="278">
        <f t="shared" si="20"/>
        <v>0</v>
      </c>
      <c r="U75" s="278">
        <f t="shared" si="21"/>
        <v>0</v>
      </c>
      <c r="V75" s="278">
        <f t="shared" si="21"/>
        <v>0</v>
      </c>
      <c r="W75" s="110"/>
      <c r="X75" s="278">
        <f t="shared" si="22"/>
        <v>0</v>
      </c>
      <c r="Y75" s="278">
        <f t="shared" si="22"/>
        <v>0</v>
      </c>
      <c r="Z75" s="278">
        <f t="shared" si="22"/>
        <v>0</v>
      </c>
      <c r="AA75" s="278">
        <f t="shared" si="23"/>
        <v>0</v>
      </c>
      <c r="AB75" s="278">
        <f t="shared" si="23"/>
        <v>0</v>
      </c>
      <c r="AC75" s="188"/>
      <c r="AD75" s="88"/>
    </row>
    <row r="76" spans="2:30" x14ac:dyDescent="0.2">
      <c r="B76" s="88"/>
      <c r="C76" s="108"/>
      <c r="D76" s="115"/>
      <c r="E76" s="115"/>
      <c r="F76" s="150"/>
      <c r="G76" s="132"/>
      <c r="H76" s="286"/>
      <c r="I76" s="132"/>
      <c r="J76" s="132"/>
      <c r="K76" s="110"/>
      <c r="L76" s="113">
        <f t="shared" si="24"/>
        <v>0</v>
      </c>
      <c r="M76" s="278">
        <f t="shared" si="15"/>
        <v>0</v>
      </c>
      <c r="N76" s="278">
        <f t="shared" si="16"/>
        <v>0</v>
      </c>
      <c r="O76" s="166" t="str">
        <f t="shared" si="17"/>
        <v>-</v>
      </c>
      <c r="P76" s="278">
        <f t="shared" si="13"/>
        <v>0</v>
      </c>
      <c r="Q76" s="110"/>
      <c r="R76" s="278">
        <f t="shared" si="18"/>
        <v>0</v>
      </c>
      <c r="S76" s="278">
        <f t="shared" si="19"/>
        <v>0</v>
      </c>
      <c r="T76" s="278">
        <f t="shared" si="20"/>
        <v>0</v>
      </c>
      <c r="U76" s="278">
        <f t="shared" si="21"/>
        <v>0</v>
      </c>
      <c r="V76" s="278">
        <f t="shared" si="21"/>
        <v>0</v>
      </c>
      <c r="W76" s="110"/>
      <c r="X76" s="278">
        <f t="shared" si="22"/>
        <v>0</v>
      </c>
      <c r="Y76" s="278">
        <f t="shared" si="22"/>
        <v>0</v>
      </c>
      <c r="Z76" s="278">
        <f t="shared" si="22"/>
        <v>0</v>
      </c>
      <c r="AA76" s="278">
        <f t="shared" si="23"/>
        <v>0</v>
      </c>
      <c r="AB76" s="278">
        <f t="shared" si="23"/>
        <v>0</v>
      </c>
      <c r="AC76" s="188"/>
      <c r="AD76" s="88"/>
    </row>
    <row r="77" spans="2:30" x14ac:dyDescent="0.2">
      <c r="B77" s="88"/>
      <c r="C77" s="108"/>
      <c r="D77" s="115"/>
      <c r="E77" s="115"/>
      <c r="F77" s="150"/>
      <c r="G77" s="132"/>
      <c r="H77" s="286"/>
      <c r="I77" s="132"/>
      <c r="J77" s="132"/>
      <c r="K77" s="110"/>
      <c r="L77" s="113">
        <f t="shared" si="24"/>
        <v>0</v>
      </c>
      <c r="M77" s="278">
        <f t="shared" si="15"/>
        <v>0</v>
      </c>
      <c r="N77" s="278">
        <f t="shared" si="16"/>
        <v>0</v>
      </c>
      <c r="O77" s="166" t="str">
        <f t="shared" si="17"/>
        <v>-</v>
      </c>
      <c r="P77" s="278">
        <f t="shared" si="13"/>
        <v>0</v>
      </c>
      <c r="Q77" s="110"/>
      <c r="R77" s="278">
        <f t="shared" si="18"/>
        <v>0</v>
      </c>
      <c r="S77" s="278">
        <f t="shared" si="19"/>
        <v>0</v>
      </c>
      <c r="T77" s="278">
        <f t="shared" si="20"/>
        <v>0</v>
      </c>
      <c r="U77" s="278">
        <f t="shared" si="21"/>
        <v>0</v>
      </c>
      <c r="V77" s="278">
        <f t="shared" si="21"/>
        <v>0</v>
      </c>
      <c r="W77" s="110"/>
      <c r="X77" s="278">
        <f t="shared" si="22"/>
        <v>0</v>
      </c>
      <c r="Y77" s="278">
        <f t="shared" si="22"/>
        <v>0</v>
      </c>
      <c r="Z77" s="278">
        <f t="shared" si="22"/>
        <v>0</v>
      </c>
      <c r="AA77" s="278">
        <f t="shared" ref="AA77:AB92" si="25">IF(AA$8=$I77,($G77*$H77),0)</f>
        <v>0</v>
      </c>
      <c r="AB77" s="278">
        <f t="shared" si="25"/>
        <v>0</v>
      </c>
      <c r="AC77" s="188"/>
      <c r="AD77" s="88"/>
    </row>
    <row r="78" spans="2:30" x14ac:dyDescent="0.2">
      <c r="B78" s="88"/>
      <c r="C78" s="108"/>
      <c r="D78" s="115"/>
      <c r="E78" s="115"/>
      <c r="F78" s="150"/>
      <c r="G78" s="132"/>
      <c r="H78" s="286"/>
      <c r="I78" s="132"/>
      <c r="J78" s="132"/>
      <c r="K78" s="110"/>
      <c r="L78" s="113">
        <f t="shared" si="24"/>
        <v>0</v>
      </c>
      <c r="M78" s="278">
        <f t="shared" si="15"/>
        <v>0</v>
      </c>
      <c r="N78" s="278">
        <f t="shared" si="16"/>
        <v>0</v>
      </c>
      <c r="O78" s="166" t="str">
        <f t="shared" si="17"/>
        <v>-</v>
      </c>
      <c r="P78" s="278">
        <f t="shared" ref="P78:P109" si="26">IF(J78="geen",IF(I78&lt;$R$8,G78*H78,0),IF(I78&gt;=$R$8,0,IF((H78*G78-(R$8-I78)*N78)&lt;0,0,H78*G78-(R$8-I78)*N78)))</f>
        <v>0</v>
      </c>
      <c r="Q78" s="110"/>
      <c r="R78" s="278">
        <f t="shared" si="18"/>
        <v>0</v>
      </c>
      <c r="S78" s="278">
        <f t="shared" si="19"/>
        <v>0</v>
      </c>
      <c r="T78" s="278">
        <f t="shared" si="20"/>
        <v>0</v>
      </c>
      <c r="U78" s="278">
        <f t="shared" si="21"/>
        <v>0</v>
      </c>
      <c r="V78" s="278">
        <f t="shared" si="21"/>
        <v>0</v>
      </c>
      <c r="W78" s="110"/>
      <c r="X78" s="278">
        <f t="shared" si="22"/>
        <v>0</v>
      </c>
      <c r="Y78" s="278">
        <f t="shared" si="22"/>
        <v>0</v>
      </c>
      <c r="Z78" s="278">
        <f t="shared" si="22"/>
        <v>0</v>
      </c>
      <c r="AA78" s="278">
        <f t="shared" si="25"/>
        <v>0</v>
      </c>
      <c r="AB78" s="278">
        <f t="shared" si="25"/>
        <v>0</v>
      </c>
      <c r="AC78" s="188"/>
      <c r="AD78" s="88"/>
    </row>
    <row r="79" spans="2:30" x14ac:dyDescent="0.2">
      <c r="B79" s="88"/>
      <c r="C79" s="108"/>
      <c r="D79" s="115"/>
      <c r="E79" s="115"/>
      <c r="F79" s="150"/>
      <c r="G79" s="132"/>
      <c r="H79" s="286"/>
      <c r="I79" s="132"/>
      <c r="J79" s="132"/>
      <c r="K79" s="110"/>
      <c r="L79" s="113">
        <f t="shared" si="24"/>
        <v>0</v>
      </c>
      <c r="M79" s="278">
        <f t="shared" si="15"/>
        <v>0</v>
      </c>
      <c r="N79" s="278">
        <f t="shared" si="16"/>
        <v>0</v>
      </c>
      <c r="O79" s="166" t="str">
        <f t="shared" si="17"/>
        <v>-</v>
      </c>
      <c r="P79" s="278">
        <f t="shared" si="26"/>
        <v>0</v>
      </c>
      <c r="Q79" s="110"/>
      <c r="R79" s="278">
        <f t="shared" si="18"/>
        <v>0</v>
      </c>
      <c r="S79" s="278">
        <f t="shared" si="19"/>
        <v>0</v>
      </c>
      <c r="T79" s="278">
        <f t="shared" si="20"/>
        <v>0</v>
      </c>
      <c r="U79" s="278">
        <f t="shared" si="21"/>
        <v>0</v>
      </c>
      <c r="V79" s="278">
        <f t="shared" si="21"/>
        <v>0</v>
      </c>
      <c r="W79" s="110"/>
      <c r="X79" s="278">
        <f t="shared" si="22"/>
        <v>0</v>
      </c>
      <c r="Y79" s="278">
        <f t="shared" si="22"/>
        <v>0</v>
      </c>
      <c r="Z79" s="278">
        <f t="shared" si="22"/>
        <v>0</v>
      </c>
      <c r="AA79" s="278">
        <f t="shared" si="25"/>
        <v>0</v>
      </c>
      <c r="AB79" s="278">
        <f t="shared" si="25"/>
        <v>0</v>
      </c>
      <c r="AC79" s="188"/>
      <c r="AD79" s="88"/>
    </row>
    <row r="80" spans="2:30" x14ac:dyDescent="0.2">
      <c r="B80" s="88"/>
      <c r="C80" s="108"/>
      <c r="D80" s="115"/>
      <c r="E80" s="115"/>
      <c r="F80" s="150"/>
      <c r="G80" s="132"/>
      <c r="H80" s="286"/>
      <c r="I80" s="132"/>
      <c r="J80" s="132"/>
      <c r="K80" s="110"/>
      <c r="L80" s="113">
        <f t="shared" si="24"/>
        <v>0</v>
      </c>
      <c r="M80" s="278">
        <f t="shared" si="15"/>
        <v>0</v>
      </c>
      <c r="N80" s="278">
        <f t="shared" si="16"/>
        <v>0</v>
      </c>
      <c r="O80" s="166" t="str">
        <f t="shared" si="17"/>
        <v>-</v>
      </c>
      <c r="P80" s="278">
        <f t="shared" si="26"/>
        <v>0</v>
      </c>
      <c r="Q80" s="110"/>
      <c r="R80" s="278">
        <f t="shared" si="18"/>
        <v>0</v>
      </c>
      <c r="S80" s="278">
        <f t="shared" si="19"/>
        <v>0</v>
      </c>
      <c r="T80" s="278">
        <f t="shared" si="20"/>
        <v>0</v>
      </c>
      <c r="U80" s="278">
        <f t="shared" si="21"/>
        <v>0</v>
      </c>
      <c r="V80" s="278">
        <f t="shared" si="21"/>
        <v>0</v>
      </c>
      <c r="W80" s="110"/>
      <c r="X80" s="278">
        <f t="shared" si="22"/>
        <v>0</v>
      </c>
      <c r="Y80" s="278">
        <f t="shared" si="22"/>
        <v>0</v>
      </c>
      <c r="Z80" s="278">
        <f t="shared" si="22"/>
        <v>0</v>
      </c>
      <c r="AA80" s="278">
        <f t="shared" si="25"/>
        <v>0</v>
      </c>
      <c r="AB80" s="278">
        <f t="shared" si="25"/>
        <v>0</v>
      </c>
      <c r="AC80" s="188"/>
      <c r="AD80" s="88"/>
    </row>
    <row r="81" spans="2:30" x14ac:dyDescent="0.2">
      <c r="B81" s="88"/>
      <c r="C81" s="108"/>
      <c r="D81" s="115"/>
      <c r="E81" s="115"/>
      <c r="F81" s="150"/>
      <c r="G81" s="132"/>
      <c r="H81" s="286"/>
      <c r="I81" s="132"/>
      <c r="J81" s="132"/>
      <c r="K81" s="110"/>
      <c r="L81" s="113">
        <f t="shared" ref="L81:L87" si="27">IF(J81="geen",9999999999,J81)</f>
        <v>0</v>
      </c>
      <c r="M81" s="278">
        <f t="shared" ref="M81:M87" si="28">G81*H81</f>
        <v>0</v>
      </c>
      <c r="N81" s="278">
        <f t="shared" ref="N81:N87" si="29">IF(G81=0,0,(G81*H81)/L81)</f>
        <v>0</v>
      </c>
      <c r="O81" s="166" t="str">
        <f t="shared" ref="O81:O86" si="30">IF(L81=0,"-",(IF(L81&gt;3000,"-",I81+L81-1)))</f>
        <v>-</v>
      </c>
      <c r="P81" s="278">
        <f t="shared" si="26"/>
        <v>0</v>
      </c>
      <c r="Q81" s="110"/>
      <c r="R81" s="278">
        <f t="shared" si="18"/>
        <v>0</v>
      </c>
      <c r="S81" s="278">
        <f t="shared" si="19"/>
        <v>0</v>
      </c>
      <c r="T81" s="278">
        <f t="shared" si="20"/>
        <v>0</v>
      </c>
      <c r="U81" s="278">
        <f t="shared" si="21"/>
        <v>0</v>
      </c>
      <c r="V81" s="278">
        <f t="shared" si="21"/>
        <v>0</v>
      </c>
      <c r="W81" s="110"/>
      <c r="X81" s="278">
        <f t="shared" si="22"/>
        <v>0</v>
      </c>
      <c r="Y81" s="278">
        <f t="shared" si="22"/>
        <v>0</v>
      </c>
      <c r="Z81" s="278">
        <f t="shared" si="22"/>
        <v>0</v>
      </c>
      <c r="AA81" s="278">
        <f t="shared" si="25"/>
        <v>0</v>
      </c>
      <c r="AB81" s="278">
        <f t="shared" si="25"/>
        <v>0</v>
      </c>
      <c r="AC81" s="188"/>
      <c r="AD81" s="88"/>
    </row>
    <row r="82" spans="2:30" x14ac:dyDescent="0.2">
      <c r="B82" s="88"/>
      <c r="C82" s="108"/>
      <c r="D82" s="115"/>
      <c r="E82" s="115"/>
      <c r="F82" s="150"/>
      <c r="G82" s="132"/>
      <c r="H82" s="286"/>
      <c r="I82" s="132"/>
      <c r="J82" s="132"/>
      <c r="K82" s="110"/>
      <c r="L82" s="113">
        <f t="shared" si="27"/>
        <v>0</v>
      </c>
      <c r="M82" s="278">
        <f t="shared" si="28"/>
        <v>0</v>
      </c>
      <c r="N82" s="278">
        <f t="shared" si="29"/>
        <v>0</v>
      </c>
      <c r="O82" s="166" t="str">
        <f t="shared" si="30"/>
        <v>-</v>
      </c>
      <c r="P82" s="278">
        <f t="shared" si="26"/>
        <v>0</v>
      </c>
      <c r="Q82" s="110"/>
      <c r="R82" s="278">
        <f t="shared" si="18"/>
        <v>0</v>
      </c>
      <c r="S82" s="278">
        <f t="shared" si="19"/>
        <v>0</v>
      </c>
      <c r="T82" s="278">
        <f t="shared" si="20"/>
        <v>0</v>
      </c>
      <c r="U82" s="278">
        <f t="shared" si="21"/>
        <v>0</v>
      </c>
      <c r="V82" s="278">
        <f t="shared" si="21"/>
        <v>0</v>
      </c>
      <c r="W82" s="110"/>
      <c r="X82" s="278">
        <f t="shared" si="22"/>
        <v>0</v>
      </c>
      <c r="Y82" s="278">
        <f t="shared" si="22"/>
        <v>0</v>
      </c>
      <c r="Z82" s="278">
        <f t="shared" si="22"/>
        <v>0</v>
      </c>
      <c r="AA82" s="278">
        <f t="shared" si="25"/>
        <v>0</v>
      </c>
      <c r="AB82" s="278">
        <f t="shared" si="25"/>
        <v>0</v>
      </c>
      <c r="AC82" s="188"/>
      <c r="AD82" s="88"/>
    </row>
    <row r="83" spans="2:30" x14ac:dyDescent="0.2">
      <c r="B83" s="88"/>
      <c r="C83" s="108"/>
      <c r="D83" s="115"/>
      <c r="E83" s="115"/>
      <c r="F83" s="150"/>
      <c r="G83" s="132"/>
      <c r="H83" s="286"/>
      <c r="I83" s="132"/>
      <c r="J83" s="132"/>
      <c r="K83" s="110"/>
      <c r="L83" s="113">
        <f t="shared" si="27"/>
        <v>0</v>
      </c>
      <c r="M83" s="278">
        <f t="shared" si="28"/>
        <v>0</v>
      </c>
      <c r="N83" s="278">
        <f t="shared" si="29"/>
        <v>0</v>
      </c>
      <c r="O83" s="166" t="str">
        <f t="shared" si="30"/>
        <v>-</v>
      </c>
      <c r="P83" s="278">
        <f t="shared" si="26"/>
        <v>0</v>
      </c>
      <c r="Q83" s="110"/>
      <c r="R83" s="278">
        <f t="shared" si="18"/>
        <v>0</v>
      </c>
      <c r="S83" s="278">
        <f t="shared" si="19"/>
        <v>0</v>
      </c>
      <c r="T83" s="278">
        <f t="shared" si="20"/>
        <v>0</v>
      </c>
      <c r="U83" s="278">
        <f t="shared" si="21"/>
        <v>0</v>
      </c>
      <c r="V83" s="278">
        <f t="shared" si="21"/>
        <v>0</v>
      </c>
      <c r="W83" s="110"/>
      <c r="X83" s="278">
        <f t="shared" si="22"/>
        <v>0</v>
      </c>
      <c r="Y83" s="278">
        <f t="shared" si="22"/>
        <v>0</v>
      </c>
      <c r="Z83" s="278">
        <f t="shared" si="22"/>
        <v>0</v>
      </c>
      <c r="AA83" s="278">
        <f t="shared" si="25"/>
        <v>0</v>
      </c>
      <c r="AB83" s="278">
        <f t="shared" si="25"/>
        <v>0</v>
      </c>
      <c r="AC83" s="188"/>
      <c r="AD83" s="88"/>
    </row>
    <row r="84" spans="2:30" x14ac:dyDescent="0.2">
      <c r="B84" s="88"/>
      <c r="C84" s="108"/>
      <c r="D84" s="115"/>
      <c r="E84" s="115"/>
      <c r="F84" s="150"/>
      <c r="G84" s="132"/>
      <c r="H84" s="286"/>
      <c r="I84" s="132"/>
      <c r="J84" s="132"/>
      <c r="K84" s="110"/>
      <c r="L84" s="113">
        <f t="shared" si="27"/>
        <v>0</v>
      </c>
      <c r="M84" s="278">
        <f t="shared" si="28"/>
        <v>0</v>
      </c>
      <c r="N84" s="278">
        <f t="shared" si="29"/>
        <v>0</v>
      </c>
      <c r="O84" s="166" t="str">
        <f t="shared" si="30"/>
        <v>-</v>
      </c>
      <c r="P84" s="278">
        <f t="shared" si="26"/>
        <v>0</v>
      </c>
      <c r="Q84" s="110"/>
      <c r="R84" s="278">
        <f t="shared" si="18"/>
        <v>0</v>
      </c>
      <c r="S84" s="278">
        <f t="shared" si="19"/>
        <v>0</v>
      </c>
      <c r="T84" s="278">
        <f t="shared" si="20"/>
        <v>0</v>
      </c>
      <c r="U84" s="278">
        <f t="shared" si="21"/>
        <v>0</v>
      </c>
      <c r="V84" s="278">
        <f t="shared" si="21"/>
        <v>0</v>
      </c>
      <c r="W84" s="110"/>
      <c r="X84" s="278">
        <f t="shared" si="22"/>
        <v>0</v>
      </c>
      <c r="Y84" s="278">
        <f t="shared" si="22"/>
        <v>0</v>
      </c>
      <c r="Z84" s="278">
        <f t="shared" si="22"/>
        <v>0</v>
      </c>
      <c r="AA84" s="278">
        <f t="shared" si="25"/>
        <v>0</v>
      </c>
      <c r="AB84" s="278">
        <f t="shared" si="25"/>
        <v>0</v>
      </c>
      <c r="AC84" s="188"/>
      <c r="AD84" s="88"/>
    </row>
    <row r="85" spans="2:30" x14ac:dyDescent="0.2">
      <c r="B85" s="88"/>
      <c r="C85" s="108"/>
      <c r="D85" s="115"/>
      <c r="E85" s="115"/>
      <c r="F85" s="150"/>
      <c r="G85" s="132"/>
      <c r="H85" s="286"/>
      <c r="I85" s="132"/>
      <c r="J85" s="132"/>
      <c r="K85" s="110"/>
      <c r="L85" s="113">
        <f t="shared" si="27"/>
        <v>0</v>
      </c>
      <c r="M85" s="278">
        <f t="shared" si="28"/>
        <v>0</v>
      </c>
      <c r="N85" s="278">
        <f t="shared" si="29"/>
        <v>0</v>
      </c>
      <c r="O85" s="166" t="str">
        <f t="shared" si="30"/>
        <v>-</v>
      </c>
      <c r="P85" s="278">
        <f t="shared" si="26"/>
        <v>0</v>
      </c>
      <c r="Q85" s="110"/>
      <c r="R85" s="278">
        <f t="shared" si="18"/>
        <v>0</v>
      </c>
      <c r="S85" s="278">
        <f t="shared" si="19"/>
        <v>0</v>
      </c>
      <c r="T85" s="278">
        <f t="shared" si="20"/>
        <v>0</v>
      </c>
      <c r="U85" s="278">
        <f t="shared" si="21"/>
        <v>0</v>
      </c>
      <c r="V85" s="278">
        <f t="shared" si="21"/>
        <v>0</v>
      </c>
      <c r="W85" s="110"/>
      <c r="X85" s="278">
        <f t="shared" si="22"/>
        <v>0</v>
      </c>
      <c r="Y85" s="278">
        <f t="shared" si="22"/>
        <v>0</v>
      </c>
      <c r="Z85" s="278">
        <f t="shared" si="22"/>
        <v>0</v>
      </c>
      <c r="AA85" s="278">
        <f t="shared" si="25"/>
        <v>0</v>
      </c>
      <c r="AB85" s="278">
        <f t="shared" si="25"/>
        <v>0</v>
      </c>
      <c r="AC85" s="188"/>
      <c r="AD85" s="88"/>
    </row>
    <row r="86" spans="2:30" x14ac:dyDescent="0.2">
      <c r="B86" s="88"/>
      <c r="C86" s="108"/>
      <c r="D86" s="115"/>
      <c r="E86" s="115"/>
      <c r="F86" s="150"/>
      <c r="G86" s="132"/>
      <c r="H86" s="286"/>
      <c r="I86" s="132"/>
      <c r="J86" s="132"/>
      <c r="K86" s="110"/>
      <c r="L86" s="113">
        <f t="shared" si="27"/>
        <v>0</v>
      </c>
      <c r="M86" s="278">
        <f t="shared" si="28"/>
        <v>0</v>
      </c>
      <c r="N86" s="278">
        <f t="shared" si="29"/>
        <v>0</v>
      </c>
      <c r="O86" s="166" t="str">
        <f t="shared" si="30"/>
        <v>-</v>
      </c>
      <c r="P86" s="278">
        <f t="shared" si="26"/>
        <v>0</v>
      </c>
      <c r="Q86" s="110"/>
      <c r="R86" s="278">
        <f t="shared" si="18"/>
        <v>0</v>
      </c>
      <c r="S86" s="278">
        <f t="shared" si="19"/>
        <v>0</v>
      </c>
      <c r="T86" s="278">
        <f t="shared" si="20"/>
        <v>0</v>
      </c>
      <c r="U86" s="278">
        <f t="shared" si="21"/>
        <v>0</v>
      </c>
      <c r="V86" s="278">
        <f t="shared" si="21"/>
        <v>0</v>
      </c>
      <c r="W86" s="110"/>
      <c r="X86" s="278">
        <f t="shared" si="22"/>
        <v>0</v>
      </c>
      <c r="Y86" s="278">
        <f t="shared" si="22"/>
        <v>0</v>
      </c>
      <c r="Z86" s="278">
        <f t="shared" si="22"/>
        <v>0</v>
      </c>
      <c r="AA86" s="278">
        <f t="shared" si="25"/>
        <v>0</v>
      </c>
      <c r="AB86" s="278">
        <f t="shared" si="25"/>
        <v>0</v>
      </c>
      <c r="AC86" s="188"/>
      <c r="AD86" s="88"/>
    </row>
    <row r="87" spans="2:30" x14ac:dyDescent="0.2">
      <c r="B87" s="88"/>
      <c r="C87" s="108"/>
      <c r="D87" s="115"/>
      <c r="E87" s="115"/>
      <c r="F87" s="150"/>
      <c r="G87" s="132"/>
      <c r="H87" s="286"/>
      <c r="I87" s="132"/>
      <c r="J87" s="132"/>
      <c r="K87" s="110"/>
      <c r="L87" s="113">
        <f t="shared" si="27"/>
        <v>0</v>
      </c>
      <c r="M87" s="278">
        <f t="shared" si="28"/>
        <v>0</v>
      </c>
      <c r="N87" s="278">
        <f t="shared" si="29"/>
        <v>0</v>
      </c>
      <c r="O87" s="166" t="str">
        <f>IF(L87=0,"-",(IF(L87&gt;3000,"-",I87+L87-1)))</f>
        <v>-</v>
      </c>
      <c r="P87" s="278">
        <f t="shared" si="26"/>
        <v>0</v>
      </c>
      <c r="Q87" s="110"/>
      <c r="R87" s="278">
        <f t="shared" si="18"/>
        <v>0</v>
      </c>
      <c r="S87" s="278">
        <f t="shared" si="19"/>
        <v>0</v>
      </c>
      <c r="T87" s="278">
        <f t="shared" si="20"/>
        <v>0</v>
      </c>
      <c r="U87" s="278">
        <f t="shared" si="21"/>
        <v>0</v>
      </c>
      <c r="V87" s="278">
        <f t="shared" si="21"/>
        <v>0</v>
      </c>
      <c r="W87" s="110"/>
      <c r="X87" s="278">
        <f t="shared" si="22"/>
        <v>0</v>
      </c>
      <c r="Y87" s="278">
        <f t="shared" si="22"/>
        <v>0</v>
      </c>
      <c r="Z87" s="278">
        <f t="shared" si="22"/>
        <v>0</v>
      </c>
      <c r="AA87" s="278">
        <f t="shared" si="25"/>
        <v>0</v>
      </c>
      <c r="AB87" s="278">
        <f t="shared" si="25"/>
        <v>0</v>
      </c>
      <c r="AC87" s="188"/>
      <c r="AD87" s="88"/>
    </row>
    <row r="88" spans="2:30" x14ac:dyDescent="0.2">
      <c r="B88" s="88"/>
      <c r="C88" s="108"/>
      <c r="D88" s="115"/>
      <c r="E88" s="115"/>
      <c r="F88" s="150"/>
      <c r="G88" s="132"/>
      <c r="H88" s="286"/>
      <c r="I88" s="132"/>
      <c r="J88" s="132"/>
      <c r="K88" s="110"/>
      <c r="L88" s="113">
        <f t="shared" si="24"/>
        <v>0</v>
      </c>
      <c r="M88" s="278">
        <f t="shared" si="15"/>
        <v>0</v>
      </c>
      <c r="N88" s="278">
        <f t="shared" si="16"/>
        <v>0</v>
      </c>
      <c r="O88" s="166" t="str">
        <f t="shared" si="17"/>
        <v>-</v>
      </c>
      <c r="P88" s="278">
        <f t="shared" si="26"/>
        <v>0</v>
      </c>
      <c r="Q88" s="110"/>
      <c r="R88" s="278">
        <f t="shared" si="18"/>
        <v>0</v>
      </c>
      <c r="S88" s="278">
        <f t="shared" si="19"/>
        <v>0</v>
      </c>
      <c r="T88" s="278">
        <f t="shared" si="20"/>
        <v>0</v>
      </c>
      <c r="U88" s="278">
        <f t="shared" si="21"/>
        <v>0</v>
      </c>
      <c r="V88" s="278">
        <f t="shared" si="21"/>
        <v>0</v>
      </c>
      <c r="W88" s="110"/>
      <c r="X88" s="278">
        <f t="shared" si="22"/>
        <v>0</v>
      </c>
      <c r="Y88" s="278">
        <f t="shared" si="22"/>
        <v>0</v>
      </c>
      <c r="Z88" s="278">
        <f t="shared" si="22"/>
        <v>0</v>
      </c>
      <c r="AA88" s="278">
        <f t="shared" si="25"/>
        <v>0</v>
      </c>
      <c r="AB88" s="278">
        <f t="shared" si="25"/>
        <v>0</v>
      </c>
      <c r="AC88" s="188"/>
      <c r="AD88" s="88"/>
    </row>
    <row r="89" spans="2:30" x14ac:dyDescent="0.2">
      <c r="B89" s="88"/>
      <c r="C89" s="108"/>
      <c r="D89" s="115"/>
      <c r="E89" s="115"/>
      <c r="F89" s="150"/>
      <c r="G89" s="132"/>
      <c r="H89" s="286"/>
      <c r="I89" s="132"/>
      <c r="J89" s="132"/>
      <c r="K89" s="110"/>
      <c r="L89" s="113">
        <f t="shared" si="24"/>
        <v>0</v>
      </c>
      <c r="M89" s="278">
        <f t="shared" si="15"/>
        <v>0</v>
      </c>
      <c r="N89" s="278">
        <f t="shared" si="16"/>
        <v>0</v>
      </c>
      <c r="O89" s="166" t="str">
        <f t="shared" si="17"/>
        <v>-</v>
      </c>
      <c r="P89" s="278">
        <f t="shared" si="26"/>
        <v>0</v>
      </c>
      <c r="Q89" s="110"/>
      <c r="R89" s="278">
        <f t="shared" si="18"/>
        <v>0</v>
      </c>
      <c r="S89" s="278">
        <f t="shared" si="19"/>
        <v>0</v>
      </c>
      <c r="T89" s="278">
        <f t="shared" si="20"/>
        <v>0</v>
      </c>
      <c r="U89" s="278">
        <f t="shared" si="21"/>
        <v>0</v>
      </c>
      <c r="V89" s="278">
        <f t="shared" si="21"/>
        <v>0</v>
      </c>
      <c r="W89" s="110"/>
      <c r="X89" s="278">
        <f t="shared" si="22"/>
        <v>0</v>
      </c>
      <c r="Y89" s="278">
        <f t="shared" si="22"/>
        <v>0</v>
      </c>
      <c r="Z89" s="278">
        <f t="shared" si="22"/>
        <v>0</v>
      </c>
      <c r="AA89" s="278">
        <f t="shared" si="25"/>
        <v>0</v>
      </c>
      <c r="AB89" s="278">
        <f t="shared" si="25"/>
        <v>0</v>
      </c>
      <c r="AC89" s="188"/>
      <c r="AD89" s="88"/>
    </row>
    <row r="90" spans="2:30" x14ac:dyDescent="0.2">
      <c r="B90" s="88"/>
      <c r="C90" s="108"/>
      <c r="D90" s="115"/>
      <c r="E90" s="115"/>
      <c r="F90" s="150"/>
      <c r="G90" s="132"/>
      <c r="H90" s="286"/>
      <c r="I90" s="132"/>
      <c r="J90" s="132"/>
      <c r="K90" s="110"/>
      <c r="L90" s="113">
        <f t="shared" si="24"/>
        <v>0</v>
      </c>
      <c r="M90" s="278">
        <f t="shared" si="15"/>
        <v>0</v>
      </c>
      <c r="N90" s="278">
        <f t="shared" si="16"/>
        <v>0</v>
      </c>
      <c r="O90" s="166" t="str">
        <f t="shared" si="17"/>
        <v>-</v>
      </c>
      <c r="P90" s="278">
        <f t="shared" si="26"/>
        <v>0</v>
      </c>
      <c r="Q90" s="110"/>
      <c r="R90" s="278">
        <f t="shared" si="18"/>
        <v>0</v>
      </c>
      <c r="S90" s="278">
        <f t="shared" si="19"/>
        <v>0</v>
      </c>
      <c r="T90" s="278">
        <f t="shared" si="20"/>
        <v>0</v>
      </c>
      <c r="U90" s="278">
        <f t="shared" si="21"/>
        <v>0</v>
      </c>
      <c r="V90" s="278">
        <f t="shared" si="21"/>
        <v>0</v>
      </c>
      <c r="W90" s="110"/>
      <c r="X90" s="278">
        <f t="shared" si="22"/>
        <v>0</v>
      </c>
      <c r="Y90" s="278">
        <f t="shared" si="22"/>
        <v>0</v>
      </c>
      <c r="Z90" s="278">
        <f t="shared" si="22"/>
        <v>0</v>
      </c>
      <c r="AA90" s="278">
        <f t="shared" si="25"/>
        <v>0</v>
      </c>
      <c r="AB90" s="278">
        <f t="shared" si="25"/>
        <v>0</v>
      </c>
      <c r="AC90" s="188"/>
      <c r="AD90" s="88"/>
    </row>
    <row r="91" spans="2:30" x14ac:dyDescent="0.2">
      <c r="B91" s="88"/>
      <c r="C91" s="108"/>
      <c r="D91" s="115"/>
      <c r="E91" s="115"/>
      <c r="F91" s="150"/>
      <c r="G91" s="132"/>
      <c r="H91" s="286"/>
      <c r="I91" s="132"/>
      <c r="J91" s="132"/>
      <c r="K91" s="110"/>
      <c r="L91" s="113">
        <f t="shared" si="24"/>
        <v>0</v>
      </c>
      <c r="M91" s="278">
        <f t="shared" si="15"/>
        <v>0</v>
      </c>
      <c r="N91" s="278">
        <f t="shared" si="16"/>
        <v>0</v>
      </c>
      <c r="O91" s="166" t="str">
        <f t="shared" si="17"/>
        <v>-</v>
      </c>
      <c r="P91" s="278">
        <f t="shared" si="26"/>
        <v>0</v>
      </c>
      <c r="Q91" s="110"/>
      <c r="R91" s="278">
        <f t="shared" si="18"/>
        <v>0</v>
      </c>
      <c r="S91" s="278">
        <f t="shared" si="19"/>
        <v>0</v>
      </c>
      <c r="T91" s="278">
        <f t="shared" si="20"/>
        <v>0</v>
      </c>
      <c r="U91" s="278">
        <f t="shared" si="21"/>
        <v>0</v>
      </c>
      <c r="V91" s="278">
        <f t="shared" si="21"/>
        <v>0</v>
      </c>
      <c r="W91" s="110"/>
      <c r="X91" s="278">
        <f t="shared" ref="X91:Z108" si="31">IF(X$8=$I91,($G91*$H91),0)</f>
        <v>0</v>
      </c>
      <c r="Y91" s="278">
        <f t="shared" si="31"/>
        <v>0</v>
      </c>
      <c r="Z91" s="278">
        <f t="shared" si="31"/>
        <v>0</v>
      </c>
      <c r="AA91" s="278">
        <f t="shared" ref="AA91:AB99" si="32">IF(AA$8=$I91,($G91*$H91),0)</f>
        <v>0</v>
      </c>
      <c r="AB91" s="278">
        <f t="shared" si="32"/>
        <v>0</v>
      </c>
      <c r="AC91" s="188"/>
      <c r="AD91" s="88"/>
    </row>
    <row r="92" spans="2:30" x14ac:dyDescent="0.2">
      <c r="B92" s="88"/>
      <c r="C92" s="108"/>
      <c r="D92" s="115"/>
      <c r="E92" s="115"/>
      <c r="F92" s="150"/>
      <c r="G92" s="132"/>
      <c r="H92" s="286"/>
      <c r="I92" s="132"/>
      <c r="J92" s="132"/>
      <c r="K92" s="110"/>
      <c r="L92" s="113">
        <f>IF(J92="geen",9999999999,J92)</f>
        <v>0</v>
      </c>
      <c r="M92" s="278">
        <f>G92*H92</f>
        <v>0</v>
      </c>
      <c r="N92" s="278">
        <f>IF(G92=0,0,(G92*H92)/L92)</f>
        <v>0</v>
      </c>
      <c r="O92" s="166" t="str">
        <f>IF(L92=0,"-",(IF(L92&gt;3000,"-",I92+L92-1)))</f>
        <v>-</v>
      </c>
      <c r="P92" s="278">
        <f t="shared" si="26"/>
        <v>0</v>
      </c>
      <c r="Q92" s="110"/>
      <c r="R92" s="278">
        <f t="shared" si="18"/>
        <v>0</v>
      </c>
      <c r="S92" s="278">
        <f t="shared" si="19"/>
        <v>0</v>
      </c>
      <c r="T92" s="278">
        <f t="shared" si="20"/>
        <v>0</v>
      </c>
      <c r="U92" s="278">
        <f t="shared" si="21"/>
        <v>0</v>
      </c>
      <c r="V92" s="278">
        <f t="shared" si="21"/>
        <v>0</v>
      </c>
      <c r="W92" s="110"/>
      <c r="X92" s="278">
        <f t="shared" si="22"/>
        <v>0</v>
      </c>
      <c r="Y92" s="278">
        <f t="shared" si="22"/>
        <v>0</v>
      </c>
      <c r="Z92" s="278">
        <f t="shared" si="22"/>
        <v>0</v>
      </c>
      <c r="AA92" s="278">
        <f t="shared" si="25"/>
        <v>0</v>
      </c>
      <c r="AB92" s="278">
        <f t="shared" si="25"/>
        <v>0</v>
      </c>
      <c r="AC92" s="188"/>
      <c r="AD92" s="88"/>
    </row>
    <row r="93" spans="2:30" x14ac:dyDescent="0.2">
      <c r="B93" s="88"/>
      <c r="C93" s="108"/>
      <c r="D93" s="115"/>
      <c r="E93" s="115"/>
      <c r="F93" s="150"/>
      <c r="G93" s="132"/>
      <c r="H93" s="286"/>
      <c r="I93" s="132"/>
      <c r="J93" s="132"/>
      <c r="K93" s="110"/>
      <c r="L93" s="113">
        <f t="shared" si="24"/>
        <v>0</v>
      </c>
      <c r="M93" s="278">
        <f t="shared" si="15"/>
        <v>0</v>
      </c>
      <c r="N93" s="278">
        <f t="shared" si="16"/>
        <v>0</v>
      </c>
      <c r="O93" s="166" t="str">
        <f t="shared" si="17"/>
        <v>-</v>
      </c>
      <c r="P93" s="278">
        <f t="shared" si="26"/>
        <v>0</v>
      </c>
      <c r="Q93" s="110"/>
      <c r="R93" s="278">
        <f t="shared" si="18"/>
        <v>0</v>
      </c>
      <c r="S93" s="278">
        <f t="shared" si="19"/>
        <v>0</v>
      </c>
      <c r="T93" s="278">
        <f t="shared" si="20"/>
        <v>0</v>
      </c>
      <c r="U93" s="278">
        <f t="shared" si="21"/>
        <v>0</v>
      </c>
      <c r="V93" s="278">
        <f t="shared" si="21"/>
        <v>0</v>
      </c>
      <c r="W93" s="110"/>
      <c r="X93" s="278">
        <f t="shared" si="31"/>
        <v>0</v>
      </c>
      <c r="Y93" s="278">
        <f t="shared" si="31"/>
        <v>0</v>
      </c>
      <c r="Z93" s="278">
        <f t="shared" si="31"/>
        <v>0</v>
      </c>
      <c r="AA93" s="278">
        <f t="shared" si="32"/>
        <v>0</v>
      </c>
      <c r="AB93" s="278">
        <f t="shared" si="32"/>
        <v>0</v>
      </c>
      <c r="AC93" s="188"/>
      <c r="AD93" s="88"/>
    </row>
    <row r="94" spans="2:30" x14ac:dyDescent="0.2">
      <c r="B94" s="88"/>
      <c r="C94" s="108"/>
      <c r="D94" s="115"/>
      <c r="E94" s="115"/>
      <c r="F94" s="150"/>
      <c r="G94" s="132"/>
      <c r="H94" s="286"/>
      <c r="I94" s="132"/>
      <c r="J94" s="132"/>
      <c r="K94" s="110"/>
      <c r="L94" s="113">
        <f t="shared" si="24"/>
        <v>0</v>
      </c>
      <c r="M94" s="278">
        <f t="shared" si="15"/>
        <v>0</v>
      </c>
      <c r="N94" s="278">
        <f t="shared" si="16"/>
        <v>0</v>
      </c>
      <c r="O94" s="166" t="str">
        <f t="shared" si="17"/>
        <v>-</v>
      </c>
      <c r="P94" s="278">
        <f t="shared" si="26"/>
        <v>0</v>
      </c>
      <c r="Q94" s="110"/>
      <c r="R94" s="278">
        <f t="shared" si="18"/>
        <v>0</v>
      </c>
      <c r="S94" s="278">
        <f t="shared" si="19"/>
        <v>0</v>
      </c>
      <c r="T94" s="278">
        <f t="shared" si="20"/>
        <v>0</v>
      </c>
      <c r="U94" s="278">
        <f t="shared" si="21"/>
        <v>0</v>
      </c>
      <c r="V94" s="278">
        <f t="shared" si="21"/>
        <v>0</v>
      </c>
      <c r="W94" s="110"/>
      <c r="X94" s="278">
        <f t="shared" si="31"/>
        <v>0</v>
      </c>
      <c r="Y94" s="278">
        <f t="shared" si="31"/>
        <v>0</v>
      </c>
      <c r="Z94" s="278">
        <f t="shared" si="31"/>
        <v>0</v>
      </c>
      <c r="AA94" s="278">
        <f t="shared" si="32"/>
        <v>0</v>
      </c>
      <c r="AB94" s="278">
        <f t="shared" si="32"/>
        <v>0</v>
      </c>
      <c r="AC94" s="188"/>
      <c r="AD94" s="88"/>
    </row>
    <row r="95" spans="2:30" x14ac:dyDescent="0.2">
      <c r="B95" s="88"/>
      <c r="C95" s="108"/>
      <c r="D95" s="115"/>
      <c r="E95" s="115"/>
      <c r="F95" s="150"/>
      <c r="G95" s="132"/>
      <c r="H95" s="286"/>
      <c r="I95" s="132"/>
      <c r="J95" s="132"/>
      <c r="K95" s="110"/>
      <c r="L95" s="113">
        <f t="shared" ref="L95:L137" si="33">IF(J95="geen",9999999999,J95)</f>
        <v>0</v>
      </c>
      <c r="M95" s="278">
        <f t="shared" ref="M95:M137" si="34">G95*H95</f>
        <v>0</v>
      </c>
      <c r="N95" s="278">
        <f t="shared" ref="N95:N137" si="35">IF(G95=0,0,(G95*H95)/L95)</f>
        <v>0</v>
      </c>
      <c r="O95" s="166" t="str">
        <f t="shared" ref="O95:O137" si="36">IF(L95=0,"-",(IF(L95&gt;3000,"-",I95+L95-1)))</f>
        <v>-</v>
      </c>
      <c r="P95" s="278">
        <f t="shared" si="26"/>
        <v>0</v>
      </c>
      <c r="Q95" s="110"/>
      <c r="R95" s="278">
        <f t="shared" si="18"/>
        <v>0</v>
      </c>
      <c r="S95" s="278">
        <f t="shared" si="19"/>
        <v>0</v>
      </c>
      <c r="T95" s="278">
        <f t="shared" si="20"/>
        <v>0</v>
      </c>
      <c r="U95" s="278">
        <f>(IF(U$8&lt;$I95,0,IF($O95&lt;=U$8-1,0,$N95)))</f>
        <v>0</v>
      </c>
      <c r="V95" s="278">
        <f>(IF(V$8&lt;$I95,0,IF($O95&lt;=V$8-1,0,$N95)))</f>
        <v>0</v>
      </c>
      <c r="W95" s="110"/>
      <c r="X95" s="278">
        <f t="shared" si="31"/>
        <v>0</v>
      </c>
      <c r="Y95" s="278">
        <f t="shared" si="31"/>
        <v>0</v>
      </c>
      <c r="Z95" s="278">
        <f t="shared" si="31"/>
        <v>0</v>
      </c>
      <c r="AA95" s="278">
        <f t="shared" si="32"/>
        <v>0</v>
      </c>
      <c r="AB95" s="278">
        <f t="shared" si="32"/>
        <v>0</v>
      </c>
      <c r="AC95" s="188"/>
      <c r="AD95" s="88"/>
    </row>
    <row r="96" spans="2:30" x14ac:dyDescent="0.2">
      <c r="B96" s="88"/>
      <c r="C96" s="108"/>
      <c r="D96" s="115"/>
      <c r="E96" s="115"/>
      <c r="F96" s="150"/>
      <c r="G96" s="132"/>
      <c r="H96" s="286"/>
      <c r="I96" s="132"/>
      <c r="J96" s="132"/>
      <c r="K96" s="110"/>
      <c r="L96" s="113">
        <f t="shared" si="33"/>
        <v>0</v>
      </c>
      <c r="M96" s="278">
        <f t="shared" si="34"/>
        <v>0</v>
      </c>
      <c r="N96" s="278">
        <f t="shared" si="35"/>
        <v>0</v>
      </c>
      <c r="O96" s="166" t="str">
        <f t="shared" si="36"/>
        <v>-</v>
      </c>
      <c r="P96" s="278">
        <f t="shared" si="26"/>
        <v>0</v>
      </c>
      <c r="Q96" s="110"/>
      <c r="R96" s="278">
        <f t="shared" si="18"/>
        <v>0</v>
      </c>
      <c r="S96" s="278">
        <f t="shared" si="19"/>
        <v>0</v>
      </c>
      <c r="T96" s="278">
        <f t="shared" si="20"/>
        <v>0</v>
      </c>
      <c r="U96" s="278">
        <f t="shared" ref="U96:V137" si="37">(IF(U$8&lt;$I96,0,IF($O96&lt;=U$8-1,0,$N96)))</f>
        <v>0</v>
      </c>
      <c r="V96" s="278">
        <f t="shared" si="37"/>
        <v>0</v>
      </c>
      <c r="W96" s="110"/>
      <c r="X96" s="278">
        <f t="shared" si="31"/>
        <v>0</v>
      </c>
      <c r="Y96" s="278">
        <f t="shared" si="31"/>
        <v>0</v>
      </c>
      <c r="Z96" s="278">
        <f t="shared" si="31"/>
        <v>0</v>
      </c>
      <c r="AA96" s="278">
        <f t="shared" si="32"/>
        <v>0</v>
      </c>
      <c r="AB96" s="278">
        <f t="shared" si="32"/>
        <v>0</v>
      </c>
      <c r="AC96" s="188"/>
      <c r="AD96" s="88"/>
    </row>
    <row r="97" spans="2:30" x14ac:dyDescent="0.2">
      <c r="B97" s="88"/>
      <c r="C97" s="108"/>
      <c r="D97" s="115"/>
      <c r="E97" s="115"/>
      <c r="F97" s="150"/>
      <c r="G97" s="132"/>
      <c r="H97" s="286"/>
      <c r="I97" s="132"/>
      <c r="J97" s="132"/>
      <c r="K97" s="110"/>
      <c r="L97" s="113">
        <f t="shared" si="33"/>
        <v>0</v>
      </c>
      <c r="M97" s="278">
        <f t="shared" si="34"/>
        <v>0</v>
      </c>
      <c r="N97" s="278">
        <f t="shared" si="35"/>
        <v>0</v>
      </c>
      <c r="O97" s="166" t="str">
        <f t="shared" si="36"/>
        <v>-</v>
      </c>
      <c r="P97" s="278">
        <f t="shared" si="26"/>
        <v>0</v>
      </c>
      <c r="Q97" s="110"/>
      <c r="R97" s="278">
        <f t="shared" si="18"/>
        <v>0</v>
      </c>
      <c r="S97" s="278">
        <f t="shared" si="19"/>
        <v>0</v>
      </c>
      <c r="T97" s="278">
        <f t="shared" si="20"/>
        <v>0</v>
      </c>
      <c r="U97" s="278">
        <f t="shared" si="37"/>
        <v>0</v>
      </c>
      <c r="V97" s="278">
        <f t="shared" si="37"/>
        <v>0</v>
      </c>
      <c r="W97" s="110"/>
      <c r="X97" s="278">
        <f t="shared" si="31"/>
        <v>0</v>
      </c>
      <c r="Y97" s="278">
        <f t="shared" si="31"/>
        <v>0</v>
      </c>
      <c r="Z97" s="278">
        <f t="shared" si="31"/>
        <v>0</v>
      </c>
      <c r="AA97" s="278">
        <f t="shared" si="32"/>
        <v>0</v>
      </c>
      <c r="AB97" s="278">
        <f t="shared" si="32"/>
        <v>0</v>
      </c>
      <c r="AC97" s="188"/>
      <c r="AD97" s="88"/>
    </row>
    <row r="98" spans="2:30" x14ac:dyDescent="0.2">
      <c r="B98" s="88"/>
      <c r="C98" s="108"/>
      <c r="D98" s="115"/>
      <c r="E98" s="115"/>
      <c r="F98" s="150"/>
      <c r="G98" s="132"/>
      <c r="H98" s="286"/>
      <c r="I98" s="132"/>
      <c r="J98" s="132"/>
      <c r="K98" s="110"/>
      <c r="L98" s="113">
        <f t="shared" si="33"/>
        <v>0</v>
      </c>
      <c r="M98" s="278">
        <f t="shared" si="34"/>
        <v>0</v>
      </c>
      <c r="N98" s="278">
        <f t="shared" si="35"/>
        <v>0</v>
      </c>
      <c r="O98" s="166" t="str">
        <f t="shared" si="36"/>
        <v>-</v>
      </c>
      <c r="P98" s="278">
        <f t="shared" si="26"/>
        <v>0</v>
      </c>
      <c r="Q98" s="110"/>
      <c r="R98" s="278">
        <f t="shared" si="18"/>
        <v>0</v>
      </c>
      <c r="S98" s="278">
        <f t="shared" si="19"/>
        <v>0</v>
      </c>
      <c r="T98" s="278">
        <f t="shared" si="20"/>
        <v>0</v>
      </c>
      <c r="U98" s="278">
        <f t="shared" si="37"/>
        <v>0</v>
      </c>
      <c r="V98" s="278">
        <f t="shared" si="37"/>
        <v>0</v>
      </c>
      <c r="W98" s="110"/>
      <c r="X98" s="278">
        <f t="shared" si="31"/>
        <v>0</v>
      </c>
      <c r="Y98" s="278">
        <f t="shared" si="31"/>
        <v>0</v>
      </c>
      <c r="Z98" s="278">
        <f t="shared" si="31"/>
        <v>0</v>
      </c>
      <c r="AA98" s="278">
        <f t="shared" si="32"/>
        <v>0</v>
      </c>
      <c r="AB98" s="278">
        <f t="shared" si="32"/>
        <v>0</v>
      </c>
      <c r="AC98" s="188"/>
      <c r="AD98" s="88"/>
    </row>
    <row r="99" spans="2:30" x14ac:dyDescent="0.2">
      <c r="B99" s="88"/>
      <c r="C99" s="108"/>
      <c r="D99" s="115"/>
      <c r="E99" s="115"/>
      <c r="F99" s="150"/>
      <c r="G99" s="132"/>
      <c r="H99" s="286"/>
      <c r="I99" s="132"/>
      <c r="J99" s="132"/>
      <c r="K99" s="110"/>
      <c r="L99" s="113">
        <f t="shared" si="33"/>
        <v>0</v>
      </c>
      <c r="M99" s="278">
        <f t="shared" si="34"/>
        <v>0</v>
      </c>
      <c r="N99" s="278">
        <f t="shared" si="35"/>
        <v>0</v>
      </c>
      <c r="O99" s="166" t="str">
        <f t="shared" si="36"/>
        <v>-</v>
      </c>
      <c r="P99" s="278">
        <f t="shared" si="26"/>
        <v>0</v>
      </c>
      <c r="Q99" s="110"/>
      <c r="R99" s="278">
        <f t="shared" si="18"/>
        <v>0</v>
      </c>
      <c r="S99" s="278">
        <f t="shared" si="19"/>
        <v>0</v>
      </c>
      <c r="T99" s="278">
        <f t="shared" si="20"/>
        <v>0</v>
      </c>
      <c r="U99" s="278">
        <f t="shared" si="37"/>
        <v>0</v>
      </c>
      <c r="V99" s="278">
        <f t="shared" si="37"/>
        <v>0</v>
      </c>
      <c r="W99" s="110"/>
      <c r="X99" s="278">
        <f t="shared" si="31"/>
        <v>0</v>
      </c>
      <c r="Y99" s="278">
        <f t="shared" si="31"/>
        <v>0</v>
      </c>
      <c r="Z99" s="278">
        <f t="shared" si="31"/>
        <v>0</v>
      </c>
      <c r="AA99" s="278">
        <f t="shared" si="32"/>
        <v>0</v>
      </c>
      <c r="AB99" s="278">
        <f t="shared" si="32"/>
        <v>0</v>
      </c>
      <c r="AC99" s="188"/>
      <c r="AD99" s="88"/>
    </row>
    <row r="100" spans="2:30" x14ac:dyDescent="0.2">
      <c r="B100" s="88"/>
      <c r="C100" s="108"/>
      <c r="D100" s="115"/>
      <c r="E100" s="115"/>
      <c r="F100" s="150"/>
      <c r="G100" s="132"/>
      <c r="H100" s="286"/>
      <c r="I100" s="132"/>
      <c r="J100" s="132"/>
      <c r="K100" s="110"/>
      <c r="L100" s="113">
        <f t="shared" si="33"/>
        <v>0</v>
      </c>
      <c r="M100" s="278">
        <f t="shared" si="34"/>
        <v>0</v>
      </c>
      <c r="N100" s="278">
        <f t="shared" si="35"/>
        <v>0</v>
      </c>
      <c r="O100" s="166" t="str">
        <f t="shared" si="36"/>
        <v>-</v>
      </c>
      <c r="P100" s="278">
        <f t="shared" si="26"/>
        <v>0</v>
      </c>
      <c r="Q100" s="110"/>
      <c r="R100" s="278">
        <f t="shared" si="18"/>
        <v>0</v>
      </c>
      <c r="S100" s="278">
        <f t="shared" si="19"/>
        <v>0</v>
      </c>
      <c r="T100" s="278">
        <f t="shared" si="20"/>
        <v>0</v>
      </c>
      <c r="U100" s="278">
        <f t="shared" si="37"/>
        <v>0</v>
      </c>
      <c r="V100" s="278">
        <f t="shared" si="37"/>
        <v>0</v>
      </c>
      <c r="W100" s="110"/>
      <c r="X100" s="278">
        <f t="shared" si="31"/>
        <v>0</v>
      </c>
      <c r="Y100" s="278">
        <f t="shared" si="31"/>
        <v>0</v>
      </c>
      <c r="Z100" s="278">
        <f t="shared" si="31"/>
        <v>0</v>
      </c>
      <c r="AA100" s="278">
        <f t="shared" ref="AA100:AB109" si="38">IF(AA$8=$I100,($G100*$H100),0)</f>
        <v>0</v>
      </c>
      <c r="AB100" s="278">
        <f t="shared" si="38"/>
        <v>0</v>
      </c>
      <c r="AC100" s="188"/>
      <c r="AD100" s="88"/>
    </row>
    <row r="101" spans="2:30" x14ac:dyDescent="0.2">
      <c r="B101" s="88"/>
      <c r="C101" s="108"/>
      <c r="D101" s="115"/>
      <c r="E101" s="115"/>
      <c r="F101" s="150"/>
      <c r="G101" s="132"/>
      <c r="H101" s="286"/>
      <c r="I101" s="132"/>
      <c r="J101" s="132"/>
      <c r="K101" s="110"/>
      <c r="L101" s="113">
        <f t="shared" si="33"/>
        <v>0</v>
      </c>
      <c r="M101" s="278">
        <f t="shared" si="34"/>
        <v>0</v>
      </c>
      <c r="N101" s="278">
        <f t="shared" si="35"/>
        <v>0</v>
      </c>
      <c r="O101" s="166" t="str">
        <f t="shared" si="36"/>
        <v>-</v>
      </c>
      <c r="P101" s="278">
        <f t="shared" si="26"/>
        <v>0</v>
      </c>
      <c r="Q101" s="110"/>
      <c r="R101" s="278">
        <f t="shared" si="18"/>
        <v>0</v>
      </c>
      <c r="S101" s="278">
        <f t="shared" si="19"/>
        <v>0</v>
      </c>
      <c r="T101" s="278">
        <f t="shared" si="20"/>
        <v>0</v>
      </c>
      <c r="U101" s="278">
        <f t="shared" si="37"/>
        <v>0</v>
      </c>
      <c r="V101" s="278">
        <f t="shared" si="37"/>
        <v>0</v>
      </c>
      <c r="W101" s="110"/>
      <c r="X101" s="278">
        <f t="shared" si="31"/>
        <v>0</v>
      </c>
      <c r="Y101" s="278">
        <f t="shared" si="31"/>
        <v>0</v>
      </c>
      <c r="Z101" s="278">
        <f t="shared" si="31"/>
        <v>0</v>
      </c>
      <c r="AA101" s="278">
        <f t="shared" si="38"/>
        <v>0</v>
      </c>
      <c r="AB101" s="278">
        <f t="shared" si="38"/>
        <v>0</v>
      </c>
      <c r="AC101" s="188"/>
      <c r="AD101" s="88"/>
    </row>
    <row r="102" spans="2:30" x14ac:dyDescent="0.2">
      <c r="B102" s="88"/>
      <c r="C102" s="108"/>
      <c r="D102" s="115"/>
      <c r="E102" s="115"/>
      <c r="F102" s="150"/>
      <c r="G102" s="132"/>
      <c r="H102" s="286"/>
      <c r="I102" s="132"/>
      <c r="J102" s="132"/>
      <c r="K102" s="110"/>
      <c r="L102" s="113">
        <f t="shared" si="33"/>
        <v>0</v>
      </c>
      <c r="M102" s="278">
        <f t="shared" si="34"/>
        <v>0</v>
      </c>
      <c r="N102" s="278">
        <f t="shared" si="35"/>
        <v>0</v>
      </c>
      <c r="O102" s="166" t="str">
        <f t="shared" si="36"/>
        <v>-</v>
      </c>
      <c r="P102" s="278">
        <f t="shared" si="26"/>
        <v>0</v>
      </c>
      <c r="Q102" s="110"/>
      <c r="R102" s="278">
        <f t="shared" si="18"/>
        <v>0</v>
      </c>
      <c r="S102" s="278">
        <f t="shared" si="19"/>
        <v>0</v>
      </c>
      <c r="T102" s="278">
        <f t="shared" si="20"/>
        <v>0</v>
      </c>
      <c r="U102" s="278">
        <f t="shared" si="37"/>
        <v>0</v>
      </c>
      <c r="V102" s="278">
        <f t="shared" si="37"/>
        <v>0</v>
      </c>
      <c r="W102" s="110"/>
      <c r="X102" s="278">
        <f t="shared" si="31"/>
        <v>0</v>
      </c>
      <c r="Y102" s="278">
        <f t="shared" si="31"/>
        <v>0</v>
      </c>
      <c r="Z102" s="278">
        <f t="shared" si="31"/>
        <v>0</v>
      </c>
      <c r="AA102" s="278">
        <f t="shared" si="38"/>
        <v>0</v>
      </c>
      <c r="AB102" s="278">
        <f t="shared" si="38"/>
        <v>0</v>
      </c>
      <c r="AC102" s="188"/>
      <c r="AD102" s="88"/>
    </row>
    <row r="103" spans="2:30" x14ac:dyDescent="0.2">
      <c r="B103" s="88"/>
      <c r="C103" s="108"/>
      <c r="D103" s="115"/>
      <c r="E103" s="115"/>
      <c r="F103" s="150"/>
      <c r="G103" s="132"/>
      <c r="H103" s="286"/>
      <c r="I103" s="132"/>
      <c r="J103" s="132"/>
      <c r="K103" s="110"/>
      <c r="L103" s="113">
        <f t="shared" si="33"/>
        <v>0</v>
      </c>
      <c r="M103" s="278">
        <f t="shared" si="34"/>
        <v>0</v>
      </c>
      <c r="N103" s="278">
        <f t="shared" si="35"/>
        <v>0</v>
      </c>
      <c r="O103" s="166" t="str">
        <f t="shared" si="36"/>
        <v>-</v>
      </c>
      <c r="P103" s="278">
        <f t="shared" si="26"/>
        <v>0</v>
      </c>
      <c r="Q103" s="110"/>
      <c r="R103" s="278">
        <f t="shared" si="18"/>
        <v>0</v>
      </c>
      <c r="S103" s="278">
        <f t="shared" si="19"/>
        <v>0</v>
      </c>
      <c r="T103" s="278">
        <f t="shared" si="20"/>
        <v>0</v>
      </c>
      <c r="U103" s="278">
        <f t="shared" si="37"/>
        <v>0</v>
      </c>
      <c r="V103" s="278">
        <f t="shared" si="37"/>
        <v>0</v>
      </c>
      <c r="W103" s="110"/>
      <c r="X103" s="278">
        <f t="shared" si="31"/>
        <v>0</v>
      </c>
      <c r="Y103" s="278">
        <f t="shared" si="31"/>
        <v>0</v>
      </c>
      <c r="Z103" s="278">
        <f t="shared" si="31"/>
        <v>0</v>
      </c>
      <c r="AA103" s="278">
        <f t="shared" si="38"/>
        <v>0</v>
      </c>
      <c r="AB103" s="278">
        <f t="shared" si="38"/>
        <v>0</v>
      </c>
      <c r="AC103" s="188"/>
      <c r="AD103" s="88"/>
    </row>
    <row r="104" spans="2:30" x14ac:dyDescent="0.2">
      <c r="B104" s="88"/>
      <c r="C104" s="108"/>
      <c r="D104" s="115"/>
      <c r="E104" s="115"/>
      <c r="F104" s="150"/>
      <c r="G104" s="132"/>
      <c r="H104" s="286"/>
      <c r="I104" s="132"/>
      <c r="J104" s="132"/>
      <c r="K104" s="110"/>
      <c r="L104" s="113">
        <f t="shared" si="33"/>
        <v>0</v>
      </c>
      <c r="M104" s="278">
        <f t="shared" si="34"/>
        <v>0</v>
      </c>
      <c r="N104" s="278">
        <f t="shared" si="35"/>
        <v>0</v>
      </c>
      <c r="O104" s="166" t="str">
        <f t="shared" si="36"/>
        <v>-</v>
      </c>
      <c r="P104" s="278">
        <f t="shared" si="26"/>
        <v>0</v>
      </c>
      <c r="Q104" s="110"/>
      <c r="R104" s="278">
        <f t="shared" si="18"/>
        <v>0</v>
      </c>
      <c r="S104" s="278">
        <f t="shared" si="19"/>
        <v>0</v>
      </c>
      <c r="T104" s="278">
        <f t="shared" si="20"/>
        <v>0</v>
      </c>
      <c r="U104" s="278">
        <f t="shared" si="37"/>
        <v>0</v>
      </c>
      <c r="V104" s="278">
        <f t="shared" si="37"/>
        <v>0</v>
      </c>
      <c r="W104" s="110"/>
      <c r="X104" s="278">
        <f t="shared" si="31"/>
        <v>0</v>
      </c>
      <c r="Y104" s="278">
        <f t="shared" si="31"/>
        <v>0</v>
      </c>
      <c r="Z104" s="278">
        <f t="shared" si="31"/>
        <v>0</v>
      </c>
      <c r="AA104" s="278">
        <f t="shared" si="38"/>
        <v>0</v>
      </c>
      <c r="AB104" s="278">
        <f t="shared" si="38"/>
        <v>0</v>
      </c>
      <c r="AC104" s="188"/>
      <c r="AD104" s="88"/>
    </row>
    <row r="105" spans="2:30" x14ac:dyDescent="0.2">
      <c r="B105" s="88"/>
      <c r="C105" s="108"/>
      <c r="D105" s="115"/>
      <c r="E105" s="115"/>
      <c r="F105" s="150"/>
      <c r="G105" s="132"/>
      <c r="H105" s="286"/>
      <c r="I105" s="132"/>
      <c r="J105" s="132"/>
      <c r="K105" s="110"/>
      <c r="L105" s="113">
        <f t="shared" si="33"/>
        <v>0</v>
      </c>
      <c r="M105" s="278">
        <f t="shared" si="34"/>
        <v>0</v>
      </c>
      <c r="N105" s="278">
        <f t="shared" si="35"/>
        <v>0</v>
      </c>
      <c r="O105" s="166" t="str">
        <f t="shared" si="36"/>
        <v>-</v>
      </c>
      <c r="P105" s="278">
        <f t="shared" si="26"/>
        <v>0</v>
      </c>
      <c r="Q105" s="110"/>
      <c r="R105" s="278">
        <f t="shared" si="18"/>
        <v>0</v>
      </c>
      <c r="S105" s="278">
        <f t="shared" si="19"/>
        <v>0</v>
      </c>
      <c r="T105" s="278">
        <f t="shared" si="20"/>
        <v>0</v>
      </c>
      <c r="U105" s="278">
        <f t="shared" si="37"/>
        <v>0</v>
      </c>
      <c r="V105" s="278">
        <f t="shared" si="37"/>
        <v>0</v>
      </c>
      <c r="W105" s="110"/>
      <c r="X105" s="278">
        <f t="shared" si="31"/>
        <v>0</v>
      </c>
      <c r="Y105" s="278">
        <f t="shared" si="31"/>
        <v>0</v>
      </c>
      <c r="Z105" s="278">
        <f t="shared" si="31"/>
        <v>0</v>
      </c>
      <c r="AA105" s="278">
        <f t="shared" si="38"/>
        <v>0</v>
      </c>
      <c r="AB105" s="278">
        <f t="shared" si="38"/>
        <v>0</v>
      </c>
      <c r="AC105" s="188"/>
      <c r="AD105" s="88"/>
    </row>
    <row r="106" spans="2:30" x14ac:dyDescent="0.2">
      <c r="B106" s="88"/>
      <c r="C106" s="108"/>
      <c r="D106" s="115"/>
      <c r="E106" s="115"/>
      <c r="F106" s="150"/>
      <c r="G106" s="132"/>
      <c r="H106" s="286"/>
      <c r="I106" s="132"/>
      <c r="J106" s="132"/>
      <c r="K106" s="110"/>
      <c r="L106" s="113">
        <f t="shared" si="33"/>
        <v>0</v>
      </c>
      <c r="M106" s="278">
        <f t="shared" si="34"/>
        <v>0</v>
      </c>
      <c r="N106" s="278">
        <f t="shared" si="35"/>
        <v>0</v>
      </c>
      <c r="O106" s="166" t="str">
        <f t="shared" si="36"/>
        <v>-</v>
      </c>
      <c r="P106" s="278">
        <f t="shared" si="26"/>
        <v>0</v>
      </c>
      <c r="Q106" s="110"/>
      <c r="R106" s="278">
        <f t="shared" si="18"/>
        <v>0</v>
      </c>
      <c r="S106" s="278">
        <f t="shared" si="19"/>
        <v>0</v>
      </c>
      <c r="T106" s="278">
        <f t="shared" si="20"/>
        <v>0</v>
      </c>
      <c r="U106" s="278">
        <f t="shared" si="37"/>
        <v>0</v>
      </c>
      <c r="V106" s="278">
        <f t="shared" si="37"/>
        <v>0</v>
      </c>
      <c r="W106" s="110"/>
      <c r="X106" s="278">
        <f t="shared" si="31"/>
        <v>0</v>
      </c>
      <c r="Y106" s="278">
        <f t="shared" si="31"/>
        <v>0</v>
      </c>
      <c r="Z106" s="278">
        <f t="shared" si="31"/>
        <v>0</v>
      </c>
      <c r="AA106" s="278">
        <f t="shared" si="38"/>
        <v>0</v>
      </c>
      <c r="AB106" s="278">
        <f t="shared" si="38"/>
        <v>0</v>
      </c>
      <c r="AC106" s="188"/>
      <c r="AD106" s="88"/>
    </row>
    <row r="107" spans="2:30" x14ac:dyDescent="0.2">
      <c r="B107" s="88"/>
      <c r="C107" s="108"/>
      <c r="D107" s="115"/>
      <c r="E107" s="115"/>
      <c r="F107" s="150"/>
      <c r="G107" s="132"/>
      <c r="H107" s="286"/>
      <c r="I107" s="132"/>
      <c r="J107" s="132"/>
      <c r="K107" s="110"/>
      <c r="L107" s="113">
        <f t="shared" si="33"/>
        <v>0</v>
      </c>
      <c r="M107" s="278">
        <f t="shared" si="34"/>
        <v>0</v>
      </c>
      <c r="N107" s="278">
        <f t="shared" si="35"/>
        <v>0</v>
      </c>
      <c r="O107" s="166" t="str">
        <f t="shared" si="36"/>
        <v>-</v>
      </c>
      <c r="P107" s="278">
        <f t="shared" si="26"/>
        <v>0</v>
      </c>
      <c r="Q107" s="110"/>
      <c r="R107" s="278">
        <f t="shared" si="18"/>
        <v>0</v>
      </c>
      <c r="S107" s="278">
        <f t="shared" si="19"/>
        <v>0</v>
      </c>
      <c r="T107" s="278">
        <f t="shared" si="20"/>
        <v>0</v>
      </c>
      <c r="U107" s="278">
        <f t="shared" si="37"/>
        <v>0</v>
      </c>
      <c r="V107" s="278">
        <f t="shared" si="37"/>
        <v>0</v>
      </c>
      <c r="W107" s="110"/>
      <c r="X107" s="278">
        <f t="shared" si="31"/>
        <v>0</v>
      </c>
      <c r="Y107" s="278">
        <f t="shared" si="31"/>
        <v>0</v>
      </c>
      <c r="Z107" s="278">
        <f t="shared" si="31"/>
        <v>0</v>
      </c>
      <c r="AA107" s="278">
        <f t="shared" si="38"/>
        <v>0</v>
      </c>
      <c r="AB107" s="278">
        <f t="shared" si="38"/>
        <v>0</v>
      </c>
      <c r="AC107" s="188"/>
      <c r="AD107" s="88"/>
    </row>
    <row r="108" spans="2:30" x14ac:dyDescent="0.2">
      <c r="B108" s="88"/>
      <c r="C108" s="108"/>
      <c r="D108" s="115"/>
      <c r="E108" s="115"/>
      <c r="F108" s="150"/>
      <c r="G108" s="132"/>
      <c r="H108" s="286"/>
      <c r="I108" s="132"/>
      <c r="J108" s="132"/>
      <c r="K108" s="110"/>
      <c r="L108" s="113">
        <f t="shared" si="33"/>
        <v>0</v>
      </c>
      <c r="M108" s="278">
        <f t="shared" si="34"/>
        <v>0</v>
      </c>
      <c r="N108" s="278">
        <f t="shared" si="35"/>
        <v>0</v>
      </c>
      <c r="O108" s="166" t="str">
        <f t="shared" si="36"/>
        <v>-</v>
      </c>
      <c r="P108" s="278">
        <f t="shared" si="26"/>
        <v>0</v>
      </c>
      <c r="Q108" s="110"/>
      <c r="R108" s="278">
        <f t="shared" si="18"/>
        <v>0</v>
      </c>
      <c r="S108" s="278">
        <f t="shared" si="19"/>
        <v>0</v>
      </c>
      <c r="T108" s="278">
        <f t="shared" si="20"/>
        <v>0</v>
      </c>
      <c r="U108" s="278">
        <f t="shared" si="37"/>
        <v>0</v>
      </c>
      <c r="V108" s="278">
        <f t="shared" si="37"/>
        <v>0</v>
      </c>
      <c r="W108" s="110"/>
      <c r="X108" s="278">
        <f t="shared" si="31"/>
        <v>0</v>
      </c>
      <c r="Y108" s="278">
        <f t="shared" si="31"/>
        <v>0</v>
      </c>
      <c r="Z108" s="278">
        <f t="shared" si="31"/>
        <v>0</v>
      </c>
      <c r="AA108" s="278">
        <f t="shared" si="38"/>
        <v>0</v>
      </c>
      <c r="AB108" s="278">
        <f t="shared" si="38"/>
        <v>0</v>
      </c>
      <c r="AC108" s="188"/>
      <c r="AD108" s="88"/>
    </row>
    <row r="109" spans="2:30" x14ac:dyDescent="0.2">
      <c r="B109" s="88"/>
      <c r="C109" s="108"/>
      <c r="D109" s="115"/>
      <c r="E109" s="115"/>
      <c r="F109" s="150"/>
      <c r="G109" s="132"/>
      <c r="H109" s="286"/>
      <c r="I109" s="132"/>
      <c r="J109" s="132"/>
      <c r="K109" s="110"/>
      <c r="L109" s="113">
        <f t="shared" si="33"/>
        <v>0</v>
      </c>
      <c r="M109" s="278">
        <f t="shared" si="34"/>
        <v>0</v>
      </c>
      <c r="N109" s="278">
        <f t="shared" si="35"/>
        <v>0</v>
      </c>
      <c r="O109" s="166" t="str">
        <f t="shared" si="36"/>
        <v>-</v>
      </c>
      <c r="P109" s="278">
        <f t="shared" si="26"/>
        <v>0</v>
      </c>
      <c r="Q109" s="110"/>
      <c r="R109" s="278">
        <f t="shared" si="18"/>
        <v>0</v>
      </c>
      <c r="S109" s="278">
        <f t="shared" si="19"/>
        <v>0</v>
      </c>
      <c r="T109" s="278">
        <f t="shared" si="20"/>
        <v>0</v>
      </c>
      <c r="U109" s="278">
        <f t="shared" si="37"/>
        <v>0</v>
      </c>
      <c r="V109" s="278">
        <f t="shared" si="37"/>
        <v>0</v>
      </c>
      <c r="W109" s="110"/>
      <c r="X109" s="278">
        <f t="shared" ref="X109:Z128" si="39">IF(X$8=$I109,($G109*$H109),0)</f>
        <v>0</v>
      </c>
      <c r="Y109" s="278">
        <f t="shared" si="39"/>
        <v>0</v>
      </c>
      <c r="Z109" s="278">
        <f t="shared" si="39"/>
        <v>0</v>
      </c>
      <c r="AA109" s="278">
        <f t="shared" si="38"/>
        <v>0</v>
      </c>
      <c r="AB109" s="278">
        <f t="shared" si="38"/>
        <v>0</v>
      </c>
      <c r="AC109" s="188"/>
      <c r="AD109" s="88"/>
    </row>
    <row r="110" spans="2:30" x14ac:dyDescent="0.2">
      <c r="B110" s="88"/>
      <c r="C110" s="108"/>
      <c r="D110" s="115"/>
      <c r="E110" s="115"/>
      <c r="F110" s="150"/>
      <c r="G110" s="132"/>
      <c r="H110" s="286"/>
      <c r="I110" s="132"/>
      <c r="J110" s="132"/>
      <c r="K110" s="110"/>
      <c r="L110" s="113">
        <f t="shared" si="33"/>
        <v>0</v>
      </c>
      <c r="M110" s="278">
        <f t="shared" si="34"/>
        <v>0</v>
      </c>
      <c r="N110" s="278">
        <f t="shared" si="35"/>
        <v>0</v>
      </c>
      <c r="O110" s="166" t="str">
        <f t="shared" si="36"/>
        <v>-</v>
      </c>
      <c r="P110" s="278">
        <f t="shared" ref="P110:P136" si="40">IF(J110="geen",IF(I110&lt;$R$8,G110*H110,0),IF(I110&gt;=$R$8,0,IF((H110*G110-(R$8-I110)*N110)&lt;0,0,H110*G110-(R$8-I110)*N110)))</f>
        <v>0</v>
      </c>
      <c r="Q110" s="110"/>
      <c r="R110" s="278">
        <f t="shared" si="18"/>
        <v>0</v>
      </c>
      <c r="S110" s="278">
        <f t="shared" si="19"/>
        <v>0</v>
      </c>
      <c r="T110" s="278">
        <f t="shared" si="20"/>
        <v>0</v>
      </c>
      <c r="U110" s="278">
        <f t="shared" si="37"/>
        <v>0</v>
      </c>
      <c r="V110" s="278">
        <f t="shared" si="37"/>
        <v>0</v>
      </c>
      <c r="W110" s="110"/>
      <c r="X110" s="278">
        <f t="shared" si="39"/>
        <v>0</v>
      </c>
      <c r="Y110" s="278">
        <f t="shared" si="39"/>
        <v>0</v>
      </c>
      <c r="Z110" s="278">
        <f t="shared" si="39"/>
        <v>0</v>
      </c>
      <c r="AA110" s="278">
        <f t="shared" ref="AA110:AB119" si="41">IF(AA$8=$I110,($G110*$H110),0)</f>
        <v>0</v>
      </c>
      <c r="AB110" s="278">
        <f t="shared" si="41"/>
        <v>0</v>
      </c>
      <c r="AC110" s="188"/>
      <c r="AD110" s="88"/>
    </row>
    <row r="111" spans="2:30" x14ac:dyDescent="0.2">
      <c r="B111" s="88"/>
      <c r="C111" s="108"/>
      <c r="D111" s="115"/>
      <c r="E111" s="115"/>
      <c r="F111" s="150"/>
      <c r="G111" s="132"/>
      <c r="H111" s="286"/>
      <c r="I111" s="132"/>
      <c r="J111" s="132"/>
      <c r="K111" s="110"/>
      <c r="L111" s="113">
        <f t="shared" si="33"/>
        <v>0</v>
      </c>
      <c r="M111" s="278">
        <f t="shared" si="34"/>
        <v>0</v>
      </c>
      <c r="N111" s="278">
        <f t="shared" si="35"/>
        <v>0</v>
      </c>
      <c r="O111" s="166" t="str">
        <f t="shared" si="36"/>
        <v>-</v>
      </c>
      <c r="P111" s="278">
        <f t="shared" si="40"/>
        <v>0</v>
      </c>
      <c r="Q111" s="110"/>
      <c r="R111" s="278">
        <f t="shared" si="18"/>
        <v>0</v>
      </c>
      <c r="S111" s="278">
        <f t="shared" si="19"/>
        <v>0</v>
      </c>
      <c r="T111" s="278">
        <f t="shared" si="20"/>
        <v>0</v>
      </c>
      <c r="U111" s="278">
        <f t="shared" si="37"/>
        <v>0</v>
      </c>
      <c r="V111" s="278">
        <f t="shared" si="37"/>
        <v>0</v>
      </c>
      <c r="W111" s="110"/>
      <c r="X111" s="278">
        <f t="shared" si="39"/>
        <v>0</v>
      </c>
      <c r="Y111" s="278">
        <f t="shared" si="39"/>
        <v>0</v>
      </c>
      <c r="Z111" s="278">
        <f t="shared" si="39"/>
        <v>0</v>
      </c>
      <c r="AA111" s="278">
        <f t="shared" si="41"/>
        <v>0</v>
      </c>
      <c r="AB111" s="278">
        <f t="shared" si="41"/>
        <v>0</v>
      </c>
      <c r="AC111" s="188"/>
      <c r="AD111" s="88"/>
    </row>
    <row r="112" spans="2:30" x14ac:dyDescent="0.2">
      <c r="B112" s="88"/>
      <c r="C112" s="108"/>
      <c r="D112" s="115"/>
      <c r="E112" s="115"/>
      <c r="F112" s="150"/>
      <c r="G112" s="132"/>
      <c r="H112" s="286"/>
      <c r="I112" s="132"/>
      <c r="J112" s="132"/>
      <c r="K112" s="110"/>
      <c r="L112" s="113">
        <f t="shared" si="33"/>
        <v>0</v>
      </c>
      <c r="M112" s="278">
        <f t="shared" si="34"/>
        <v>0</v>
      </c>
      <c r="N112" s="278">
        <f t="shared" si="35"/>
        <v>0</v>
      </c>
      <c r="O112" s="166" t="str">
        <f t="shared" si="36"/>
        <v>-</v>
      </c>
      <c r="P112" s="278">
        <f t="shared" si="40"/>
        <v>0</v>
      </c>
      <c r="Q112" s="110"/>
      <c r="R112" s="278">
        <f t="shared" si="18"/>
        <v>0</v>
      </c>
      <c r="S112" s="278">
        <f t="shared" si="19"/>
        <v>0</v>
      </c>
      <c r="T112" s="278">
        <f t="shared" si="20"/>
        <v>0</v>
      </c>
      <c r="U112" s="278">
        <f t="shared" si="37"/>
        <v>0</v>
      </c>
      <c r="V112" s="278">
        <f t="shared" si="37"/>
        <v>0</v>
      </c>
      <c r="W112" s="110"/>
      <c r="X112" s="278">
        <f t="shared" si="39"/>
        <v>0</v>
      </c>
      <c r="Y112" s="278">
        <f t="shared" si="39"/>
        <v>0</v>
      </c>
      <c r="Z112" s="278">
        <f t="shared" si="39"/>
        <v>0</v>
      </c>
      <c r="AA112" s="278">
        <f t="shared" si="41"/>
        <v>0</v>
      </c>
      <c r="AB112" s="278">
        <f t="shared" si="41"/>
        <v>0</v>
      </c>
      <c r="AC112" s="188"/>
      <c r="AD112" s="88"/>
    </row>
    <row r="113" spans="2:30" x14ac:dyDescent="0.2">
      <c r="B113" s="88"/>
      <c r="C113" s="108"/>
      <c r="D113" s="115"/>
      <c r="E113" s="115"/>
      <c r="F113" s="150"/>
      <c r="G113" s="132"/>
      <c r="H113" s="286"/>
      <c r="I113" s="132"/>
      <c r="J113" s="132"/>
      <c r="K113" s="110"/>
      <c r="L113" s="113">
        <f t="shared" si="33"/>
        <v>0</v>
      </c>
      <c r="M113" s="278">
        <f t="shared" si="34"/>
        <v>0</v>
      </c>
      <c r="N113" s="278">
        <f t="shared" si="35"/>
        <v>0</v>
      </c>
      <c r="O113" s="166" t="str">
        <f t="shared" si="36"/>
        <v>-</v>
      </c>
      <c r="P113" s="278">
        <f t="shared" si="40"/>
        <v>0</v>
      </c>
      <c r="Q113" s="110"/>
      <c r="R113" s="278">
        <f t="shared" si="18"/>
        <v>0</v>
      </c>
      <c r="S113" s="278">
        <f t="shared" si="19"/>
        <v>0</v>
      </c>
      <c r="T113" s="278">
        <f t="shared" si="20"/>
        <v>0</v>
      </c>
      <c r="U113" s="278">
        <f t="shared" si="37"/>
        <v>0</v>
      </c>
      <c r="V113" s="278">
        <f t="shared" si="37"/>
        <v>0</v>
      </c>
      <c r="W113" s="110"/>
      <c r="X113" s="278">
        <f t="shared" si="39"/>
        <v>0</v>
      </c>
      <c r="Y113" s="278">
        <f t="shared" si="39"/>
        <v>0</v>
      </c>
      <c r="Z113" s="278">
        <f t="shared" si="39"/>
        <v>0</v>
      </c>
      <c r="AA113" s="278">
        <f t="shared" si="41"/>
        <v>0</v>
      </c>
      <c r="AB113" s="278">
        <f t="shared" si="41"/>
        <v>0</v>
      </c>
      <c r="AC113" s="188"/>
      <c r="AD113" s="88"/>
    </row>
    <row r="114" spans="2:30" x14ac:dyDescent="0.2">
      <c r="B114" s="88"/>
      <c r="C114" s="108"/>
      <c r="D114" s="115"/>
      <c r="E114" s="115"/>
      <c r="F114" s="150"/>
      <c r="G114" s="132"/>
      <c r="H114" s="286"/>
      <c r="I114" s="132"/>
      <c r="J114" s="132"/>
      <c r="K114" s="110"/>
      <c r="L114" s="113">
        <f t="shared" si="33"/>
        <v>0</v>
      </c>
      <c r="M114" s="278">
        <f t="shared" si="34"/>
        <v>0</v>
      </c>
      <c r="N114" s="278">
        <f t="shared" si="35"/>
        <v>0</v>
      </c>
      <c r="O114" s="166" t="str">
        <f t="shared" si="36"/>
        <v>-</v>
      </c>
      <c r="P114" s="278">
        <f t="shared" si="40"/>
        <v>0</v>
      </c>
      <c r="Q114" s="110"/>
      <c r="R114" s="278">
        <f t="shared" si="18"/>
        <v>0</v>
      </c>
      <c r="S114" s="278">
        <f t="shared" si="19"/>
        <v>0</v>
      </c>
      <c r="T114" s="278">
        <f t="shared" si="20"/>
        <v>0</v>
      </c>
      <c r="U114" s="278">
        <f t="shared" si="37"/>
        <v>0</v>
      </c>
      <c r="V114" s="278">
        <f t="shared" si="37"/>
        <v>0</v>
      </c>
      <c r="W114" s="110"/>
      <c r="X114" s="278">
        <f t="shared" si="39"/>
        <v>0</v>
      </c>
      <c r="Y114" s="278">
        <f t="shared" si="39"/>
        <v>0</v>
      </c>
      <c r="Z114" s="278">
        <f t="shared" si="39"/>
        <v>0</v>
      </c>
      <c r="AA114" s="278">
        <f t="shared" si="41"/>
        <v>0</v>
      </c>
      <c r="AB114" s="278">
        <f t="shared" si="41"/>
        <v>0</v>
      </c>
      <c r="AC114" s="188"/>
      <c r="AD114" s="88"/>
    </row>
    <row r="115" spans="2:30" x14ac:dyDescent="0.2">
      <c r="B115" s="88"/>
      <c r="C115" s="108"/>
      <c r="D115" s="115"/>
      <c r="E115" s="115"/>
      <c r="F115" s="150"/>
      <c r="G115" s="132"/>
      <c r="H115" s="286"/>
      <c r="I115" s="132"/>
      <c r="J115" s="132"/>
      <c r="K115" s="110"/>
      <c r="L115" s="113">
        <f t="shared" si="33"/>
        <v>0</v>
      </c>
      <c r="M115" s="278">
        <f t="shared" si="34"/>
        <v>0</v>
      </c>
      <c r="N115" s="278">
        <f t="shared" si="35"/>
        <v>0</v>
      </c>
      <c r="O115" s="166" t="str">
        <f t="shared" si="36"/>
        <v>-</v>
      </c>
      <c r="P115" s="278">
        <f t="shared" si="40"/>
        <v>0</v>
      </c>
      <c r="Q115" s="110"/>
      <c r="R115" s="278">
        <f t="shared" si="18"/>
        <v>0</v>
      </c>
      <c r="S115" s="278">
        <f t="shared" si="19"/>
        <v>0</v>
      </c>
      <c r="T115" s="278">
        <f t="shared" si="20"/>
        <v>0</v>
      </c>
      <c r="U115" s="278">
        <f t="shared" si="37"/>
        <v>0</v>
      </c>
      <c r="V115" s="278">
        <f t="shared" si="37"/>
        <v>0</v>
      </c>
      <c r="W115" s="110"/>
      <c r="X115" s="278">
        <f t="shared" si="39"/>
        <v>0</v>
      </c>
      <c r="Y115" s="278">
        <f t="shared" si="39"/>
        <v>0</v>
      </c>
      <c r="Z115" s="278">
        <f t="shared" si="39"/>
        <v>0</v>
      </c>
      <c r="AA115" s="278">
        <f t="shared" si="41"/>
        <v>0</v>
      </c>
      <c r="AB115" s="278">
        <f t="shared" si="41"/>
        <v>0</v>
      </c>
      <c r="AC115" s="188"/>
      <c r="AD115" s="88"/>
    </row>
    <row r="116" spans="2:30" x14ac:dyDescent="0.2">
      <c r="B116" s="88"/>
      <c r="C116" s="108"/>
      <c r="D116" s="115"/>
      <c r="E116" s="115"/>
      <c r="F116" s="150"/>
      <c r="G116" s="132"/>
      <c r="H116" s="286"/>
      <c r="I116" s="132"/>
      <c r="J116" s="132"/>
      <c r="K116" s="110"/>
      <c r="L116" s="113">
        <f t="shared" si="33"/>
        <v>0</v>
      </c>
      <c r="M116" s="278">
        <f t="shared" si="34"/>
        <v>0</v>
      </c>
      <c r="N116" s="278">
        <f t="shared" si="35"/>
        <v>0</v>
      </c>
      <c r="O116" s="166" t="str">
        <f t="shared" si="36"/>
        <v>-</v>
      </c>
      <c r="P116" s="278">
        <f t="shared" si="40"/>
        <v>0</v>
      </c>
      <c r="Q116" s="110"/>
      <c r="R116" s="278">
        <f t="shared" si="18"/>
        <v>0</v>
      </c>
      <c r="S116" s="278">
        <f t="shared" si="19"/>
        <v>0</v>
      </c>
      <c r="T116" s="278">
        <f t="shared" si="20"/>
        <v>0</v>
      </c>
      <c r="U116" s="278">
        <f t="shared" si="37"/>
        <v>0</v>
      </c>
      <c r="V116" s="278">
        <f t="shared" si="37"/>
        <v>0</v>
      </c>
      <c r="W116" s="110"/>
      <c r="X116" s="278">
        <f t="shared" si="39"/>
        <v>0</v>
      </c>
      <c r="Y116" s="278">
        <f t="shared" si="39"/>
        <v>0</v>
      </c>
      <c r="Z116" s="278">
        <f t="shared" si="39"/>
        <v>0</v>
      </c>
      <c r="AA116" s="278">
        <f t="shared" si="41"/>
        <v>0</v>
      </c>
      <c r="AB116" s="278">
        <f t="shared" si="41"/>
        <v>0</v>
      </c>
      <c r="AC116" s="188"/>
      <c r="AD116" s="88"/>
    </row>
    <row r="117" spans="2:30" x14ac:dyDescent="0.2">
      <c r="B117" s="88"/>
      <c r="C117" s="108"/>
      <c r="D117" s="115"/>
      <c r="E117" s="115"/>
      <c r="F117" s="150"/>
      <c r="G117" s="132"/>
      <c r="H117" s="286"/>
      <c r="I117" s="132"/>
      <c r="J117" s="132"/>
      <c r="K117" s="110"/>
      <c r="L117" s="113">
        <f t="shared" si="33"/>
        <v>0</v>
      </c>
      <c r="M117" s="278">
        <f t="shared" si="34"/>
        <v>0</v>
      </c>
      <c r="N117" s="278">
        <f t="shared" si="35"/>
        <v>0</v>
      </c>
      <c r="O117" s="166" t="str">
        <f t="shared" si="36"/>
        <v>-</v>
      </c>
      <c r="P117" s="278">
        <f t="shared" si="40"/>
        <v>0</v>
      </c>
      <c r="Q117" s="110"/>
      <c r="R117" s="278">
        <f t="shared" si="18"/>
        <v>0</v>
      </c>
      <c r="S117" s="278">
        <f t="shared" si="19"/>
        <v>0</v>
      </c>
      <c r="T117" s="278">
        <f t="shared" si="20"/>
        <v>0</v>
      </c>
      <c r="U117" s="278">
        <f t="shared" si="37"/>
        <v>0</v>
      </c>
      <c r="V117" s="278">
        <f t="shared" si="37"/>
        <v>0</v>
      </c>
      <c r="W117" s="110"/>
      <c r="X117" s="278">
        <f t="shared" si="39"/>
        <v>0</v>
      </c>
      <c r="Y117" s="278">
        <f t="shared" si="39"/>
        <v>0</v>
      </c>
      <c r="Z117" s="278">
        <f t="shared" si="39"/>
        <v>0</v>
      </c>
      <c r="AA117" s="278">
        <f t="shared" si="41"/>
        <v>0</v>
      </c>
      <c r="AB117" s="278">
        <f t="shared" si="41"/>
        <v>0</v>
      </c>
      <c r="AC117" s="188"/>
      <c r="AD117" s="88"/>
    </row>
    <row r="118" spans="2:30" x14ac:dyDescent="0.2">
      <c r="B118" s="88"/>
      <c r="C118" s="108"/>
      <c r="D118" s="115"/>
      <c r="E118" s="115"/>
      <c r="F118" s="150"/>
      <c r="G118" s="132"/>
      <c r="H118" s="286"/>
      <c r="I118" s="132"/>
      <c r="J118" s="132"/>
      <c r="K118" s="110"/>
      <c r="L118" s="113">
        <f t="shared" si="33"/>
        <v>0</v>
      </c>
      <c r="M118" s="278">
        <f t="shared" si="34"/>
        <v>0</v>
      </c>
      <c r="N118" s="278">
        <f t="shared" si="35"/>
        <v>0</v>
      </c>
      <c r="O118" s="166" t="str">
        <f t="shared" si="36"/>
        <v>-</v>
      </c>
      <c r="P118" s="278">
        <f t="shared" si="40"/>
        <v>0</v>
      </c>
      <c r="Q118" s="110"/>
      <c r="R118" s="278">
        <f t="shared" si="18"/>
        <v>0</v>
      </c>
      <c r="S118" s="278">
        <f t="shared" si="19"/>
        <v>0</v>
      </c>
      <c r="T118" s="278">
        <f t="shared" si="20"/>
        <v>0</v>
      </c>
      <c r="U118" s="278">
        <f t="shared" si="37"/>
        <v>0</v>
      </c>
      <c r="V118" s="278">
        <f t="shared" si="37"/>
        <v>0</v>
      </c>
      <c r="W118" s="110"/>
      <c r="X118" s="278">
        <f t="shared" si="39"/>
        <v>0</v>
      </c>
      <c r="Y118" s="278">
        <f t="shared" si="39"/>
        <v>0</v>
      </c>
      <c r="Z118" s="278">
        <f t="shared" si="39"/>
        <v>0</v>
      </c>
      <c r="AA118" s="278">
        <f t="shared" si="41"/>
        <v>0</v>
      </c>
      <c r="AB118" s="278">
        <f t="shared" si="41"/>
        <v>0</v>
      </c>
      <c r="AC118" s="188"/>
      <c r="AD118" s="88"/>
    </row>
    <row r="119" spans="2:30" x14ac:dyDescent="0.2">
      <c r="B119" s="88"/>
      <c r="C119" s="108"/>
      <c r="D119" s="115"/>
      <c r="E119" s="115"/>
      <c r="F119" s="150"/>
      <c r="G119" s="132"/>
      <c r="H119" s="286"/>
      <c r="I119" s="132"/>
      <c r="J119" s="132"/>
      <c r="K119" s="110"/>
      <c r="L119" s="113">
        <f t="shared" si="33"/>
        <v>0</v>
      </c>
      <c r="M119" s="278">
        <f t="shared" si="34"/>
        <v>0</v>
      </c>
      <c r="N119" s="278">
        <f t="shared" si="35"/>
        <v>0</v>
      </c>
      <c r="O119" s="166" t="str">
        <f t="shared" si="36"/>
        <v>-</v>
      </c>
      <c r="P119" s="278">
        <f t="shared" si="40"/>
        <v>0</v>
      </c>
      <c r="Q119" s="110"/>
      <c r="R119" s="278">
        <f t="shared" si="18"/>
        <v>0</v>
      </c>
      <c r="S119" s="278">
        <f t="shared" si="19"/>
        <v>0</v>
      </c>
      <c r="T119" s="278">
        <f t="shared" si="20"/>
        <v>0</v>
      </c>
      <c r="U119" s="278">
        <f t="shared" si="37"/>
        <v>0</v>
      </c>
      <c r="V119" s="278">
        <f t="shared" si="37"/>
        <v>0</v>
      </c>
      <c r="W119" s="110"/>
      <c r="X119" s="278">
        <f t="shared" si="39"/>
        <v>0</v>
      </c>
      <c r="Y119" s="278">
        <f t="shared" si="39"/>
        <v>0</v>
      </c>
      <c r="Z119" s="278">
        <f t="shared" si="39"/>
        <v>0</v>
      </c>
      <c r="AA119" s="278">
        <f t="shared" si="41"/>
        <v>0</v>
      </c>
      <c r="AB119" s="278">
        <f t="shared" si="41"/>
        <v>0</v>
      </c>
      <c r="AC119" s="188"/>
      <c r="AD119" s="88"/>
    </row>
    <row r="120" spans="2:30" x14ac:dyDescent="0.2">
      <c r="B120" s="88"/>
      <c r="C120" s="108"/>
      <c r="D120" s="115"/>
      <c r="E120" s="115"/>
      <c r="F120" s="150"/>
      <c r="G120" s="132"/>
      <c r="H120" s="286"/>
      <c r="I120" s="132"/>
      <c r="J120" s="132"/>
      <c r="K120" s="110"/>
      <c r="L120" s="113">
        <f t="shared" si="33"/>
        <v>0</v>
      </c>
      <c r="M120" s="278">
        <f t="shared" si="34"/>
        <v>0</v>
      </c>
      <c r="N120" s="278">
        <f t="shared" si="35"/>
        <v>0</v>
      </c>
      <c r="O120" s="166" t="str">
        <f t="shared" si="36"/>
        <v>-</v>
      </c>
      <c r="P120" s="278">
        <f t="shared" si="40"/>
        <v>0</v>
      </c>
      <c r="Q120" s="110"/>
      <c r="R120" s="278">
        <f t="shared" si="18"/>
        <v>0</v>
      </c>
      <c r="S120" s="278">
        <f t="shared" si="19"/>
        <v>0</v>
      </c>
      <c r="T120" s="278">
        <f t="shared" si="20"/>
        <v>0</v>
      </c>
      <c r="U120" s="278">
        <f t="shared" si="37"/>
        <v>0</v>
      </c>
      <c r="V120" s="278">
        <f t="shared" si="37"/>
        <v>0</v>
      </c>
      <c r="W120" s="110"/>
      <c r="X120" s="278">
        <f t="shared" si="39"/>
        <v>0</v>
      </c>
      <c r="Y120" s="278">
        <f t="shared" si="39"/>
        <v>0</v>
      </c>
      <c r="Z120" s="278">
        <f t="shared" si="39"/>
        <v>0</v>
      </c>
      <c r="AA120" s="278">
        <f t="shared" ref="AA120:AB129" si="42">IF(AA$8=$I120,($G120*$H120),0)</f>
        <v>0</v>
      </c>
      <c r="AB120" s="278">
        <f t="shared" si="42"/>
        <v>0</v>
      </c>
      <c r="AC120" s="188"/>
      <c r="AD120" s="88"/>
    </row>
    <row r="121" spans="2:30" x14ac:dyDescent="0.2">
      <c r="B121" s="88"/>
      <c r="C121" s="108"/>
      <c r="D121" s="115"/>
      <c r="E121" s="115"/>
      <c r="F121" s="150"/>
      <c r="G121" s="132"/>
      <c r="H121" s="286"/>
      <c r="I121" s="132"/>
      <c r="J121" s="132"/>
      <c r="K121" s="110"/>
      <c r="L121" s="113">
        <f t="shared" si="33"/>
        <v>0</v>
      </c>
      <c r="M121" s="278">
        <f t="shared" si="34"/>
        <v>0</v>
      </c>
      <c r="N121" s="278">
        <f t="shared" si="35"/>
        <v>0</v>
      </c>
      <c r="O121" s="166" t="str">
        <f t="shared" si="36"/>
        <v>-</v>
      </c>
      <c r="P121" s="278">
        <f t="shared" si="40"/>
        <v>0</v>
      </c>
      <c r="Q121" s="110"/>
      <c r="R121" s="278">
        <f t="shared" si="18"/>
        <v>0</v>
      </c>
      <c r="S121" s="278">
        <f t="shared" si="19"/>
        <v>0</v>
      </c>
      <c r="T121" s="278">
        <f t="shared" si="20"/>
        <v>0</v>
      </c>
      <c r="U121" s="278">
        <f t="shared" si="37"/>
        <v>0</v>
      </c>
      <c r="V121" s="278">
        <f t="shared" si="37"/>
        <v>0</v>
      </c>
      <c r="W121" s="110"/>
      <c r="X121" s="278">
        <f t="shared" si="39"/>
        <v>0</v>
      </c>
      <c r="Y121" s="278">
        <f t="shared" si="39"/>
        <v>0</v>
      </c>
      <c r="Z121" s="278">
        <f t="shared" si="39"/>
        <v>0</v>
      </c>
      <c r="AA121" s="278">
        <f t="shared" si="42"/>
        <v>0</v>
      </c>
      <c r="AB121" s="278">
        <f t="shared" si="42"/>
        <v>0</v>
      </c>
      <c r="AC121" s="188"/>
      <c r="AD121" s="88"/>
    </row>
    <row r="122" spans="2:30" x14ac:dyDescent="0.2">
      <c r="B122" s="88"/>
      <c r="C122" s="108"/>
      <c r="D122" s="115"/>
      <c r="E122" s="115"/>
      <c r="F122" s="150"/>
      <c r="G122" s="132"/>
      <c r="H122" s="286"/>
      <c r="I122" s="132"/>
      <c r="J122" s="132"/>
      <c r="K122" s="110"/>
      <c r="L122" s="113">
        <f t="shared" si="33"/>
        <v>0</v>
      </c>
      <c r="M122" s="278">
        <f t="shared" si="34"/>
        <v>0</v>
      </c>
      <c r="N122" s="278">
        <f t="shared" si="35"/>
        <v>0</v>
      </c>
      <c r="O122" s="166" t="str">
        <f t="shared" si="36"/>
        <v>-</v>
      </c>
      <c r="P122" s="278">
        <f t="shared" si="40"/>
        <v>0</v>
      </c>
      <c r="Q122" s="110"/>
      <c r="R122" s="278">
        <f t="shared" si="18"/>
        <v>0</v>
      </c>
      <c r="S122" s="278">
        <f t="shared" si="19"/>
        <v>0</v>
      </c>
      <c r="T122" s="278">
        <f t="shared" si="20"/>
        <v>0</v>
      </c>
      <c r="U122" s="278">
        <f t="shared" si="37"/>
        <v>0</v>
      </c>
      <c r="V122" s="278">
        <f t="shared" si="37"/>
        <v>0</v>
      </c>
      <c r="W122" s="110"/>
      <c r="X122" s="278">
        <f t="shared" si="39"/>
        <v>0</v>
      </c>
      <c r="Y122" s="278">
        <f t="shared" si="39"/>
        <v>0</v>
      </c>
      <c r="Z122" s="278">
        <f t="shared" si="39"/>
        <v>0</v>
      </c>
      <c r="AA122" s="278">
        <f t="shared" si="42"/>
        <v>0</v>
      </c>
      <c r="AB122" s="278">
        <f t="shared" si="42"/>
        <v>0</v>
      </c>
      <c r="AC122" s="188"/>
      <c r="AD122" s="88"/>
    </row>
    <row r="123" spans="2:30" x14ac:dyDescent="0.2">
      <c r="B123" s="88"/>
      <c r="C123" s="108"/>
      <c r="D123" s="115"/>
      <c r="E123" s="115"/>
      <c r="F123" s="150"/>
      <c r="G123" s="132"/>
      <c r="H123" s="286"/>
      <c r="I123" s="132"/>
      <c r="J123" s="132"/>
      <c r="K123" s="110"/>
      <c r="L123" s="113">
        <f t="shared" si="33"/>
        <v>0</v>
      </c>
      <c r="M123" s="278">
        <f t="shared" si="34"/>
        <v>0</v>
      </c>
      <c r="N123" s="278">
        <f t="shared" si="35"/>
        <v>0</v>
      </c>
      <c r="O123" s="166" t="str">
        <f t="shared" si="36"/>
        <v>-</v>
      </c>
      <c r="P123" s="278">
        <f t="shared" si="40"/>
        <v>0</v>
      </c>
      <c r="Q123" s="110"/>
      <c r="R123" s="278">
        <f t="shared" si="18"/>
        <v>0</v>
      </c>
      <c r="S123" s="278">
        <f t="shared" si="19"/>
        <v>0</v>
      </c>
      <c r="T123" s="278">
        <f t="shared" si="20"/>
        <v>0</v>
      </c>
      <c r="U123" s="278">
        <f t="shared" si="37"/>
        <v>0</v>
      </c>
      <c r="V123" s="278">
        <f t="shared" si="37"/>
        <v>0</v>
      </c>
      <c r="W123" s="110"/>
      <c r="X123" s="278">
        <f t="shared" si="39"/>
        <v>0</v>
      </c>
      <c r="Y123" s="278">
        <f t="shared" si="39"/>
        <v>0</v>
      </c>
      <c r="Z123" s="278">
        <f t="shared" si="39"/>
        <v>0</v>
      </c>
      <c r="AA123" s="278">
        <f t="shared" si="42"/>
        <v>0</v>
      </c>
      <c r="AB123" s="278">
        <f t="shared" si="42"/>
        <v>0</v>
      </c>
      <c r="AC123" s="188"/>
      <c r="AD123" s="88"/>
    </row>
    <row r="124" spans="2:30" x14ac:dyDescent="0.2">
      <c r="B124" s="88"/>
      <c r="C124" s="108"/>
      <c r="D124" s="115"/>
      <c r="E124" s="115"/>
      <c r="F124" s="150"/>
      <c r="G124" s="132"/>
      <c r="H124" s="286"/>
      <c r="I124" s="132"/>
      <c r="J124" s="132"/>
      <c r="K124" s="110"/>
      <c r="L124" s="113">
        <f t="shared" si="33"/>
        <v>0</v>
      </c>
      <c r="M124" s="278">
        <f t="shared" si="34"/>
        <v>0</v>
      </c>
      <c r="N124" s="278">
        <f t="shared" si="35"/>
        <v>0</v>
      </c>
      <c r="O124" s="166" t="str">
        <f t="shared" si="36"/>
        <v>-</v>
      </c>
      <c r="P124" s="278">
        <f t="shared" si="40"/>
        <v>0</v>
      </c>
      <c r="Q124" s="110"/>
      <c r="R124" s="278">
        <f t="shared" si="18"/>
        <v>0</v>
      </c>
      <c r="S124" s="278">
        <f t="shared" si="19"/>
        <v>0</v>
      </c>
      <c r="T124" s="278">
        <f t="shared" si="20"/>
        <v>0</v>
      </c>
      <c r="U124" s="278">
        <f t="shared" si="37"/>
        <v>0</v>
      </c>
      <c r="V124" s="278">
        <f t="shared" si="37"/>
        <v>0</v>
      </c>
      <c r="W124" s="110"/>
      <c r="X124" s="278">
        <f t="shared" si="39"/>
        <v>0</v>
      </c>
      <c r="Y124" s="278">
        <f t="shared" si="39"/>
        <v>0</v>
      </c>
      <c r="Z124" s="278">
        <f t="shared" si="39"/>
        <v>0</v>
      </c>
      <c r="AA124" s="278">
        <f t="shared" si="42"/>
        <v>0</v>
      </c>
      <c r="AB124" s="278">
        <f t="shared" si="42"/>
        <v>0</v>
      </c>
      <c r="AC124" s="188"/>
      <c r="AD124" s="88"/>
    </row>
    <row r="125" spans="2:30" x14ac:dyDescent="0.2">
      <c r="B125" s="88"/>
      <c r="C125" s="108"/>
      <c r="D125" s="115"/>
      <c r="E125" s="115"/>
      <c r="F125" s="150"/>
      <c r="G125" s="132"/>
      <c r="H125" s="286"/>
      <c r="I125" s="132"/>
      <c r="J125" s="132"/>
      <c r="K125" s="110"/>
      <c r="L125" s="113">
        <f t="shared" si="33"/>
        <v>0</v>
      </c>
      <c r="M125" s="278">
        <f t="shared" si="34"/>
        <v>0</v>
      </c>
      <c r="N125" s="278">
        <f t="shared" si="35"/>
        <v>0</v>
      </c>
      <c r="O125" s="166" t="str">
        <f t="shared" si="36"/>
        <v>-</v>
      </c>
      <c r="P125" s="278">
        <f t="shared" si="40"/>
        <v>0</v>
      </c>
      <c r="Q125" s="110"/>
      <c r="R125" s="278">
        <f t="shared" si="18"/>
        <v>0</v>
      </c>
      <c r="S125" s="278">
        <f t="shared" si="19"/>
        <v>0</v>
      </c>
      <c r="T125" s="278">
        <f t="shared" si="20"/>
        <v>0</v>
      </c>
      <c r="U125" s="278">
        <f t="shared" si="37"/>
        <v>0</v>
      </c>
      <c r="V125" s="278">
        <f t="shared" si="37"/>
        <v>0</v>
      </c>
      <c r="W125" s="110"/>
      <c r="X125" s="278">
        <f t="shared" si="39"/>
        <v>0</v>
      </c>
      <c r="Y125" s="278">
        <f t="shared" si="39"/>
        <v>0</v>
      </c>
      <c r="Z125" s="278">
        <f t="shared" si="39"/>
        <v>0</v>
      </c>
      <c r="AA125" s="278">
        <f t="shared" si="42"/>
        <v>0</v>
      </c>
      <c r="AB125" s="278">
        <f t="shared" si="42"/>
        <v>0</v>
      </c>
      <c r="AC125" s="188"/>
      <c r="AD125" s="88"/>
    </row>
    <row r="126" spans="2:30" x14ac:dyDescent="0.2">
      <c r="B126" s="88"/>
      <c r="C126" s="108"/>
      <c r="D126" s="115"/>
      <c r="E126" s="115"/>
      <c r="F126" s="150"/>
      <c r="G126" s="132"/>
      <c r="H126" s="286"/>
      <c r="I126" s="132"/>
      <c r="J126" s="132"/>
      <c r="K126" s="110"/>
      <c r="L126" s="113">
        <f t="shared" si="33"/>
        <v>0</v>
      </c>
      <c r="M126" s="278">
        <f t="shared" si="34"/>
        <v>0</v>
      </c>
      <c r="N126" s="278">
        <f t="shared" si="35"/>
        <v>0</v>
      </c>
      <c r="O126" s="166" t="str">
        <f t="shared" si="36"/>
        <v>-</v>
      </c>
      <c r="P126" s="278">
        <f t="shared" si="40"/>
        <v>0</v>
      </c>
      <c r="Q126" s="110"/>
      <c r="R126" s="278">
        <f t="shared" si="18"/>
        <v>0</v>
      </c>
      <c r="S126" s="278">
        <f t="shared" si="19"/>
        <v>0</v>
      </c>
      <c r="T126" s="278">
        <f t="shared" si="20"/>
        <v>0</v>
      </c>
      <c r="U126" s="278">
        <f t="shared" si="37"/>
        <v>0</v>
      </c>
      <c r="V126" s="278">
        <f t="shared" si="37"/>
        <v>0</v>
      </c>
      <c r="W126" s="110"/>
      <c r="X126" s="278">
        <f t="shared" si="39"/>
        <v>0</v>
      </c>
      <c r="Y126" s="278">
        <f t="shared" si="39"/>
        <v>0</v>
      </c>
      <c r="Z126" s="278">
        <f t="shared" si="39"/>
        <v>0</v>
      </c>
      <c r="AA126" s="278">
        <f t="shared" si="42"/>
        <v>0</v>
      </c>
      <c r="AB126" s="278">
        <f t="shared" si="42"/>
        <v>0</v>
      </c>
      <c r="AC126" s="188"/>
      <c r="AD126" s="88"/>
    </row>
    <row r="127" spans="2:30" x14ac:dyDescent="0.2">
      <c r="B127" s="88"/>
      <c r="C127" s="108"/>
      <c r="D127" s="115"/>
      <c r="E127" s="115"/>
      <c r="F127" s="150"/>
      <c r="G127" s="132"/>
      <c r="H127" s="286"/>
      <c r="I127" s="132"/>
      <c r="J127" s="132"/>
      <c r="K127" s="110"/>
      <c r="L127" s="113">
        <f t="shared" si="33"/>
        <v>0</v>
      </c>
      <c r="M127" s="278">
        <f t="shared" si="34"/>
        <v>0</v>
      </c>
      <c r="N127" s="278">
        <f t="shared" si="35"/>
        <v>0</v>
      </c>
      <c r="O127" s="166" t="str">
        <f t="shared" si="36"/>
        <v>-</v>
      </c>
      <c r="P127" s="278">
        <f t="shared" si="40"/>
        <v>0</v>
      </c>
      <c r="Q127" s="110"/>
      <c r="R127" s="278">
        <f t="shared" si="18"/>
        <v>0</v>
      </c>
      <c r="S127" s="278">
        <f t="shared" si="19"/>
        <v>0</v>
      </c>
      <c r="T127" s="278">
        <f t="shared" si="20"/>
        <v>0</v>
      </c>
      <c r="U127" s="278">
        <f t="shared" si="37"/>
        <v>0</v>
      </c>
      <c r="V127" s="278">
        <f t="shared" si="37"/>
        <v>0</v>
      </c>
      <c r="W127" s="110"/>
      <c r="X127" s="278">
        <f t="shared" si="39"/>
        <v>0</v>
      </c>
      <c r="Y127" s="278">
        <f t="shared" si="39"/>
        <v>0</v>
      </c>
      <c r="Z127" s="278">
        <f t="shared" si="39"/>
        <v>0</v>
      </c>
      <c r="AA127" s="278">
        <f t="shared" si="42"/>
        <v>0</v>
      </c>
      <c r="AB127" s="278">
        <f t="shared" si="42"/>
        <v>0</v>
      </c>
      <c r="AC127" s="188"/>
      <c r="AD127" s="88"/>
    </row>
    <row r="128" spans="2:30" x14ac:dyDescent="0.2">
      <c r="B128" s="88"/>
      <c r="C128" s="108"/>
      <c r="D128" s="115"/>
      <c r="E128" s="115"/>
      <c r="F128" s="150"/>
      <c r="G128" s="132"/>
      <c r="H128" s="286"/>
      <c r="I128" s="132"/>
      <c r="J128" s="132"/>
      <c r="K128" s="110"/>
      <c r="L128" s="113">
        <f t="shared" si="33"/>
        <v>0</v>
      </c>
      <c r="M128" s="278">
        <f t="shared" si="34"/>
        <v>0</v>
      </c>
      <c r="N128" s="278">
        <f t="shared" si="35"/>
        <v>0</v>
      </c>
      <c r="O128" s="166" t="str">
        <f t="shared" si="36"/>
        <v>-</v>
      </c>
      <c r="P128" s="278">
        <f t="shared" si="40"/>
        <v>0</v>
      </c>
      <c r="Q128" s="110"/>
      <c r="R128" s="278">
        <f t="shared" si="18"/>
        <v>0</v>
      </c>
      <c r="S128" s="278">
        <f t="shared" si="19"/>
        <v>0</v>
      </c>
      <c r="T128" s="278">
        <f t="shared" si="20"/>
        <v>0</v>
      </c>
      <c r="U128" s="278">
        <f t="shared" si="37"/>
        <v>0</v>
      </c>
      <c r="V128" s="278">
        <f t="shared" si="37"/>
        <v>0</v>
      </c>
      <c r="W128" s="110"/>
      <c r="X128" s="278">
        <f t="shared" si="39"/>
        <v>0</v>
      </c>
      <c r="Y128" s="278">
        <f t="shared" si="39"/>
        <v>0</v>
      </c>
      <c r="Z128" s="278">
        <f t="shared" si="39"/>
        <v>0</v>
      </c>
      <c r="AA128" s="278">
        <f t="shared" si="42"/>
        <v>0</v>
      </c>
      <c r="AB128" s="278">
        <f t="shared" si="42"/>
        <v>0</v>
      </c>
      <c r="AC128" s="188"/>
      <c r="AD128" s="88"/>
    </row>
    <row r="129" spans="2:30" x14ac:dyDescent="0.2">
      <c r="B129" s="88"/>
      <c r="C129" s="108"/>
      <c r="D129" s="115"/>
      <c r="E129" s="115"/>
      <c r="F129" s="150"/>
      <c r="G129" s="132"/>
      <c r="H129" s="286"/>
      <c r="I129" s="132"/>
      <c r="J129" s="132"/>
      <c r="K129" s="110"/>
      <c r="L129" s="113">
        <f t="shared" si="33"/>
        <v>0</v>
      </c>
      <c r="M129" s="278">
        <f t="shared" si="34"/>
        <v>0</v>
      </c>
      <c r="N129" s="278">
        <f t="shared" si="35"/>
        <v>0</v>
      </c>
      <c r="O129" s="166" t="str">
        <f t="shared" si="36"/>
        <v>-</v>
      </c>
      <c r="P129" s="278">
        <f t="shared" si="40"/>
        <v>0</v>
      </c>
      <c r="Q129" s="110"/>
      <c r="R129" s="278">
        <f t="shared" si="18"/>
        <v>0</v>
      </c>
      <c r="S129" s="278">
        <f t="shared" si="19"/>
        <v>0</v>
      </c>
      <c r="T129" s="278">
        <f t="shared" si="20"/>
        <v>0</v>
      </c>
      <c r="U129" s="278">
        <f t="shared" si="37"/>
        <v>0</v>
      </c>
      <c r="V129" s="278">
        <f t="shared" si="37"/>
        <v>0</v>
      </c>
      <c r="W129" s="110"/>
      <c r="X129" s="278">
        <f t="shared" ref="X129:Z137" si="43">IF(X$8=$I129,($G129*$H129),0)</f>
        <v>0</v>
      </c>
      <c r="Y129" s="278">
        <f t="shared" si="43"/>
        <v>0</v>
      </c>
      <c r="Z129" s="278">
        <f t="shared" si="43"/>
        <v>0</v>
      </c>
      <c r="AA129" s="278">
        <f t="shared" si="42"/>
        <v>0</v>
      </c>
      <c r="AB129" s="278">
        <f t="shared" si="42"/>
        <v>0</v>
      </c>
      <c r="AC129" s="188"/>
      <c r="AD129" s="88"/>
    </row>
    <row r="130" spans="2:30" x14ac:dyDescent="0.2">
      <c r="B130" s="88"/>
      <c r="C130" s="108"/>
      <c r="D130" s="115"/>
      <c r="E130" s="115"/>
      <c r="F130" s="150"/>
      <c r="G130" s="132"/>
      <c r="H130" s="286"/>
      <c r="I130" s="132"/>
      <c r="J130" s="132"/>
      <c r="K130" s="110"/>
      <c r="L130" s="113">
        <f t="shared" si="33"/>
        <v>0</v>
      </c>
      <c r="M130" s="278">
        <f t="shared" si="34"/>
        <v>0</v>
      </c>
      <c r="N130" s="278">
        <f t="shared" si="35"/>
        <v>0</v>
      </c>
      <c r="O130" s="166" t="str">
        <f t="shared" si="36"/>
        <v>-</v>
      </c>
      <c r="P130" s="278">
        <f t="shared" si="40"/>
        <v>0</v>
      </c>
      <c r="Q130" s="110"/>
      <c r="R130" s="278">
        <f t="shared" si="18"/>
        <v>0</v>
      </c>
      <c r="S130" s="278">
        <f t="shared" si="19"/>
        <v>0</v>
      </c>
      <c r="T130" s="278">
        <f t="shared" si="20"/>
        <v>0</v>
      </c>
      <c r="U130" s="278">
        <f t="shared" si="37"/>
        <v>0</v>
      </c>
      <c r="V130" s="278">
        <f t="shared" si="37"/>
        <v>0</v>
      </c>
      <c r="W130" s="110"/>
      <c r="X130" s="278">
        <f t="shared" si="43"/>
        <v>0</v>
      </c>
      <c r="Y130" s="278">
        <f t="shared" si="43"/>
        <v>0</v>
      </c>
      <c r="Z130" s="278">
        <f t="shared" si="43"/>
        <v>0</v>
      </c>
      <c r="AA130" s="278">
        <f t="shared" ref="AA130:AB135" si="44">IF(AA$8=$I130,($G130*$H130),0)</f>
        <v>0</v>
      </c>
      <c r="AB130" s="278">
        <f t="shared" si="44"/>
        <v>0</v>
      </c>
      <c r="AC130" s="188"/>
      <c r="AD130" s="88"/>
    </row>
    <row r="131" spans="2:30" x14ac:dyDescent="0.2">
      <c r="B131" s="88"/>
      <c r="C131" s="108"/>
      <c r="D131" s="115"/>
      <c r="E131" s="115"/>
      <c r="F131" s="150"/>
      <c r="G131" s="132"/>
      <c r="H131" s="286"/>
      <c r="I131" s="132"/>
      <c r="J131" s="132"/>
      <c r="K131" s="110"/>
      <c r="L131" s="113">
        <f t="shared" si="33"/>
        <v>0</v>
      </c>
      <c r="M131" s="278">
        <f t="shared" si="34"/>
        <v>0</v>
      </c>
      <c r="N131" s="278">
        <f t="shared" si="35"/>
        <v>0</v>
      </c>
      <c r="O131" s="166" t="str">
        <f t="shared" si="36"/>
        <v>-</v>
      </c>
      <c r="P131" s="278">
        <f t="shared" si="40"/>
        <v>0</v>
      </c>
      <c r="Q131" s="110"/>
      <c r="R131" s="278">
        <f t="shared" si="18"/>
        <v>0</v>
      </c>
      <c r="S131" s="278">
        <f t="shared" si="19"/>
        <v>0</v>
      </c>
      <c r="T131" s="278">
        <f t="shared" si="20"/>
        <v>0</v>
      </c>
      <c r="U131" s="278">
        <f t="shared" si="37"/>
        <v>0</v>
      </c>
      <c r="V131" s="278">
        <f t="shared" si="37"/>
        <v>0</v>
      </c>
      <c r="W131" s="110"/>
      <c r="X131" s="278">
        <f t="shared" si="43"/>
        <v>0</v>
      </c>
      <c r="Y131" s="278">
        <f t="shared" si="43"/>
        <v>0</v>
      </c>
      <c r="Z131" s="278">
        <f t="shared" si="43"/>
        <v>0</v>
      </c>
      <c r="AA131" s="278">
        <f t="shared" si="44"/>
        <v>0</v>
      </c>
      <c r="AB131" s="278">
        <f t="shared" si="44"/>
        <v>0</v>
      </c>
      <c r="AC131" s="188"/>
      <c r="AD131" s="88"/>
    </row>
    <row r="132" spans="2:30" x14ac:dyDescent="0.2">
      <c r="B132" s="88"/>
      <c r="C132" s="108"/>
      <c r="D132" s="115"/>
      <c r="E132" s="115"/>
      <c r="F132" s="150"/>
      <c r="G132" s="132"/>
      <c r="H132" s="286"/>
      <c r="I132" s="132"/>
      <c r="J132" s="132"/>
      <c r="K132" s="110"/>
      <c r="L132" s="113">
        <f t="shared" si="33"/>
        <v>0</v>
      </c>
      <c r="M132" s="278">
        <f t="shared" si="34"/>
        <v>0</v>
      </c>
      <c r="N132" s="278">
        <f t="shared" si="35"/>
        <v>0</v>
      </c>
      <c r="O132" s="166" t="str">
        <f t="shared" si="36"/>
        <v>-</v>
      </c>
      <c r="P132" s="278">
        <f t="shared" si="40"/>
        <v>0</v>
      </c>
      <c r="Q132" s="110"/>
      <c r="R132" s="278">
        <f t="shared" si="18"/>
        <v>0</v>
      </c>
      <c r="S132" s="278">
        <f t="shared" si="19"/>
        <v>0</v>
      </c>
      <c r="T132" s="278">
        <f t="shared" si="20"/>
        <v>0</v>
      </c>
      <c r="U132" s="278">
        <f t="shared" si="37"/>
        <v>0</v>
      </c>
      <c r="V132" s="278">
        <f t="shared" si="37"/>
        <v>0</v>
      </c>
      <c r="W132" s="110"/>
      <c r="X132" s="278">
        <f t="shared" si="43"/>
        <v>0</v>
      </c>
      <c r="Y132" s="278">
        <f t="shared" si="43"/>
        <v>0</v>
      </c>
      <c r="Z132" s="278">
        <f t="shared" si="43"/>
        <v>0</v>
      </c>
      <c r="AA132" s="278">
        <f t="shared" si="44"/>
        <v>0</v>
      </c>
      <c r="AB132" s="278">
        <f t="shared" si="44"/>
        <v>0</v>
      </c>
      <c r="AC132" s="188"/>
      <c r="AD132" s="88"/>
    </row>
    <row r="133" spans="2:30" x14ac:dyDescent="0.2">
      <c r="B133" s="88"/>
      <c r="C133" s="108"/>
      <c r="D133" s="115"/>
      <c r="E133" s="115"/>
      <c r="F133" s="150"/>
      <c r="G133" s="132"/>
      <c r="H133" s="286"/>
      <c r="I133" s="132"/>
      <c r="J133" s="132"/>
      <c r="K133" s="110"/>
      <c r="L133" s="113">
        <f t="shared" si="33"/>
        <v>0</v>
      </c>
      <c r="M133" s="278">
        <f t="shared" si="34"/>
        <v>0</v>
      </c>
      <c r="N133" s="278">
        <f t="shared" si="35"/>
        <v>0</v>
      </c>
      <c r="O133" s="166" t="str">
        <f t="shared" si="36"/>
        <v>-</v>
      </c>
      <c r="P133" s="278">
        <f t="shared" si="40"/>
        <v>0</v>
      </c>
      <c r="Q133" s="110"/>
      <c r="R133" s="278">
        <f t="shared" si="18"/>
        <v>0</v>
      </c>
      <c r="S133" s="278">
        <f t="shared" si="19"/>
        <v>0</v>
      </c>
      <c r="T133" s="278">
        <f t="shared" si="20"/>
        <v>0</v>
      </c>
      <c r="U133" s="278">
        <f t="shared" si="37"/>
        <v>0</v>
      </c>
      <c r="V133" s="278">
        <f t="shared" si="37"/>
        <v>0</v>
      </c>
      <c r="W133" s="110"/>
      <c r="X133" s="278">
        <f t="shared" si="43"/>
        <v>0</v>
      </c>
      <c r="Y133" s="278">
        <f t="shared" si="43"/>
        <v>0</v>
      </c>
      <c r="Z133" s="278">
        <f t="shared" si="43"/>
        <v>0</v>
      </c>
      <c r="AA133" s="278">
        <f t="shared" si="44"/>
        <v>0</v>
      </c>
      <c r="AB133" s="278">
        <f t="shared" si="44"/>
        <v>0</v>
      </c>
      <c r="AC133" s="188"/>
      <c r="AD133" s="88"/>
    </row>
    <row r="134" spans="2:30" x14ac:dyDescent="0.2">
      <c r="B134" s="88"/>
      <c r="C134" s="108"/>
      <c r="D134" s="115"/>
      <c r="E134" s="115"/>
      <c r="F134" s="150"/>
      <c r="G134" s="132"/>
      <c r="H134" s="286"/>
      <c r="I134" s="132"/>
      <c r="J134" s="132"/>
      <c r="K134" s="110"/>
      <c r="L134" s="113">
        <f t="shared" si="33"/>
        <v>0</v>
      </c>
      <c r="M134" s="278">
        <f t="shared" si="34"/>
        <v>0</v>
      </c>
      <c r="N134" s="278">
        <f t="shared" si="35"/>
        <v>0</v>
      </c>
      <c r="O134" s="166" t="str">
        <f t="shared" si="36"/>
        <v>-</v>
      </c>
      <c r="P134" s="278">
        <f t="shared" si="40"/>
        <v>0</v>
      </c>
      <c r="Q134" s="110"/>
      <c r="R134" s="278">
        <f t="shared" si="18"/>
        <v>0</v>
      </c>
      <c r="S134" s="278">
        <f t="shared" si="19"/>
        <v>0</v>
      </c>
      <c r="T134" s="278">
        <f t="shared" si="20"/>
        <v>0</v>
      </c>
      <c r="U134" s="278">
        <f t="shared" si="37"/>
        <v>0</v>
      </c>
      <c r="V134" s="278">
        <f t="shared" si="37"/>
        <v>0</v>
      </c>
      <c r="W134" s="110"/>
      <c r="X134" s="278">
        <f t="shared" si="43"/>
        <v>0</v>
      </c>
      <c r="Y134" s="278">
        <f t="shared" si="43"/>
        <v>0</v>
      </c>
      <c r="Z134" s="278">
        <f t="shared" si="43"/>
        <v>0</v>
      </c>
      <c r="AA134" s="278">
        <f t="shared" si="44"/>
        <v>0</v>
      </c>
      <c r="AB134" s="278">
        <f t="shared" si="44"/>
        <v>0</v>
      </c>
      <c r="AC134" s="188"/>
      <c r="AD134" s="88"/>
    </row>
    <row r="135" spans="2:30" x14ac:dyDescent="0.2">
      <c r="B135" s="88"/>
      <c r="C135" s="108"/>
      <c r="D135" s="115"/>
      <c r="E135" s="115"/>
      <c r="F135" s="150"/>
      <c r="G135" s="132"/>
      <c r="H135" s="286"/>
      <c r="I135" s="132"/>
      <c r="J135" s="132"/>
      <c r="K135" s="110"/>
      <c r="L135" s="113">
        <f t="shared" si="33"/>
        <v>0</v>
      </c>
      <c r="M135" s="278">
        <f t="shared" si="34"/>
        <v>0</v>
      </c>
      <c r="N135" s="278">
        <f t="shared" si="35"/>
        <v>0</v>
      </c>
      <c r="O135" s="166" t="str">
        <f t="shared" si="36"/>
        <v>-</v>
      </c>
      <c r="P135" s="278">
        <f t="shared" si="40"/>
        <v>0</v>
      </c>
      <c r="Q135" s="110"/>
      <c r="R135" s="278">
        <f t="shared" si="18"/>
        <v>0</v>
      </c>
      <c r="S135" s="278">
        <f t="shared" si="19"/>
        <v>0</v>
      </c>
      <c r="T135" s="278">
        <f t="shared" si="20"/>
        <v>0</v>
      </c>
      <c r="U135" s="278">
        <f t="shared" si="37"/>
        <v>0</v>
      </c>
      <c r="V135" s="278">
        <f t="shared" si="37"/>
        <v>0</v>
      </c>
      <c r="W135" s="110"/>
      <c r="X135" s="278">
        <f t="shared" si="43"/>
        <v>0</v>
      </c>
      <c r="Y135" s="278">
        <f t="shared" si="43"/>
        <v>0</v>
      </c>
      <c r="Z135" s="278">
        <f t="shared" si="43"/>
        <v>0</v>
      </c>
      <c r="AA135" s="278">
        <f t="shared" si="44"/>
        <v>0</v>
      </c>
      <c r="AB135" s="278">
        <f t="shared" si="44"/>
        <v>0</v>
      </c>
      <c r="AC135" s="188"/>
      <c r="AD135" s="88"/>
    </row>
    <row r="136" spans="2:30" x14ac:dyDescent="0.2">
      <c r="B136" s="88"/>
      <c r="C136" s="108"/>
      <c r="D136" s="115"/>
      <c r="E136" s="115"/>
      <c r="F136" s="150"/>
      <c r="G136" s="132"/>
      <c r="H136" s="286"/>
      <c r="I136" s="132"/>
      <c r="J136" s="132"/>
      <c r="K136" s="110"/>
      <c r="L136" s="113">
        <f t="shared" si="33"/>
        <v>0</v>
      </c>
      <c r="M136" s="278">
        <f t="shared" si="34"/>
        <v>0</v>
      </c>
      <c r="N136" s="278">
        <f t="shared" si="35"/>
        <v>0</v>
      </c>
      <c r="O136" s="166" t="str">
        <f t="shared" si="36"/>
        <v>-</v>
      </c>
      <c r="P136" s="278">
        <f t="shared" si="40"/>
        <v>0</v>
      </c>
      <c r="Q136" s="110"/>
      <c r="R136" s="278">
        <f t="shared" si="18"/>
        <v>0</v>
      </c>
      <c r="S136" s="278">
        <f t="shared" si="19"/>
        <v>0</v>
      </c>
      <c r="T136" s="278">
        <f t="shared" si="20"/>
        <v>0</v>
      </c>
      <c r="U136" s="278">
        <f t="shared" si="37"/>
        <v>0</v>
      </c>
      <c r="V136" s="278">
        <f t="shared" si="37"/>
        <v>0</v>
      </c>
      <c r="W136" s="110"/>
      <c r="X136" s="278">
        <f t="shared" si="43"/>
        <v>0</v>
      </c>
      <c r="Y136" s="278">
        <f t="shared" si="43"/>
        <v>0</v>
      </c>
      <c r="Z136" s="278">
        <f t="shared" si="43"/>
        <v>0</v>
      </c>
      <c r="AA136" s="278">
        <f>IF(AA$8=$I136,($G136*$H136),0)</f>
        <v>0</v>
      </c>
      <c r="AB136" s="278">
        <f>IF(AB$8=$I136,($G136*$H136),0)</f>
        <v>0</v>
      </c>
      <c r="AC136" s="188"/>
      <c r="AD136" s="88"/>
    </row>
    <row r="137" spans="2:30" x14ac:dyDescent="0.2">
      <c r="B137" s="88"/>
      <c r="C137" s="108"/>
      <c r="D137" s="115"/>
      <c r="E137" s="115"/>
      <c r="F137" s="150"/>
      <c r="G137" s="132"/>
      <c r="H137" s="286"/>
      <c r="I137" s="132"/>
      <c r="J137" s="132"/>
      <c r="K137" s="110"/>
      <c r="L137" s="113">
        <f t="shared" si="33"/>
        <v>0</v>
      </c>
      <c r="M137" s="278">
        <f t="shared" si="34"/>
        <v>0</v>
      </c>
      <c r="N137" s="278">
        <f t="shared" si="35"/>
        <v>0</v>
      </c>
      <c r="O137" s="166" t="str">
        <f t="shared" si="36"/>
        <v>-</v>
      </c>
      <c r="P137" s="278">
        <f>IF(J137="geen",IF(I137&lt;$R$8,G137*H137,0),IF(I137&gt;=$R$8,0,IF((H137*G137-(R$8-I137)*N137)&lt;0,0,H137*G137-(R$8-I137)*N137)))</f>
        <v>0</v>
      </c>
      <c r="Q137" s="110"/>
      <c r="R137" s="278">
        <f t="shared" si="18"/>
        <v>0</v>
      </c>
      <c r="S137" s="278">
        <f t="shared" si="19"/>
        <v>0</v>
      </c>
      <c r="T137" s="278">
        <f t="shared" si="20"/>
        <v>0</v>
      </c>
      <c r="U137" s="278">
        <f t="shared" si="37"/>
        <v>0</v>
      </c>
      <c r="V137" s="278">
        <f t="shared" si="37"/>
        <v>0</v>
      </c>
      <c r="W137" s="110"/>
      <c r="X137" s="278">
        <f t="shared" si="43"/>
        <v>0</v>
      </c>
      <c r="Y137" s="278">
        <f t="shared" si="43"/>
        <v>0</v>
      </c>
      <c r="Z137" s="278">
        <f t="shared" si="43"/>
        <v>0</v>
      </c>
      <c r="AA137" s="278">
        <f>IF(AA$8=$I137,($G137*$H137),0)</f>
        <v>0</v>
      </c>
      <c r="AB137" s="278">
        <f>IF(AB$8=$I137,($G137*$H137),0)</f>
        <v>0</v>
      </c>
      <c r="AC137" s="188"/>
      <c r="AD137" s="88"/>
    </row>
    <row r="138" spans="2:30" x14ac:dyDescent="0.2">
      <c r="B138" s="88"/>
      <c r="C138" s="108"/>
      <c r="D138" s="115"/>
      <c r="E138" s="115"/>
      <c r="F138" s="150"/>
      <c r="G138" s="132"/>
      <c r="H138" s="286"/>
      <c r="I138" s="132"/>
      <c r="J138" s="132"/>
      <c r="K138" s="110"/>
      <c r="L138" s="113">
        <f>IF(J138="geen",9999999999,J138)</f>
        <v>0</v>
      </c>
      <c r="M138" s="278">
        <f>G138*H138</f>
        <v>0</v>
      </c>
      <c r="N138" s="278">
        <f>IF(G138=0,0,(G138*H138)/L138)</f>
        <v>0</v>
      </c>
      <c r="O138" s="166" t="str">
        <f>IF(L138=0,"-",(IF(L138&gt;3000,"-",I138+L138-1)))</f>
        <v>-</v>
      </c>
      <c r="P138" s="278">
        <f>IF(J138="geen",IF(I138&lt;$R$8,G138*H138,0),IF(I138&gt;=$R$8,0,IF((H138*G138-(R$8-I138)*N138)&lt;0,0,H138*G138-(R$8-I138)*N138)))</f>
        <v>0</v>
      </c>
      <c r="Q138" s="110"/>
      <c r="R138" s="278">
        <f t="shared" ref="R138:T141" si="45">(IF(R$8&lt;$I138,0,IF($O138&lt;=R$8-1,0,$N138)))</f>
        <v>0</v>
      </c>
      <c r="S138" s="278">
        <f t="shared" si="45"/>
        <v>0</v>
      </c>
      <c r="T138" s="278">
        <f t="shared" si="45"/>
        <v>0</v>
      </c>
      <c r="U138" s="278">
        <f t="shared" ref="U138:V141" si="46">(IF(U$8&lt;$I138,0,IF($O138&lt;=U$8-1,0,$N138)))</f>
        <v>0</v>
      </c>
      <c r="V138" s="278">
        <f t="shared" si="46"/>
        <v>0</v>
      </c>
      <c r="W138" s="110"/>
      <c r="X138" s="278">
        <f t="shared" ref="X138:Z141" si="47">IF(X$8=$I138,($G138*$H138),0)</f>
        <v>0</v>
      </c>
      <c r="Y138" s="278">
        <f t="shared" si="47"/>
        <v>0</v>
      </c>
      <c r="Z138" s="278">
        <f t="shared" si="47"/>
        <v>0</v>
      </c>
      <c r="AA138" s="278">
        <f t="shared" ref="AA138:AB141" si="48">IF(AA$8=$I138,($G138*$H138),0)</f>
        <v>0</v>
      </c>
      <c r="AB138" s="278">
        <f t="shared" si="48"/>
        <v>0</v>
      </c>
      <c r="AC138" s="188"/>
      <c r="AD138" s="88"/>
    </row>
    <row r="139" spans="2:30" x14ac:dyDescent="0.2">
      <c r="B139" s="88"/>
      <c r="C139" s="108"/>
      <c r="D139" s="115"/>
      <c r="E139" s="115"/>
      <c r="F139" s="150"/>
      <c r="G139" s="132"/>
      <c r="H139" s="286"/>
      <c r="I139" s="132"/>
      <c r="J139" s="132"/>
      <c r="K139" s="110"/>
      <c r="L139" s="113">
        <f>IF(J139="geen",9999999999,J139)</f>
        <v>0</v>
      </c>
      <c r="M139" s="278">
        <f>G139*H139</f>
        <v>0</v>
      </c>
      <c r="N139" s="278">
        <f>IF(G139=0,0,(G139*H139)/L139)</f>
        <v>0</v>
      </c>
      <c r="O139" s="166" t="str">
        <f>IF(L139=0,"-",(IF(L139&gt;3000,"-",I139+L139-1)))</f>
        <v>-</v>
      </c>
      <c r="P139" s="278">
        <f>IF(J139="geen",IF(I139&lt;$R$8,G139*H139,0),IF(I139&gt;=$R$8,0,IF((H139*G139-(R$8-I139)*N139)&lt;0,0,H139*G139-(R$8-I139)*N139)))</f>
        <v>0</v>
      </c>
      <c r="Q139" s="110"/>
      <c r="R139" s="278">
        <f t="shared" si="45"/>
        <v>0</v>
      </c>
      <c r="S139" s="278">
        <f t="shared" si="45"/>
        <v>0</v>
      </c>
      <c r="T139" s="278">
        <f t="shared" si="45"/>
        <v>0</v>
      </c>
      <c r="U139" s="278">
        <f t="shared" si="46"/>
        <v>0</v>
      </c>
      <c r="V139" s="278">
        <f t="shared" si="46"/>
        <v>0</v>
      </c>
      <c r="W139" s="110"/>
      <c r="X139" s="278">
        <f t="shared" si="47"/>
        <v>0</v>
      </c>
      <c r="Y139" s="278">
        <f t="shared" si="47"/>
        <v>0</v>
      </c>
      <c r="Z139" s="278">
        <f t="shared" si="47"/>
        <v>0</v>
      </c>
      <c r="AA139" s="278">
        <f t="shared" si="48"/>
        <v>0</v>
      </c>
      <c r="AB139" s="278">
        <f t="shared" si="48"/>
        <v>0</v>
      </c>
      <c r="AC139" s="188"/>
      <c r="AD139" s="88"/>
    </row>
    <row r="140" spans="2:30" x14ac:dyDescent="0.2">
      <c r="B140" s="88"/>
      <c r="C140" s="108"/>
      <c r="D140" s="115"/>
      <c r="E140" s="115"/>
      <c r="F140" s="150"/>
      <c r="G140" s="132"/>
      <c r="H140" s="286"/>
      <c r="I140" s="132"/>
      <c r="J140" s="132"/>
      <c r="K140" s="110"/>
      <c r="L140" s="113">
        <f>IF(J140="geen",9999999999,J140)</f>
        <v>0</v>
      </c>
      <c r="M140" s="278">
        <f>G140*H140</f>
        <v>0</v>
      </c>
      <c r="N140" s="278">
        <f>IF(G140=0,0,(G140*H140)/L140)</f>
        <v>0</v>
      </c>
      <c r="O140" s="166" t="str">
        <f>IF(L140=0,"-",(IF(L140&gt;3000,"-",I140+L140-1)))</f>
        <v>-</v>
      </c>
      <c r="P140" s="278">
        <f>IF(J140="geen",IF(I140&lt;$R$8,G140*H140,0),IF(I140&gt;=$R$8,0,IF((H140*G140-(R$8-I140)*N140)&lt;0,0,H140*G140-(R$8-I140)*N140)))</f>
        <v>0</v>
      </c>
      <c r="Q140" s="110"/>
      <c r="R140" s="278">
        <f t="shared" si="45"/>
        <v>0</v>
      </c>
      <c r="S140" s="278">
        <f t="shared" si="45"/>
        <v>0</v>
      </c>
      <c r="T140" s="278">
        <f t="shared" si="45"/>
        <v>0</v>
      </c>
      <c r="U140" s="278">
        <f t="shared" si="46"/>
        <v>0</v>
      </c>
      <c r="V140" s="278">
        <f t="shared" si="46"/>
        <v>0</v>
      </c>
      <c r="W140" s="110"/>
      <c r="X140" s="278">
        <f t="shared" si="47"/>
        <v>0</v>
      </c>
      <c r="Y140" s="278">
        <f t="shared" si="47"/>
        <v>0</v>
      </c>
      <c r="Z140" s="278">
        <f t="shared" si="47"/>
        <v>0</v>
      </c>
      <c r="AA140" s="278">
        <f t="shared" si="48"/>
        <v>0</v>
      </c>
      <c r="AB140" s="278">
        <f t="shared" si="48"/>
        <v>0</v>
      </c>
      <c r="AC140" s="188"/>
      <c r="AD140" s="88"/>
    </row>
    <row r="141" spans="2:30" x14ac:dyDescent="0.2">
      <c r="B141" s="88"/>
      <c r="C141" s="108"/>
      <c r="D141" s="115"/>
      <c r="E141" s="115"/>
      <c r="F141" s="150"/>
      <c r="G141" s="132"/>
      <c r="H141" s="286"/>
      <c r="I141" s="132"/>
      <c r="J141" s="132"/>
      <c r="K141" s="110"/>
      <c r="L141" s="113">
        <f>IF(J141="geen",9999999999,J141)</f>
        <v>0</v>
      </c>
      <c r="M141" s="278">
        <f>G141*H141</f>
        <v>0</v>
      </c>
      <c r="N141" s="278">
        <f>IF(G141=0,0,(G141*H141)/L141)</f>
        <v>0</v>
      </c>
      <c r="O141" s="166" t="str">
        <f>IF(L141=0,"-",(IF(L141&gt;3000,"-",I141+L141-1)))</f>
        <v>-</v>
      </c>
      <c r="P141" s="278">
        <f>IF(J141="geen",IF(I141&lt;$R$8,G141*H141,0),IF(I141&gt;=$R$8,0,IF((H141*G141-(R$8-I141)*N141)&lt;0,0,H141*G141-(R$8-I141)*N141)))</f>
        <v>0</v>
      </c>
      <c r="Q141" s="110"/>
      <c r="R141" s="278">
        <f t="shared" si="45"/>
        <v>0</v>
      </c>
      <c r="S141" s="278">
        <f t="shared" si="45"/>
        <v>0</v>
      </c>
      <c r="T141" s="278">
        <f t="shared" si="45"/>
        <v>0</v>
      </c>
      <c r="U141" s="278">
        <f t="shared" si="46"/>
        <v>0</v>
      </c>
      <c r="V141" s="278">
        <f t="shared" si="46"/>
        <v>0</v>
      </c>
      <c r="W141" s="110"/>
      <c r="X141" s="278">
        <f t="shared" si="47"/>
        <v>0</v>
      </c>
      <c r="Y141" s="278">
        <f t="shared" si="47"/>
        <v>0</v>
      </c>
      <c r="Z141" s="278">
        <f t="shared" si="47"/>
        <v>0</v>
      </c>
      <c r="AA141" s="278">
        <f t="shared" si="48"/>
        <v>0</v>
      </c>
      <c r="AB141" s="278">
        <f t="shared" si="48"/>
        <v>0</v>
      </c>
      <c r="AC141" s="188"/>
      <c r="AD141" s="88"/>
    </row>
    <row r="142" spans="2:30" x14ac:dyDescent="0.2">
      <c r="B142" s="88"/>
      <c r="C142" s="116"/>
      <c r="D142" s="168"/>
      <c r="E142" s="168"/>
      <c r="F142" s="235"/>
      <c r="G142" s="235"/>
      <c r="H142" s="235"/>
      <c r="I142" s="235"/>
      <c r="J142" s="235"/>
      <c r="K142" s="117"/>
      <c r="L142" s="117"/>
      <c r="M142" s="117"/>
      <c r="N142" s="117"/>
      <c r="O142" s="117"/>
      <c r="P142" s="117"/>
      <c r="Q142" s="117"/>
      <c r="R142" s="117"/>
      <c r="S142" s="117"/>
      <c r="T142" s="117"/>
      <c r="U142" s="117"/>
      <c r="V142" s="117"/>
      <c r="W142" s="117"/>
      <c r="X142" s="117"/>
      <c r="Y142" s="117"/>
      <c r="Z142" s="117"/>
      <c r="AA142" s="117"/>
      <c r="AB142" s="117"/>
      <c r="AC142" s="151"/>
      <c r="AD142" s="88"/>
    </row>
    <row r="143" spans="2:30" x14ac:dyDescent="0.2">
      <c r="B143" s="88"/>
      <c r="C143" s="88"/>
      <c r="D143" s="303"/>
      <c r="E143" s="303"/>
      <c r="F143" s="204"/>
      <c r="G143" s="204"/>
      <c r="H143" s="204"/>
      <c r="I143" s="204"/>
      <c r="J143" s="204"/>
      <c r="K143" s="88"/>
      <c r="L143" s="88"/>
      <c r="M143" s="88"/>
      <c r="N143" s="88"/>
      <c r="O143" s="88"/>
      <c r="P143" s="88"/>
      <c r="Q143" s="88"/>
      <c r="R143" s="88"/>
      <c r="S143" s="88"/>
      <c r="T143" s="88"/>
      <c r="U143" s="88"/>
      <c r="V143" s="88"/>
      <c r="W143" s="88"/>
      <c r="X143" s="88"/>
      <c r="Y143" s="88"/>
      <c r="Z143" s="88"/>
      <c r="AA143" s="88"/>
      <c r="AB143" s="88"/>
      <c r="AC143" s="88"/>
      <c r="AD143" s="88"/>
    </row>
    <row r="144" spans="2:30" x14ac:dyDescent="0.2">
      <c r="B144" s="88"/>
      <c r="C144" s="88"/>
      <c r="D144" s="303"/>
      <c r="E144" s="303"/>
      <c r="F144" s="204"/>
      <c r="G144" s="204"/>
      <c r="H144" s="204"/>
      <c r="I144" s="204"/>
      <c r="J144" s="204"/>
      <c r="K144" s="88"/>
      <c r="L144" s="88"/>
      <c r="M144" s="88"/>
      <c r="N144" s="88"/>
      <c r="O144" s="88"/>
      <c r="P144" s="88"/>
      <c r="Q144" s="88"/>
      <c r="R144" s="88"/>
      <c r="S144" s="88"/>
      <c r="T144" s="88"/>
      <c r="U144" s="88"/>
      <c r="V144" s="88"/>
      <c r="W144" s="88"/>
      <c r="X144" s="88"/>
      <c r="Y144" s="88"/>
      <c r="Z144" s="88"/>
      <c r="AA144" s="88"/>
      <c r="AB144" s="88"/>
      <c r="AC144" s="88"/>
      <c r="AD144" s="88"/>
    </row>
  </sheetData>
  <sheetProtection password="DFB1" sheet="1" objects="1" scenarios="1"/>
  <phoneticPr fontId="0" type="noConversion"/>
  <dataValidations count="2">
    <dataValidation type="list" allowBlank="1" showInputMessage="1" showErrorMessage="1" sqref="J14:J141">
      <formula1>"geen,1,2,3,4,5,6,7,8,9,10,11,12,13,14,15,16,17,18,19,20,21,22,23,24,25,26,27,28,29,30,31,32,33,34,35,36,37,38,39,40,41,42,43,44,45,46,47,48,49,50"</formula1>
    </dataValidation>
    <dataValidation type="list" allowBlank="1" showInputMessage="1" showErrorMessage="1" sqref="D14:D141">
      <formula1>"gebouwen en terreinen, inventaris en apparatuur, leermiddelen PO, overige materiële vaste activa,meubilair, ICT"</formula1>
    </dataValidation>
  </dataValidations>
  <pageMargins left="0.74803149606299213" right="0.74803149606299213" top="0.98425196850393704" bottom="0.98425196850393704" header="0.51181102362204722" footer="0.51181102362204722"/>
  <pageSetup paperSize="9" scale="48" orientation="landscape" r:id="rId1"/>
  <headerFooter alignWithMargins="0">
    <oddHeader>&amp;L&amp;"Arial,Vet"&amp;F&amp;R&amp;"Arial,Vet"&amp;A</oddHeader>
    <oddFooter>&amp;L&amp;"Arial,Vet"PO-Raad&amp;C&amp;"Arial,Vet"&amp;D&amp;R&amp;"Arial,Vet"pagina &amp;P</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6"/>
  <dimension ref="B1:L64"/>
  <sheetViews>
    <sheetView zoomScale="85" zoomScaleNormal="85" workbookViewId="0">
      <pane ySplit="9" topLeftCell="A10" activePane="bottomLeft" state="frozen"/>
      <selection activeCell="B2" sqref="B2"/>
      <selection pane="bottomLeft" activeCell="B2" sqref="B2"/>
    </sheetView>
  </sheetViews>
  <sheetFormatPr defaultColWidth="9.140625" defaultRowHeight="12.75" x14ac:dyDescent="0.2"/>
  <cols>
    <col min="1" max="1" width="3.7109375" style="86" customWidth="1"/>
    <col min="2" max="3" width="2.7109375" style="86" customWidth="1"/>
    <col min="4" max="4" width="45.7109375" style="86" customWidth="1"/>
    <col min="5" max="5" width="2.7109375" style="86" customWidth="1"/>
    <col min="6" max="8" width="14.85546875" style="86" customWidth="1"/>
    <col min="9" max="9" width="14.85546875" style="433" customWidth="1"/>
    <col min="10" max="10" width="14.85546875" style="86" customWidth="1"/>
    <col min="11" max="12" width="2.7109375" style="86" customWidth="1"/>
    <col min="13" max="16384" width="9.140625" style="86"/>
  </cols>
  <sheetData>
    <row r="1" spans="2:12" ht="12.75" customHeight="1" x14ac:dyDescent="0.2"/>
    <row r="2" spans="2:12" x14ac:dyDescent="0.2">
      <c r="B2" s="81"/>
      <c r="C2" s="82"/>
      <c r="D2" s="82"/>
      <c r="E2" s="82"/>
      <c r="F2" s="82"/>
      <c r="G2" s="82"/>
      <c r="H2" s="867"/>
      <c r="I2" s="82"/>
      <c r="J2" s="82"/>
      <c r="K2" s="82"/>
      <c r="L2" s="85"/>
    </row>
    <row r="3" spans="2:12" x14ac:dyDescent="0.2">
      <c r="B3" s="87"/>
      <c r="C3" s="88"/>
      <c r="D3" s="88"/>
      <c r="E3" s="88"/>
      <c r="F3" s="88"/>
      <c r="G3" s="88"/>
      <c r="H3" s="540"/>
      <c r="I3" s="88"/>
      <c r="J3" s="88"/>
      <c r="K3" s="88"/>
      <c r="L3" s="91"/>
    </row>
    <row r="4" spans="2:12" s="868" customFormat="1" ht="18.75" x14ac:dyDescent="0.3">
      <c r="B4" s="98"/>
      <c r="C4" s="94" t="s">
        <v>114</v>
      </c>
      <c r="D4" s="254"/>
      <c r="E4" s="869"/>
      <c r="F4" s="869"/>
      <c r="G4" s="869"/>
      <c r="H4" s="869"/>
      <c r="I4" s="869"/>
      <c r="J4" s="869"/>
      <c r="K4" s="869"/>
      <c r="L4" s="870"/>
    </row>
    <row r="5" spans="2:12" s="868" customFormat="1" ht="18.75" x14ac:dyDescent="0.3">
      <c r="B5" s="98"/>
      <c r="C5" s="99" t="str">
        <f>geg!G12</f>
        <v>Basisschool</v>
      </c>
      <c r="D5" s="254"/>
      <c r="E5" s="869"/>
      <c r="F5" s="869"/>
      <c r="G5" s="869"/>
      <c r="H5" s="869"/>
      <c r="I5" s="869"/>
      <c r="J5" s="869"/>
      <c r="K5" s="869"/>
      <c r="L5" s="870"/>
    </row>
    <row r="6" spans="2:12" ht="12.75" customHeight="1" x14ac:dyDescent="0.2">
      <c r="B6" s="918"/>
      <c r="C6" s="919"/>
      <c r="D6" s="920"/>
      <c r="E6" s="100"/>
      <c r="F6" s="100"/>
      <c r="G6" s="100"/>
      <c r="H6" s="100"/>
      <c r="I6" s="100"/>
      <c r="J6" s="100"/>
      <c r="K6" s="100"/>
      <c r="L6" s="130"/>
    </row>
    <row r="7" spans="2:12" ht="12.75" customHeight="1" x14ac:dyDescent="0.2">
      <c r="B7" s="918"/>
      <c r="C7" s="919"/>
      <c r="D7" s="920"/>
      <c r="E7" s="100"/>
      <c r="F7" s="100"/>
      <c r="G7" s="100"/>
      <c r="H7" s="100"/>
      <c r="I7" s="100"/>
      <c r="J7" s="100"/>
      <c r="K7" s="100"/>
      <c r="L7" s="130"/>
    </row>
    <row r="8" spans="2:12" s="205" customFormat="1" ht="12.75" customHeight="1" x14ac:dyDescent="0.2">
      <c r="B8" s="921"/>
      <c r="C8" s="922"/>
      <c r="D8" s="880"/>
      <c r="E8" s="923"/>
      <c r="F8" s="123">
        <f>tab!D4</f>
        <v>2013</v>
      </c>
      <c r="G8" s="123">
        <f>F8+1</f>
        <v>2014</v>
      </c>
      <c r="H8" s="123">
        <f>G8+1</f>
        <v>2015</v>
      </c>
      <c r="I8" s="123">
        <f>H8+1</f>
        <v>2016</v>
      </c>
      <c r="J8" s="123">
        <f>I8+1</f>
        <v>2017</v>
      </c>
      <c r="K8" s="923"/>
      <c r="L8" s="924"/>
    </row>
    <row r="9" spans="2:12" ht="12" customHeight="1" x14ac:dyDescent="0.2">
      <c r="B9" s="918"/>
      <c r="C9" s="919"/>
      <c r="D9" s="925"/>
      <c r="E9" s="100"/>
      <c r="F9" s="100"/>
      <c r="G9" s="100"/>
      <c r="H9" s="100"/>
      <c r="I9" s="100"/>
      <c r="J9" s="100"/>
      <c r="K9" s="100"/>
      <c r="L9" s="130"/>
    </row>
    <row r="10" spans="2:12" ht="12" customHeight="1" x14ac:dyDescent="0.2">
      <c r="B10" s="926"/>
      <c r="C10" s="927"/>
      <c r="D10" s="299"/>
      <c r="E10" s="105"/>
      <c r="F10" s="105"/>
      <c r="G10" s="105"/>
      <c r="H10" s="105"/>
      <c r="I10" s="105"/>
      <c r="J10" s="105"/>
      <c r="K10" s="186"/>
      <c r="L10" s="91"/>
    </row>
    <row r="11" spans="2:12" ht="12" customHeight="1" x14ac:dyDescent="0.2">
      <c r="B11" s="926"/>
      <c r="C11" s="928"/>
      <c r="D11" s="157" t="s">
        <v>435</v>
      </c>
      <c r="E11" s="110"/>
      <c r="F11" s="110"/>
      <c r="G11" s="110"/>
      <c r="H11" s="110"/>
      <c r="I11" s="110"/>
      <c r="J11" s="110"/>
      <c r="K11" s="188"/>
      <c r="L11" s="91"/>
    </row>
    <row r="12" spans="2:12" ht="12" customHeight="1" x14ac:dyDescent="0.2">
      <c r="B12" s="926"/>
      <c r="C12" s="928"/>
      <c r="D12" s="109" t="s">
        <v>378</v>
      </c>
      <c r="E12" s="110"/>
      <c r="F12" s="286">
        <v>0</v>
      </c>
      <c r="G12" s="929">
        <f t="shared" ref="G12:G17" si="0">F55</f>
        <v>0</v>
      </c>
      <c r="H12" s="929">
        <f t="shared" ref="H12:J13" si="1">G55</f>
        <v>0</v>
      </c>
      <c r="I12" s="929">
        <f t="shared" si="1"/>
        <v>0</v>
      </c>
      <c r="J12" s="929">
        <f t="shared" si="1"/>
        <v>0</v>
      </c>
      <c r="K12" s="188"/>
      <c r="L12" s="91"/>
    </row>
    <row r="13" spans="2:12" ht="12" customHeight="1" x14ac:dyDescent="0.2">
      <c r="B13" s="926"/>
      <c r="C13" s="928"/>
      <c r="D13" s="109" t="s">
        <v>379</v>
      </c>
      <c r="E13" s="110"/>
      <c r="F13" s="284">
        <v>0</v>
      </c>
      <c r="G13" s="929">
        <f t="shared" si="0"/>
        <v>0</v>
      </c>
      <c r="H13" s="929">
        <f t="shared" si="1"/>
        <v>0</v>
      </c>
      <c r="I13" s="929">
        <f t="shared" si="1"/>
        <v>0</v>
      </c>
      <c r="J13" s="929">
        <f t="shared" si="1"/>
        <v>0</v>
      </c>
      <c r="K13" s="188"/>
      <c r="L13" s="91"/>
    </row>
    <row r="14" spans="2:12" ht="12" customHeight="1" x14ac:dyDescent="0.2">
      <c r="B14" s="926"/>
      <c r="C14" s="928"/>
      <c r="D14" s="280" t="s">
        <v>88</v>
      </c>
      <c r="E14" s="110"/>
      <c r="F14" s="284">
        <v>0</v>
      </c>
      <c r="G14" s="929">
        <f t="shared" si="0"/>
        <v>0</v>
      </c>
      <c r="H14" s="929">
        <f t="shared" ref="H14:J17" si="2">G57</f>
        <v>0</v>
      </c>
      <c r="I14" s="929">
        <f t="shared" si="2"/>
        <v>0</v>
      </c>
      <c r="J14" s="929">
        <f t="shared" si="2"/>
        <v>0</v>
      </c>
      <c r="K14" s="188"/>
      <c r="L14" s="91"/>
    </row>
    <row r="15" spans="2:12" ht="12" customHeight="1" x14ac:dyDescent="0.2">
      <c r="B15" s="926"/>
      <c r="C15" s="928"/>
      <c r="D15" s="280" t="s">
        <v>89</v>
      </c>
      <c r="E15" s="110"/>
      <c r="F15" s="284">
        <v>0</v>
      </c>
      <c r="G15" s="929">
        <f t="shared" si="0"/>
        <v>0</v>
      </c>
      <c r="H15" s="929">
        <f t="shared" si="2"/>
        <v>0</v>
      </c>
      <c r="I15" s="929">
        <f t="shared" si="2"/>
        <v>0</v>
      </c>
      <c r="J15" s="929">
        <f t="shared" si="2"/>
        <v>0</v>
      </c>
      <c r="K15" s="188"/>
      <c r="L15" s="91"/>
    </row>
    <row r="16" spans="2:12" ht="12" customHeight="1" x14ac:dyDescent="0.2">
      <c r="B16" s="926"/>
      <c r="C16" s="928"/>
      <c r="D16" s="109" t="s">
        <v>427</v>
      </c>
      <c r="E16" s="110"/>
      <c r="F16" s="284">
        <v>0</v>
      </c>
      <c r="G16" s="929">
        <f t="shared" si="0"/>
        <v>40000</v>
      </c>
      <c r="H16" s="929">
        <f t="shared" si="2"/>
        <v>30000</v>
      </c>
      <c r="I16" s="929">
        <f t="shared" si="2"/>
        <v>20000</v>
      </c>
      <c r="J16" s="929">
        <f t="shared" si="2"/>
        <v>10000</v>
      </c>
      <c r="K16" s="188"/>
      <c r="L16" s="91"/>
    </row>
    <row r="17" spans="2:12" ht="12" customHeight="1" x14ac:dyDescent="0.2">
      <c r="B17" s="926"/>
      <c r="C17" s="928"/>
      <c r="D17" s="109" t="s">
        <v>380</v>
      </c>
      <c r="E17" s="110"/>
      <c r="F17" s="284">
        <v>0</v>
      </c>
      <c r="G17" s="929">
        <f t="shared" si="0"/>
        <v>0</v>
      </c>
      <c r="H17" s="929">
        <f t="shared" si="2"/>
        <v>0</v>
      </c>
      <c r="I17" s="929">
        <f t="shared" si="2"/>
        <v>0</v>
      </c>
      <c r="J17" s="929">
        <f t="shared" si="2"/>
        <v>0</v>
      </c>
      <c r="K17" s="188"/>
      <c r="L17" s="91"/>
    </row>
    <row r="18" spans="2:12" ht="12" customHeight="1" x14ac:dyDescent="0.2">
      <c r="B18" s="926"/>
      <c r="C18" s="928"/>
      <c r="D18" s="134"/>
      <c r="E18" s="110"/>
      <c r="F18" s="930">
        <f>SUM(F12:F17)</f>
        <v>0</v>
      </c>
      <c r="G18" s="930">
        <f>SUM(G12:G17)</f>
        <v>40000</v>
      </c>
      <c r="H18" s="930">
        <f>SUM(H12:H17)</f>
        <v>30000</v>
      </c>
      <c r="I18" s="930">
        <f>SUM(I12:I17)</f>
        <v>20000</v>
      </c>
      <c r="J18" s="930">
        <f>SUM(J12:J17)</f>
        <v>10000</v>
      </c>
      <c r="K18" s="188"/>
      <c r="L18" s="91"/>
    </row>
    <row r="19" spans="2:12" ht="12" customHeight="1" x14ac:dyDescent="0.2">
      <c r="B19" s="926"/>
      <c r="C19" s="931"/>
      <c r="D19" s="168"/>
      <c r="E19" s="117"/>
      <c r="F19" s="117"/>
      <c r="G19" s="117"/>
      <c r="H19" s="117"/>
      <c r="I19" s="117"/>
      <c r="J19" s="117"/>
      <c r="K19" s="151"/>
      <c r="L19" s="91"/>
    </row>
    <row r="20" spans="2:12" ht="12" customHeight="1" x14ac:dyDescent="0.2">
      <c r="B20" s="87"/>
      <c r="C20" s="88"/>
      <c r="D20" s="88"/>
      <c r="E20" s="88"/>
      <c r="F20" s="88"/>
      <c r="G20" s="88"/>
      <c r="H20" s="88"/>
      <c r="I20" s="88"/>
      <c r="J20" s="88"/>
      <c r="K20" s="88"/>
      <c r="L20" s="91"/>
    </row>
    <row r="21" spans="2:12" ht="12" customHeight="1" x14ac:dyDescent="0.2">
      <c r="B21" s="926"/>
      <c r="C21" s="927"/>
      <c r="D21" s="299"/>
      <c r="E21" s="105"/>
      <c r="F21" s="105"/>
      <c r="G21" s="105"/>
      <c r="H21" s="105"/>
      <c r="I21" s="105"/>
      <c r="J21" s="105"/>
      <c r="K21" s="186"/>
      <c r="L21" s="91"/>
    </row>
    <row r="22" spans="2:12" ht="12" customHeight="1" x14ac:dyDescent="0.2">
      <c r="B22" s="926"/>
      <c r="C22" s="928"/>
      <c r="D22" s="157" t="s">
        <v>528</v>
      </c>
      <c r="E22" s="110"/>
      <c r="F22" s="134"/>
      <c r="G22" s="110"/>
      <c r="H22" s="110"/>
      <c r="I22" s="110"/>
      <c r="J22" s="110"/>
      <c r="K22" s="188"/>
      <c r="L22" s="91"/>
    </row>
    <row r="23" spans="2:12" ht="12" customHeight="1" x14ac:dyDescent="0.2">
      <c r="B23" s="926"/>
      <c r="C23" s="928"/>
      <c r="D23" s="109" t="s">
        <v>378</v>
      </c>
      <c r="E23" s="110"/>
      <c r="F23" s="278">
        <f>(SUMIF(mip!$D14:$D141,"gebouwen en terreinen",mip!X14:X141))</f>
        <v>0</v>
      </c>
      <c r="G23" s="278">
        <f>(SUMIF(mip!$D14:$D141,"gebouwen en terreinen",mip!Y14:Y141))</f>
        <v>0</v>
      </c>
      <c r="H23" s="278">
        <f>(SUMIF(mip!$D14:$D141,"gebouwen en terreinen",mip!Z14:Z141))</f>
        <v>0</v>
      </c>
      <c r="I23" s="278">
        <f>(SUMIF(mip!$D14:$D141,"gebouwen en terreinen",mip!AA14:AA141))</f>
        <v>0</v>
      </c>
      <c r="J23" s="278">
        <f>(SUMIF(mip!$D14:$D141,"gebouwen en terreinen",mip!AB14:AB141))</f>
        <v>0</v>
      </c>
      <c r="K23" s="188"/>
      <c r="L23" s="91"/>
    </row>
    <row r="24" spans="2:12" ht="12" customHeight="1" x14ac:dyDescent="0.2">
      <c r="B24" s="926"/>
      <c r="C24" s="928"/>
      <c r="D24" s="109" t="s">
        <v>379</v>
      </c>
      <c r="E24" s="110"/>
      <c r="F24" s="262">
        <f>(SUMIF(mip!$D14:$D141,"inventaris en apparatuur",mip!X14:X141))</f>
        <v>0</v>
      </c>
      <c r="G24" s="262">
        <f>(SUMIF(mip!$D14:$D141,"inventaris en apparatuur",mip!Y14:Y141))</f>
        <v>0</v>
      </c>
      <c r="H24" s="262">
        <f>(SUMIF(mip!$D14:$D141,"inventaris en apparatuur",mip!Z14:Z141))</f>
        <v>0</v>
      </c>
      <c r="I24" s="262">
        <f>(SUMIF(mip!$D14:$D141,"inventaris en apparatuur",mip!AA14:AA141))</f>
        <v>0</v>
      </c>
      <c r="J24" s="262">
        <f>(SUMIF(mip!$D14:$D141,"inventaris en apparatuur",mip!AB14:AB141))</f>
        <v>0</v>
      </c>
      <c r="K24" s="188"/>
      <c r="L24" s="91"/>
    </row>
    <row r="25" spans="2:12" ht="12" customHeight="1" x14ac:dyDescent="0.2">
      <c r="B25" s="926"/>
      <c r="C25" s="928"/>
      <c r="D25" s="280" t="s">
        <v>88</v>
      </c>
      <c r="E25" s="110"/>
      <c r="F25" s="262">
        <f>(SUMIF(mip!$D14:$D141,"meubilair",mip!X14:X141))</f>
        <v>0</v>
      </c>
      <c r="G25" s="262">
        <f>(SUMIF(mip!$D14:$D141,"meubilair",mip!Y14:Y141))</f>
        <v>0</v>
      </c>
      <c r="H25" s="262">
        <f>(SUMIF(mip!$D14:$D141,"meubilair",mip!Z14:Z141))</f>
        <v>0</v>
      </c>
      <c r="I25" s="262">
        <f>(SUMIF(mip!$D14:$D141,"meubilair",mip!AA14:AA141))</f>
        <v>0</v>
      </c>
      <c r="J25" s="262">
        <f>(SUMIF(mip!$D14:$D141,"meubilair",mip!AB14:AB141))</f>
        <v>0</v>
      </c>
      <c r="K25" s="188"/>
      <c r="L25" s="91"/>
    </row>
    <row r="26" spans="2:12" ht="12" customHeight="1" x14ac:dyDescent="0.2">
      <c r="B26" s="926"/>
      <c r="C26" s="928"/>
      <c r="D26" s="280" t="s">
        <v>89</v>
      </c>
      <c r="E26" s="110"/>
      <c r="F26" s="262">
        <f>(SUMIF(mip!$D14:$D141,"ICT",mip!X14:X141))</f>
        <v>0</v>
      </c>
      <c r="G26" s="262">
        <f>(SUMIF(mip!$D14:$D141,"ICT",mip!Y14:Y141))</f>
        <v>0</v>
      </c>
      <c r="H26" s="262">
        <f>(SUMIF(mip!$D14:$D141,"ICT",mip!Z14:Z141))</f>
        <v>0</v>
      </c>
      <c r="I26" s="262">
        <f>(SUMIF(mip!$D14:$D141,"ICT",mip!AA14:AA141))</f>
        <v>0</v>
      </c>
      <c r="J26" s="262">
        <f>(SUMIF(mip!$D14:$D141,"ICT",mip!AB14:AB141))</f>
        <v>0</v>
      </c>
      <c r="K26" s="188"/>
      <c r="L26" s="91"/>
    </row>
    <row r="27" spans="2:12" ht="12" customHeight="1" x14ac:dyDescent="0.2">
      <c r="B27" s="926"/>
      <c r="C27" s="928"/>
      <c r="D27" s="109" t="s">
        <v>427</v>
      </c>
      <c r="E27" s="110"/>
      <c r="F27" s="262">
        <f>(SUMIF(mip!$D14:$D141,"Leermiddelen PO",mip!X14:X141))</f>
        <v>50000</v>
      </c>
      <c r="G27" s="262">
        <f>(SUMIF(mip!$D14:$D141,"Leermiddelen PO",mip!Y14:Y141))</f>
        <v>0</v>
      </c>
      <c r="H27" s="262">
        <f>(SUMIF(mip!$D14:$D141,"Leermiddelen PO",mip!Z14:Z141))</f>
        <v>0</v>
      </c>
      <c r="I27" s="262">
        <f>(SUMIF(mip!$D14:$D141,"Leermiddelen PO",mip!AA14:AA141))</f>
        <v>0</v>
      </c>
      <c r="J27" s="262">
        <f>(SUMIF(mip!$D14:$D141,"Leermiddelen PO",mip!AB14:AB141))</f>
        <v>0</v>
      </c>
      <c r="K27" s="188"/>
      <c r="L27" s="91"/>
    </row>
    <row r="28" spans="2:12" ht="12" customHeight="1" x14ac:dyDescent="0.2">
      <c r="B28" s="926"/>
      <c r="C28" s="928"/>
      <c r="D28" s="109" t="s">
        <v>380</v>
      </c>
      <c r="E28" s="110"/>
      <c r="F28" s="262">
        <f>(SUMIF(mip!$D14:$D141,"overige materiële vaste activa",mip!X14:X141))</f>
        <v>0</v>
      </c>
      <c r="G28" s="262">
        <f>(SUMIF(mip!$D14:$D141,"overige materiële vaste activa",mip!Y14:Y141))</f>
        <v>0</v>
      </c>
      <c r="H28" s="262">
        <f>(SUMIF(mip!$D14:$D141,"overige materiële vaste activa",mip!Z14:Z141))</f>
        <v>0</v>
      </c>
      <c r="I28" s="262">
        <f>(SUMIF(mip!$D14:$D141,"overige materiële vaste activa",mip!AA14:AA141))</f>
        <v>0</v>
      </c>
      <c r="J28" s="262">
        <f>(SUMIF(mip!$D14:$D141,"overige materiële vaste activa",mip!AB14:AB141))</f>
        <v>0</v>
      </c>
      <c r="K28" s="188"/>
      <c r="L28" s="91"/>
    </row>
    <row r="29" spans="2:12" ht="12" customHeight="1" x14ac:dyDescent="0.2">
      <c r="B29" s="926"/>
      <c r="C29" s="928"/>
      <c r="D29" s="134"/>
      <c r="E29" s="110"/>
      <c r="F29" s="930">
        <f>SUM(F23:F28)</f>
        <v>50000</v>
      </c>
      <c r="G29" s="930">
        <f>SUM(G23:G28)</f>
        <v>0</v>
      </c>
      <c r="H29" s="930">
        <f>SUM(H23:H28)</f>
        <v>0</v>
      </c>
      <c r="I29" s="930">
        <f>SUM(I23:I28)</f>
        <v>0</v>
      </c>
      <c r="J29" s="930">
        <f>SUM(J23:J28)</f>
        <v>0</v>
      </c>
      <c r="K29" s="188"/>
      <c r="L29" s="91"/>
    </row>
    <row r="30" spans="2:12" ht="12" customHeight="1" x14ac:dyDescent="0.2">
      <c r="B30" s="926"/>
      <c r="C30" s="931"/>
      <c r="D30" s="168"/>
      <c r="E30" s="117"/>
      <c r="F30" s="117"/>
      <c r="G30" s="117"/>
      <c r="H30" s="117"/>
      <c r="I30" s="117"/>
      <c r="J30" s="117"/>
      <c r="K30" s="151"/>
      <c r="L30" s="91"/>
    </row>
    <row r="31" spans="2:12" ht="12" customHeight="1" x14ac:dyDescent="0.2">
      <c r="B31" s="87"/>
      <c r="C31" s="88"/>
      <c r="D31" s="88"/>
      <c r="E31" s="88"/>
      <c r="F31" s="88"/>
      <c r="G31" s="88"/>
      <c r="H31" s="88"/>
      <c r="I31" s="88"/>
      <c r="J31" s="88"/>
      <c r="K31" s="88"/>
      <c r="L31" s="91"/>
    </row>
    <row r="32" spans="2:12" ht="12" customHeight="1" x14ac:dyDescent="0.2">
      <c r="B32" s="87"/>
      <c r="C32" s="104"/>
      <c r="D32" s="155"/>
      <c r="E32" s="105"/>
      <c r="F32" s="105"/>
      <c r="G32" s="105"/>
      <c r="H32" s="932"/>
      <c r="I32" s="105"/>
      <c r="J32" s="105"/>
      <c r="K32" s="186"/>
      <c r="L32" s="91"/>
    </row>
    <row r="33" spans="2:12" ht="12" customHeight="1" x14ac:dyDescent="0.2">
      <c r="B33" s="926"/>
      <c r="C33" s="928"/>
      <c r="D33" s="157" t="s">
        <v>391</v>
      </c>
      <c r="E33" s="110"/>
      <c r="F33" s="110"/>
      <c r="G33" s="110"/>
      <c r="H33" s="110"/>
      <c r="I33" s="110"/>
      <c r="J33" s="110"/>
      <c r="K33" s="188"/>
      <c r="L33" s="91"/>
    </row>
    <row r="34" spans="2:12" ht="12" customHeight="1" x14ac:dyDescent="0.2">
      <c r="B34" s="926"/>
      <c r="C34" s="928"/>
      <c r="D34" s="109" t="s">
        <v>378</v>
      </c>
      <c r="E34" s="110"/>
      <c r="F34" s="278">
        <f>(SUMIF(mip!$D14:$D141,"gebouwen en terreinen",mip!R14:R141))</f>
        <v>0</v>
      </c>
      <c r="G34" s="929">
        <f>(SUMIF(mip!$D14:$D141,"gebouwen en terreinen",mip!S14:S141))</f>
        <v>0</v>
      </c>
      <c r="H34" s="929">
        <f>(SUMIF(mip!$D14:$D141,"gebouwen en terreinen",mip!T14:T141))</f>
        <v>0</v>
      </c>
      <c r="I34" s="929">
        <f>(SUMIF(mip!$D14:$D141,"gebouwen en terreinen",mip!U14:U141))</f>
        <v>0</v>
      </c>
      <c r="J34" s="929">
        <f>(SUMIF(mip!$D14:$D141,"gebouwen en terreinen",mip!V14:V141))</f>
        <v>0</v>
      </c>
      <c r="K34" s="188"/>
      <c r="L34" s="91"/>
    </row>
    <row r="35" spans="2:12" ht="12" customHeight="1" x14ac:dyDescent="0.2">
      <c r="B35" s="926"/>
      <c r="C35" s="928"/>
      <c r="D35" s="109" t="s">
        <v>379</v>
      </c>
      <c r="E35" s="110"/>
      <c r="F35" s="262">
        <f>(SUMIF(mip!$D14:$D141,"inventaris en apparatuur",mip!R14:R141))</f>
        <v>0</v>
      </c>
      <c r="G35" s="929">
        <f>(SUMIF(mip!$D14:$D141,"inventaris en apparatuur",mip!S14:S141))</f>
        <v>0</v>
      </c>
      <c r="H35" s="929">
        <f>(SUMIF(mip!$D14:$D141,"inventaris en apparatuur",mip!T14:T141))</f>
        <v>0</v>
      </c>
      <c r="I35" s="929">
        <f>(SUMIF(mip!$D14:$D141,"inventaris en apparatuur",mip!U14:U141))</f>
        <v>0</v>
      </c>
      <c r="J35" s="929">
        <f>(SUMIF(mip!$D14:$D141,"inventaris en apparatuur",mip!V14:V141))</f>
        <v>0</v>
      </c>
      <c r="K35" s="188"/>
      <c r="L35" s="91"/>
    </row>
    <row r="36" spans="2:12" ht="12" customHeight="1" x14ac:dyDescent="0.2">
      <c r="B36" s="926"/>
      <c r="C36" s="928"/>
      <c r="D36" s="280" t="s">
        <v>88</v>
      </c>
      <c r="E36" s="110"/>
      <c r="F36" s="262">
        <f>(SUMIF(mip!$D14:$D141,"meubilair",mip!R14:R141))</f>
        <v>0</v>
      </c>
      <c r="G36" s="929">
        <f>(SUMIF(mip!$D14:$D141,"meubilair",mip!S14:S141))</f>
        <v>0</v>
      </c>
      <c r="H36" s="929">
        <f>(SUMIF(mip!$D14:$D141,"meubilair",mip!T14:T141))</f>
        <v>0</v>
      </c>
      <c r="I36" s="929">
        <f>(SUMIF(mip!$D14:$D141,"meubilair",mip!U14:U141))</f>
        <v>0</v>
      </c>
      <c r="J36" s="929">
        <f>(SUMIF(mip!$D14:$D141,"meubilair",mip!V14:V141))</f>
        <v>0</v>
      </c>
      <c r="K36" s="188"/>
      <c r="L36" s="91"/>
    </row>
    <row r="37" spans="2:12" ht="12" customHeight="1" x14ac:dyDescent="0.2">
      <c r="B37" s="926"/>
      <c r="C37" s="928"/>
      <c r="D37" s="280" t="s">
        <v>89</v>
      </c>
      <c r="E37" s="110"/>
      <c r="F37" s="262">
        <f>(SUMIF(mip!$D14:$D141,"ICT",mip!R14:R141))</f>
        <v>0</v>
      </c>
      <c r="G37" s="929">
        <f>(SUMIF(mip!$D14:$D141,"ICT",mip!S14:S141))</f>
        <v>0</v>
      </c>
      <c r="H37" s="929">
        <f>(SUMIF(mip!$D14:$D141,"ICT",mip!T14:T141))</f>
        <v>0</v>
      </c>
      <c r="I37" s="929">
        <f>(SUMIF(mip!$D14:$D141,"ICT",mip!U14:U141))</f>
        <v>0</v>
      </c>
      <c r="J37" s="929">
        <f>(SUMIF(mip!$D14:$D141,"ICT",mip!V14:V141))</f>
        <v>0</v>
      </c>
      <c r="K37" s="188"/>
      <c r="L37" s="91"/>
    </row>
    <row r="38" spans="2:12" ht="12" customHeight="1" x14ac:dyDescent="0.2">
      <c r="B38" s="926"/>
      <c r="C38" s="928"/>
      <c r="D38" s="109" t="s">
        <v>427</v>
      </c>
      <c r="E38" s="110"/>
      <c r="F38" s="262">
        <f>(SUMIF(mip!$D14:$D141,"Leermiddelen PO",mip!R14:R141))</f>
        <v>10000</v>
      </c>
      <c r="G38" s="929">
        <f>(SUMIF(mip!$D14:$D141,"Leermiddelen PO",mip!S14:S141))</f>
        <v>10000</v>
      </c>
      <c r="H38" s="929">
        <f>(SUMIF(mip!$D14:$D141,"Leermiddelen PO",mip!T14:T141))</f>
        <v>10000</v>
      </c>
      <c r="I38" s="929">
        <f>(SUMIF(mip!$D14:$D141,"Leermiddelen PO",mip!U14:U141))</f>
        <v>10000</v>
      </c>
      <c r="J38" s="929">
        <f>(SUMIF(mip!$D14:$D141,"Leermiddelen PO",mip!V14:V141))</f>
        <v>10000</v>
      </c>
      <c r="K38" s="188"/>
      <c r="L38" s="91"/>
    </row>
    <row r="39" spans="2:12" ht="12" customHeight="1" x14ac:dyDescent="0.2">
      <c r="B39" s="926"/>
      <c r="C39" s="928"/>
      <c r="D39" s="109" t="s">
        <v>380</v>
      </c>
      <c r="E39" s="110"/>
      <c r="F39" s="262">
        <f>(SUMIF(mip!$D14:$D141,"overige materiële vaste activa",mip!R14:R141))</f>
        <v>0</v>
      </c>
      <c r="G39" s="929">
        <f>(SUMIF(mip!$D14:$D141,"overige materiële vaste activa",mip!S14:S141))</f>
        <v>0</v>
      </c>
      <c r="H39" s="929">
        <f>(SUMIF(mip!$D14:$D141,"overige materiële vaste activa",mip!T14:T141))</f>
        <v>0</v>
      </c>
      <c r="I39" s="929">
        <f>(SUMIF(mip!$D14:$D141,"overige materiële vaste activa",mip!U14:U141))</f>
        <v>0</v>
      </c>
      <c r="J39" s="929">
        <f>(SUMIF(mip!$D14:$D141,"overige materiële vaste activa",mip!V14:V141))</f>
        <v>0</v>
      </c>
      <c r="K39" s="188"/>
      <c r="L39" s="91"/>
    </row>
    <row r="40" spans="2:12" ht="12" customHeight="1" x14ac:dyDescent="0.2">
      <c r="B40" s="879"/>
      <c r="C40" s="933"/>
      <c r="D40" s="934"/>
      <c r="E40" s="265"/>
      <c r="F40" s="288">
        <f>SUM(F34:F39)</f>
        <v>10000</v>
      </c>
      <c r="G40" s="288">
        <f>SUM(G34:G39)</f>
        <v>10000</v>
      </c>
      <c r="H40" s="288">
        <f>SUM(H34:H39)</f>
        <v>10000</v>
      </c>
      <c r="I40" s="288">
        <f>SUM(I34:I39)</f>
        <v>10000</v>
      </c>
      <c r="J40" s="288">
        <f>SUM(J34:J39)</f>
        <v>10000</v>
      </c>
      <c r="K40" s="935"/>
      <c r="L40" s="148"/>
    </row>
    <row r="41" spans="2:12" ht="12" customHeight="1" x14ac:dyDescent="0.2">
      <c r="B41" s="926"/>
      <c r="C41" s="928"/>
      <c r="D41" s="1192" t="s">
        <v>697</v>
      </c>
      <c r="E41" s="110"/>
      <c r="F41" s="110"/>
      <c r="G41" s="110"/>
      <c r="H41" s="110"/>
      <c r="I41" s="110"/>
      <c r="J41" s="110"/>
      <c r="K41" s="188"/>
      <c r="L41" s="91"/>
    </row>
    <row r="42" spans="2:12" ht="12" customHeight="1" x14ac:dyDescent="0.2">
      <c r="B42" s="926"/>
      <c r="C42" s="928"/>
      <c r="D42" s="109" t="s">
        <v>378</v>
      </c>
      <c r="E42" s="110"/>
      <c r="F42" s="286">
        <v>0</v>
      </c>
      <c r="G42" s="886">
        <v>0</v>
      </c>
      <c r="H42" s="886">
        <v>0</v>
      </c>
      <c r="I42" s="886">
        <v>0</v>
      </c>
      <c r="J42" s="886">
        <v>0</v>
      </c>
      <c r="K42" s="188"/>
      <c r="L42" s="91"/>
    </row>
    <row r="43" spans="2:12" ht="12" customHeight="1" x14ac:dyDescent="0.2">
      <c r="B43" s="926"/>
      <c r="C43" s="928"/>
      <c r="D43" s="109" t="s">
        <v>379</v>
      </c>
      <c r="E43" s="110"/>
      <c r="F43" s="284">
        <v>0</v>
      </c>
      <c r="G43" s="886">
        <v>0</v>
      </c>
      <c r="H43" s="886">
        <v>0</v>
      </c>
      <c r="I43" s="886">
        <v>0</v>
      </c>
      <c r="J43" s="886">
        <v>0</v>
      </c>
      <c r="K43" s="188"/>
      <c r="L43" s="91"/>
    </row>
    <row r="44" spans="2:12" ht="12" customHeight="1" x14ac:dyDescent="0.2">
      <c r="B44" s="926"/>
      <c r="C44" s="928"/>
      <c r="D44" s="280" t="s">
        <v>88</v>
      </c>
      <c r="E44" s="110"/>
      <c r="F44" s="284">
        <v>0</v>
      </c>
      <c r="G44" s="886">
        <v>0</v>
      </c>
      <c r="H44" s="886">
        <v>0</v>
      </c>
      <c r="I44" s="886">
        <v>0</v>
      </c>
      <c r="J44" s="886">
        <v>0</v>
      </c>
      <c r="K44" s="188"/>
      <c r="L44" s="91"/>
    </row>
    <row r="45" spans="2:12" ht="12" customHeight="1" x14ac:dyDescent="0.2">
      <c r="B45" s="926"/>
      <c r="C45" s="928"/>
      <c r="D45" s="280" t="s">
        <v>89</v>
      </c>
      <c r="E45" s="110"/>
      <c r="F45" s="284">
        <v>0</v>
      </c>
      <c r="G45" s="886">
        <v>0</v>
      </c>
      <c r="H45" s="886">
        <v>0</v>
      </c>
      <c r="I45" s="886">
        <v>0</v>
      </c>
      <c r="J45" s="886">
        <v>0</v>
      </c>
      <c r="K45" s="188"/>
      <c r="L45" s="91"/>
    </row>
    <row r="46" spans="2:12" ht="12" customHeight="1" x14ac:dyDescent="0.2">
      <c r="B46" s="926"/>
      <c r="C46" s="928"/>
      <c r="D46" s="109" t="s">
        <v>427</v>
      </c>
      <c r="E46" s="110"/>
      <c r="F46" s="284">
        <v>0</v>
      </c>
      <c r="G46" s="886">
        <v>0</v>
      </c>
      <c r="H46" s="886">
        <v>0</v>
      </c>
      <c r="I46" s="886">
        <v>0</v>
      </c>
      <c r="J46" s="886">
        <v>0</v>
      </c>
      <c r="K46" s="188"/>
      <c r="L46" s="91"/>
    </row>
    <row r="47" spans="2:12" ht="12" customHeight="1" x14ac:dyDescent="0.2">
      <c r="B47" s="926"/>
      <c r="C47" s="928"/>
      <c r="D47" s="109" t="s">
        <v>380</v>
      </c>
      <c r="E47" s="110"/>
      <c r="F47" s="284">
        <v>0</v>
      </c>
      <c r="G47" s="886">
        <v>0</v>
      </c>
      <c r="H47" s="886">
        <v>0</v>
      </c>
      <c r="I47" s="886">
        <v>0</v>
      </c>
      <c r="J47" s="886">
        <v>0</v>
      </c>
      <c r="K47" s="188"/>
      <c r="L47" s="91"/>
    </row>
    <row r="48" spans="2:12" ht="12" customHeight="1" x14ac:dyDescent="0.2">
      <c r="B48" s="879"/>
      <c r="C48" s="933"/>
      <c r="D48" s="934"/>
      <c r="E48" s="265"/>
      <c r="F48" s="288">
        <f>SUM(F42:F47)</f>
        <v>0</v>
      </c>
      <c r="G48" s="288">
        <f>SUM(G42:G47)</f>
        <v>0</v>
      </c>
      <c r="H48" s="288">
        <f>SUM(H42:H47)</f>
        <v>0</v>
      </c>
      <c r="I48" s="288">
        <f>SUM(I42:I47)</f>
        <v>0</v>
      </c>
      <c r="J48" s="288">
        <f>SUM(J42:J47)</f>
        <v>0</v>
      </c>
      <c r="K48" s="935"/>
      <c r="L48" s="148"/>
    </row>
    <row r="49" spans="2:12" ht="12" customHeight="1" x14ac:dyDescent="0.2">
      <c r="B49" s="87"/>
      <c r="C49" s="108"/>
      <c r="D49" s="110"/>
      <c r="E49" s="110"/>
      <c r="F49" s="110"/>
      <c r="G49" s="110"/>
      <c r="H49" s="257"/>
      <c r="I49" s="110"/>
      <c r="J49" s="110"/>
      <c r="K49" s="188"/>
      <c r="L49" s="91"/>
    </row>
    <row r="50" spans="2:12" s="213" customFormat="1" ht="12" customHeight="1" x14ac:dyDescent="0.2">
      <c r="B50" s="183"/>
      <c r="C50" s="191"/>
      <c r="D50" s="147" t="s">
        <v>288</v>
      </c>
      <c r="E50" s="147"/>
      <c r="F50" s="529">
        <f>F40+F48</f>
        <v>10000</v>
      </c>
      <c r="G50" s="529">
        <f>G40+G48</f>
        <v>10000</v>
      </c>
      <c r="H50" s="529">
        <f>H40+H48</f>
        <v>10000</v>
      </c>
      <c r="I50" s="529">
        <f>I40+I48</f>
        <v>10000</v>
      </c>
      <c r="J50" s="529">
        <f>J40+J48</f>
        <v>10000</v>
      </c>
      <c r="K50" s="282"/>
      <c r="L50" s="194"/>
    </row>
    <row r="51" spans="2:12" ht="12" customHeight="1" x14ac:dyDescent="0.2">
      <c r="B51" s="87"/>
      <c r="C51" s="116"/>
      <c r="D51" s="117"/>
      <c r="E51" s="117"/>
      <c r="F51" s="117"/>
      <c r="G51" s="117"/>
      <c r="H51" s="536"/>
      <c r="I51" s="117"/>
      <c r="J51" s="117"/>
      <c r="K51" s="151"/>
      <c r="L51" s="91"/>
    </row>
    <row r="52" spans="2:12" ht="12" customHeight="1" x14ac:dyDescent="0.2">
      <c r="B52" s="87"/>
      <c r="C52" s="88"/>
      <c r="D52" s="88"/>
      <c r="E52" s="88"/>
      <c r="F52" s="88"/>
      <c r="G52" s="88"/>
      <c r="H52" s="88"/>
      <c r="I52" s="88"/>
      <c r="J52" s="88"/>
      <c r="K52" s="88"/>
      <c r="L52" s="91"/>
    </row>
    <row r="53" spans="2:12" ht="12" customHeight="1" x14ac:dyDescent="0.2">
      <c r="B53" s="926"/>
      <c r="C53" s="927"/>
      <c r="D53" s="299"/>
      <c r="E53" s="105"/>
      <c r="F53" s="105"/>
      <c r="G53" s="105"/>
      <c r="H53" s="105"/>
      <c r="I53" s="105"/>
      <c r="J53" s="105"/>
      <c r="K53" s="186"/>
      <c r="L53" s="91"/>
    </row>
    <row r="54" spans="2:12" ht="12" customHeight="1" x14ac:dyDescent="0.2">
      <c r="B54" s="926"/>
      <c r="C54" s="928"/>
      <c r="D54" s="157" t="s">
        <v>430</v>
      </c>
      <c r="E54" s="110"/>
      <c r="F54" s="110"/>
      <c r="G54" s="110"/>
      <c r="H54" s="110"/>
      <c r="I54" s="110"/>
      <c r="J54" s="110"/>
      <c r="K54" s="188"/>
      <c r="L54" s="91"/>
    </row>
    <row r="55" spans="2:12" ht="12" customHeight="1" x14ac:dyDescent="0.2">
      <c r="B55" s="926"/>
      <c r="C55" s="928"/>
      <c r="D55" s="109" t="s">
        <v>378</v>
      </c>
      <c r="E55" s="110"/>
      <c r="F55" s="929">
        <f t="shared" ref="F55:J60" si="3">F12+F23-F34-F42</f>
        <v>0</v>
      </c>
      <c r="G55" s="929">
        <f t="shared" si="3"/>
        <v>0</v>
      </c>
      <c r="H55" s="929">
        <f t="shared" si="3"/>
        <v>0</v>
      </c>
      <c r="I55" s="929">
        <f t="shared" si="3"/>
        <v>0</v>
      </c>
      <c r="J55" s="929">
        <f t="shared" si="3"/>
        <v>0</v>
      </c>
      <c r="K55" s="188"/>
      <c r="L55" s="91"/>
    </row>
    <row r="56" spans="2:12" ht="12" customHeight="1" x14ac:dyDescent="0.2">
      <c r="B56" s="926"/>
      <c r="C56" s="928"/>
      <c r="D56" s="109" t="s">
        <v>379</v>
      </c>
      <c r="E56" s="110"/>
      <c r="F56" s="929">
        <f t="shared" si="3"/>
        <v>0</v>
      </c>
      <c r="G56" s="929">
        <f t="shared" si="3"/>
        <v>0</v>
      </c>
      <c r="H56" s="929">
        <f t="shared" si="3"/>
        <v>0</v>
      </c>
      <c r="I56" s="929">
        <f t="shared" si="3"/>
        <v>0</v>
      </c>
      <c r="J56" s="929">
        <f t="shared" si="3"/>
        <v>0</v>
      </c>
      <c r="K56" s="188"/>
      <c r="L56" s="91"/>
    </row>
    <row r="57" spans="2:12" ht="12" customHeight="1" x14ac:dyDescent="0.2">
      <c r="B57" s="926"/>
      <c r="C57" s="928"/>
      <c r="D57" s="280" t="s">
        <v>88</v>
      </c>
      <c r="E57" s="110"/>
      <c r="F57" s="929">
        <f t="shared" si="3"/>
        <v>0</v>
      </c>
      <c r="G57" s="929">
        <f t="shared" si="3"/>
        <v>0</v>
      </c>
      <c r="H57" s="929">
        <f t="shared" si="3"/>
        <v>0</v>
      </c>
      <c r="I57" s="929">
        <f t="shared" si="3"/>
        <v>0</v>
      </c>
      <c r="J57" s="929">
        <f t="shared" si="3"/>
        <v>0</v>
      </c>
      <c r="K57" s="188"/>
      <c r="L57" s="91"/>
    </row>
    <row r="58" spans="2:12" ht="12" customHeight="1" x14ac:dyDescent="0.2">
      <c r="B58" s="926"/>
      <c r="C58" s="928"/>
      <c r="D58" s="280" t="s">
        <v>89</v>
      </c>
      <c r="E58" s="110"/>
      <c r="F58" s="929">
        <f t="shared" si="3"/>
        <v>0</v>
      </c>
      <c r="G58" s="929">
        <f t="shared" si="3"/>
        <v>0</v>
      </c>
      <c r="H58" s="929">
        <f t="shared" si="3"/>
        <v>0</v>
      </c>
      <c r="I58" s="929">
        <f t="shared" si="3"/>
        <v>0</v>
      </c>
      <c r="J58" s="929">
        <f t="shared" si="3"/>
        <v>0</v>
      </c>
      <c r="K58" s="188"/>
      <c r="L58" s="91"/>
    </row>
    <row r="59" spans="2:12" ht="12" customHeight="1" x14ac:dyDescent="0.2">
      <c r="B59" s="926"/>
      <c r="C59" s="928"/>
      <c r="D59" s="109" t="s">
        <v>427</v>
      </c>
      <c r="E59" s="110"/>
      <c r="F59" s="929">
        <f t="shared" si="3"/>
        <v>40000</v>
      </c>
      <c r="G59" s="929">
        <f t="shared" si="3"/>
        <v>30000</v>
      </c>
      <c r="H59" s="929">
        <f t="shared" si="3"/>
        <v>20000</v>
      </c>
      <c r="I59" s="929">
        <f t="shared" si="3"/>
        <v>10000</v>
      </c>
      <c r="J59" s="929">
        <f t="shared" si="3"/>
        <v>0</v>
      </c>
      <c r="K59" s="188"/>
      <c r="L59" s="91"/>
    </row>
    <row r="60" spans="2:12" ht="12" customHeight="1" x14ac:dyDescent="0.2">
      <c r="B60" s="926"/>
      <c r="C60" s="928"/>
      <c r="D60" s="109" t="s">
        <v>380</v>
      </c>
      <c r="E60" s="110"/>
      <c r="F60" s="929">
        <f t="shared" si="3"/>
        <v>0</v>
      </c>
      <c r="G60" s="929">
        <f t="shared" si="3"/>
        <v>0</v>
      </c>
      <c r="H60" s="929">
        <f t="shared" si="3"/>
        <v>0</v>
      </c>
      <c r="I60" s="929">
        <f t="shared" si="3"/>
        <v>0</v>
      </c>
      <c r="J60" s="929">
        <f t="shared" si="3"/>
        <v>0</v>
      </c>
      <c r="K60" s="188"/>
      <c r="L60" s="91"/>
    </row>
    <row r="61" spans="2:12" ht="12" customHeight="1" x14ac:dyDescent="0.2">
      <c r="B61" s="936"/>
      <c r="C61" s="937"/>
      <c r="D61" s="134"/>
      <c r="E61" s="147"/>
      <c r="F61" s="529">
        <f>SUM(F55:F60)</f>
        <v>40000</v>
      </c>
      <c r="G61" s="529">
        <f>SUM(G55:G60)</f>
        <v>30000</v>
      </c>
      <c r="H61" s="529">
        <f>SUM(H55:H60)</f>
        <v>20000</v>
      </c>
      <c r="I61" s="529">
        <f>SUM(I55:I60)</f>
        <v>10000</v>
      </c>
      <c r="J61" s="529">
        <f>SUM(J55:J60)</f>
        <v>0</v>
      </c>
      <c r="K61" s="282"/>
      <c r="L61" s="194"/>
    </row>
    <row r="62" spans="2:12" ht="12" customHeight="1" x14ac:dyDescent="0.2">
      <c r="B62" s="87"/>
      <c r="C62" s="116"/>
      <c r="D62" s="117"/>
      <c r="E62" s="117"/>
      <c r="F62" s="117"/>
      <c r="G62" s="117"/>
      <c r="H62" s="117"/>
      <c r="I62" s="117"/>
      <c r="J62" s="117"/>
      <c r="K62" s="151"/>
      <c r="L62" s="91"/>
    </row>
    <row r="63" spans="2:12" ht="12" customHeight="1" x14ac:dyDescent="0.2">
      <c r="B63" s="87"/>
      <c r="C63" s="88"/>
      <c r="D63" s="88"/>
      <c r="E63" s="88"/>
      <c r="F63" s="88"/>
      <c r="G63" s="88"/>
      <c r="H63" s="88"/>
      <c r="I63" s="88"/>
      <c r="J63" s="88"/>
      <c r="K63" s="88"/>
      <c r="L63" s="91"/>
    </row>
    <row r="64" spans="2:12" ht="15" x14ac:dyDescent="0.25">
      <c r="B64" s="199"/>
      <c r="C64" s="200"/>
      <c r="D64" s="200"/>
      <c r="E64" s="200"/>
      <c r="F64" s="200"/>
      <c r="G64" s="200"/>
      <c r="H64" s="200"/>
      <c r="I64" s="200"/>
      <c r="J64" s="200"/>
      <c r="K64" s="176" t="s">
        <v>629</v>
      </c>
      <c r="L64" s="201"/>
    </row>
  </sheetData>
  <sheetProtection password="DFB1" sheet="1" objects="1" scenarios="1"/>
  <phoneticPr fontId="0" type="noConversion"/>
  <pageMargins left="0.74803149606299213" right="0.74803149606299213"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Y125"/>
  <sheetViews>
    <sheetView showGridLines="0" zoomScale="85" zoomScaleNormal="85" zoomScaleSheetLayoutView="75" workbookViewId="0">
      <selection activeCell="B2" sqref="B2"/>
    </sheetView>
  </sheetViews>
  <sheetFormatPr defaultColWidth="9.140625" defaultRowHeight="12.75" x14ac:dyDescent="0.2"/>
  <cols>
    <col min="1" max="1" width="3.7109375" style="86" customWidth="1"/>
    <col min="2" max="3" width="2.7109375" style="86" customWidth="1"/>
    <col min="4" max="4" width="36.28515625" style="86" customWidth="1"/>
    <col min="5" max="5" width="0.85546875" style="86" customWidth="1"/>
    <col min="6" max="6" width="35.85546875" style="86" customWidth="1"/>
    <col min="7" max="7" width="0.85546875" style="86" customWidth="1"/>
    <col min="8" max="8" width="11" style="86" customWidth="1"/>
    <col min="9" max="9" width="0.85546875" style="86" customWidth="1"/>
    <col min="10" max="10" width="25.7109375" style="86" customWidth="1"/>
    <col min="11" max="13" width="8.7109375" style="86" customWidth="1"/>
    <col min="14" max="14" width="10.7109375" style="506" customWidth="1"/>
    <col min="15" max="15" width="0.85546875" style="86" customWidth="1"/>
    <col min="16" max="16" width="25.7109375" style="86" customWidth="1"/>
    <col min="17" max="17" width="10.7109375" style="1211" customWidth="1"/>
    <col min="18" max="18" width="0.85546875" style="86" customWidth="1"/>
    <col min="19" max="19" width="25.7109375" style="86" customWidth="1"/>
    <col min="20" max="20" width="10.7109375" style="86" customWidth="1"/>
    <col min="21" max="21" width="2.7109375" style="86" customWidth="1"/>
    <col min="22" max="22" width="10.7109375" style="86" customWidth="1"/>
    <col min="23" max="24" width="2.7109375" style="86" customWidth="1"/>
    <col min="25" max="25" width="15.42578125" style="86" customWidth="1"/>
    <col min="26" max="27" width="5.7109375" style="86" customWidth="1"/>
    <col min="28" max="16384" width="9.140625" style="86"/>
  </cols>
  <sheetData>
    <row r="1" spans="2:25" ht="12.75" customHeight="1" x14ac:dyDescent="0.2"/>
    <row r="2" spans="2:25" x14ac:dyDescent="0.2">
      <c r="B2" s="81"/>
      <c r="C2" s="82"/>
      <c r="D2" s="82"/>
      <c r="E2" s="82"/>
      <c r="F2" s="82"/>
      <c r="G2" s="82"/>
      <c r="H2" s="82"/>
      <c r="I2" s="82"/>
      <c r="J2" s="82"/>
      <c r="K2" s="82"/>
      <c r="L2" s="82"/>
      <c r="M2" s="82"/>
      <c r="N2" s="660"/>
      <c r="O2" s="82"/>
      <c r="P2" s="82"/>
      <c r="Q2" s="1212"/>
      <c r="R2" s="82"/>
      <c r="S2" s="82"/>
      <c r="T2" s="82"/>
      <c r="U2" s="82"/>
      <c r="V2" s="82"/>
      <c r="W2" s="82"/>
      <c r="X2" s="85"/>
    </row>
    <row r="3" spans="2:25" x14ac:dyDescent="0.2">
      <c r="B3" s="87"/>
      <c r="C3" s="88"/>
      <c r="D3" s="88"/>
      <c r="E3" s="88"/>
      <c r="F3" s="88"/>
      <c r="G3" s="88"/>
      <c r="H3" s="88"/>
      <c r="I3" s="88"/>
      <c r="J3" s="88"/>
      <c r="K3" s="88"/>
      <c r="L3" s="88"/>
      <c r="M3" s="88"/>
      <c r="N3" s="666"/>
      <c r="O3" s="88"/>
      <c r="P3" s="88"/>
      <c r="Q3" s="1213"/>
      <c r="R3" s="88"/>
      <c r="S3" s="88"/>
      <c r="T3" s="88"/>
      <c r="U3" s="88"/>
      <c r="V3" s="88"/>
      <c r="W3" s="88"/>
      <c r="X3" s="91"/>
    </row>
    <row r="4" spans="2:25" s="124" customFormat="1" ht="18.75" x14ac:dyDescent="0.3">
      <c r="B4" s="93"/>
      <c r="C4" s="94" t="s">
        <v>739</v>
      </c>
      <c r="D4" s="94"/>
      <c r="E4" s="95"/>
      <c r="F4" s="938"/>
      <c r="G4" s="95"/>
      <c r="H4" s="95"/>
      <c r="I4" s="95"/>
      <c r="J4" s="95"/>
      <c r="K4" s="95"/>
      <c r="L4" s="95"/>
      <c r="M4" s="95"/>
      <c r="N4" s="1222"/>
      <c r="O4" s="95"/>
      <c r="P4" s="95"/>
      <c r="Q4" s="1214"/>
      <c r="R4" s="95"/>
      <c r="S4" s="95"/>
      <c r="T4" s="95"/>
      <c r="U4" s="95"/>
      <c r="V4" s="95"/>
      <c r="W4" s="95"/>
      <c r="X4" s="96"/>
    </row>
    <row r="5" spans="2:25" ht="18.75" x14ac:dyDescent="0.3">
      <c r="B5" s="872"/>
      <c r="C5" s="99" t="str">
        <f>geg!G12</f>
        <v>Basisschool</v>
      </c>
      <c r="D5" s="878"/>
      <c r="E5" s="88"/>
      <c r="F5" s="939"/>
      <c r="G5" s="88"/>
      <c r="H5" s="88"/>
      <c r="I5" s="88"/>
      <c r="J5" s="88"/>
      <c r="K5" s="88"/>
      <c r="L5" s="88"/>
      <c r="M5" s="88"/>
      <c r="N5" s="666"/>
      <c r="O5" s="88"/>
      <c r="P5" s="88"/>
      <c r="Q5" s="1213"/>
      <c r="R5" s="88"/>
      <c r="S5" s="88"/>
      <c r="T5" s="88"/>
      <c r="U5" s="88"/>
      <c r="V5" s="88"/>
      <c r="W5" s="88"/>
      <c r="X5" s="91"/>
    </row>
    <row r="6" spans="2:25" x14ac:dyDescent="0.2">
      <c r="B6" s="87"/>
      <c r="C6" s="88"/>
      <c r="D6" s="88"/>
      <c r="E6" s="88"/>
      <c r="F6" s="88"/>
      <c r="G6" s="88"/>
      <c r="H6" s="88"/>
      <c r="I6" s="88"/>
      <c r="J6" s="88"/>
      <c r="K6" s="88"/>
      <c r="L6" s="88"/>
      <c r="M6" s="88"/>
      <c r="N6" s="666"/>
      <c r="O6" s="88"/>
      <c r="P6" s="88"/>
      <c r="Q6" s="1213"/>
      <c r="R6" s="88"/>
      <c r="S6" s="88"/>
      <c r="T6" s="88"/>
      <c r="U6" s="88"/>
      <c r="V6" s="88"/>
      <c r="W6" s="88"/>
      <c r="X6" s="91"/>
    </row>
    <row r="7" spans="2:25" x14ac:dyDescent="0.2">
      <c r="B7" s="87"/>
      <c r="C7" s="88"/>
      <c r="D7" s="88"/>
      <c r="E7" s="88"/>
      <c r="F7" s="88"/>
      <c r="G7" s="88"/>
      <c r="H7" s="88"/>
      <c r="I7" s="88"/>
      <c r="J7" s="88"/>
      <c r="K7" s="88"/>
      <c r="L7" s="88"/>
      <c r="M7" s="88"/>
      <c r="N7" s="666"/>
      <c r="O7" s="88"/>
      <c r="P7" s="88"/>
      <c r="Q7" s="1213"/>
      <c r="R7" s="88"/>
      <c r="S7" s="88"/>
      <c r="T7" s="88"/>
      <c r="U7" s="88"/>
      <c r="V7" s="88"/>
      <c r="W7" s="88"/>
      <c r="X7" s="91"/>
    </row>
    <row r="8" spans="2:25" x14ac:dyDescent="0.2">
      <c r="B8" s="87"/>
      <c r="C8" s="88"/>
      <c r="D8" s="88"/>
      <c r="E8" s="943"/>
      <c r="F8" s="88"/>
      <c r="G8" s="943"/>
      <c r="H8" s="943"/>
      <c r="I8" s="943"/>
      <c r="J8" s="88"/>
      <c r="K8" s="88"/>
      <c r="L8" s="88"/>
      <c r="M8" s="88"/>
      <c r="N8" s="666"/>
      <c r="O8" s="943"/>
      <c r="P8" s="88"/>
      <c r="Q8" s="1213"/>
      <c r="R8" s="943"/>
      <c r="S8" s="88"/>
      <c r="T8" s="88"/>
      <c r="U8" s="943"/>
      <c r="V8" s="88"/>
      <c r="W8" s="943"/>
      <c r="X8" s="944"/>
      <c r="Y8" s="945"/>
    </row>
    <row r="9" spans="2:25" x14ac:dyDescent="0.2">
      <c r="B9" s="87"/>
      <c r="C9" s="88"/>
      <c r="D9" s="88"/>
      <c r="E9" s="943"/>
      <c r="F9" s="88"/>
      <c r="G9" s="943"/>
      <c r="H9" s="943"/>
      <c r="I9" s="943"/>
      <c r="J9" s="88"/>
      <c r="K9" s="88"/>
      <c r="L9" s="88"/>
      <c r="M9" s="88"/>
      <c r="N9" s="666"/>
      <c r="O9" s="943"/>
      <c r="P9" s="88"/>
      <c r="Q9" s="1213"/>
      <c r="R9" s="943"/>
      <c r="S9" s="88"/>
      <c r="T9" s="88"/>
      <c r="U9" s="943"/>
      <c r="V9" s="88"/>
      <c r="W9" s="943"/>
      <c r="X9" s="944"/>
      <c r="Y9" s="945"/>
    </row>
    <row r="10" spans="2:25" x14ac:dyDescent="0.2">
      <c r="B10" s="87"/>
      <c r="C10" s="104"/>
      <c r="D10" s="105"/>
      <c r="E10" s="947"/>
      <c r="F10" s="105"/>
      <c r="G10" s="947"/>
      <c r="H10" s="947"/>
      <c r="I10" s="947"/>
      <c r="J10" s="105"/>
      <c r="K10" s="105"/>
      <c r="L10" s="105"/>
      <c r="M10" s="105"/>
      <c r="N10" s="800"/>
      <c r="O10" s="947"/>
      <c r="P10" s="105"/>
      <c r="Q10" s="1215"/>
      <c r="R10" s="947"/>
      <c r="S10" s="186"/>
      <c r="T10" s="105"/>
      <c r="U10" s="947"/>
      <c r="V10" s="186"/>
      <c r="W10" s="947"/>
      <c r="X10" s="944"/>
      <c r="Y10" s="945"/>
    </row>
    <row r="11" spans="2:25" x14ac:dyDescent="0.2">
      <c r="B11" s="87"/>
      <c r="C11" s="104"/>
      <c r="D11" s="1089" t="s">
        <v>684</v>
      </c>
      <c r="E11" s="947"/>
      <c r="G11" s="947"/>
      <c r="H11" s="945"/>
      <c r="I11" s="945"/>
      <c r="J11" s="1230" t="s">
        <v>724</v>
      </c>
      <c r="K11" s="363"/>
      <c r="L11" s="566"/>
      <c r="M11" s="566"/>
      <c r="N11" s="1133"/>
      <c r="O11" s="1235"/>
      <c r="P11" s="1234" t="s">
        <v>723</v>
      </c>
      <c r="Q11" s="1236"/>
      <c r="R11" s="1235"/>
      <c r="S11" s="1231" t="s">
        <v>690</v>
      </c>
      <c r="U11" s="1235"/>
      <c r="V11" s="1243" t="s">
        <v>722</v>
      </c>
      <c r="W11" s="947"/>
      <c r="X11" s="944"/>
      <c r="Y11" s="945"/>
    </row>
    <row r="12" spans="2:25" x14ac:dyDescent="0.2">
      <c r="B12" s="87"/>
      <c r="C12" s="104"/>
      <c r="D12" s="1181" t="s">
        <v>685</v>
      </c>
      <c r="E12" s="947"/>
      <c r="F12" s="1182" t="s">
        <v>686</v>
      </c>
      <c r="G12" s="947"/>
      <c r="H12" s="485" t="s">
        <v>687</v>
      </c>
      <c r="I12" s="945"/>
      <c r="J12" s="1182" t="s">
        <v>689</v>
      </c>
      <c r="K12" s="480" t="s">
        <v>333</v>
      </c>
      <c r="L12" s="480" t="s">
        <v>368</v>
      </c>
      <c r="M12" s="485" t="s">
        <v>238</v>
      </c>
      <c r="N12" s="1223" t="s">
        <v>367</v>
      </c>
      <c r="O12" s="1232"/>
      <c r="P12" s="1182" t="s">
        <v>689</v>
      </c>
      <c r="Q12" s="1216" t="s">
        <v>367</v>
      </c>
      <c r="R12" s="1232"/>
      <c r="S12" s="1182" t="s">
        <v>689</v>
      </c>
      <c r="T12" s="485" t="s">
        <v>367</v>
      </c>
      <c r="U12" s="1232"/>
      <c r="V12" s="485"/>
      <c r="W12" s="947"/>
      <c r="X12" s="944"/>
      <c r="Y12" s="945"/>
    </row>
    <row r="13" spans="2:25" x14ac:dyDescent="0.2">
      <c r="B13" s="87"/>
      <c r="C13" s="108"/>
      <c r="D13" s="1183"/>
      <c r="E13" s="188"/>
      <c r="F13" s="1183"/>
      <c r="G13" s="188"/>
      <c r="H13" s="1239"/>
      <c r="I13" s="188"/>
      <c r="J13" s="1183"/>
      <c r="K13" s="150"/>
      <c r="L13" s="150"/>
      <c r="M13" s="509"/>
      <c r="N13" s="1233">
        <f>(((IF(K13="",0,VLOOKUP(K13,tab!$A$68:$V$110,L13+2,FALSE)))*M13)*12)*(1+tab!$D$55)</f>
        <v>0</v>
      </c>
      <c r="O13" s="188"/>
      <c r="P13" s="1183"/>
      <c r="Q13" s="1224">
        <v>0</v>
      </c>
      <c r="R13" s="188"/>
      <c r="S13" s="1184"/>
      <c r="T13" s="1224">
        <v>0</v>
      </c>
      <c r="U13" s="188"/>
      <c r="V13" s="1241">
        <f>N13+Q13+T13</f>
        <v>0</v>
      </c>
      <c r="W13" s="188"/>
      <c r="X13" s="91"/>
    </row>
    <row r="14" spans="2:25" x14ac:dyDescent="0.2">
      <c r="B14" s="87"/>
      <c r="C14" s="116"/>
      <c r="D14" s="1183"/>
      <c r="E14" s="151"/>
      <c r="F14" s="1183"/>
      <c r="G14" s="151"/>
      <c r="H14" s="1240"/>
      <c r="I14" s="151"/>
      <c r="J14" s="1183"/>
      <c r="K14" s="150"/>
      <c r="L14" s="150"/>
      <c r="M14" s="509"/>
      <c r="N14" s="1233">
        <f>(((IF(K14="",0,VLOOKUP(K14,tab!$A$68:$V$110,L14+2,FALSE)))*M14)*12)*(1+tab!$D$55)</f>
        <v>0</v>
      </c>
      <c r="O14" s="151"/>
      <c r="P14" s="1183"/>
      <c r="Q14" s="1224">
        <v>0</v>
      </c>
      <c r="R14" s="151"/>
      <c r="S14" s="1185"/>
      <c r="T14" s="1224">
        <v>0</v>
      </c>
      <c r="U14" s="151"/>
      <c r="V14" s="1241">
        <f t="shared" ref="V14:V19" si="0">N14+Q14+T14</f>
        <v>0</v>
      </c>
      <c r="W14" s="151"/>
      <c r="X14" s="91"/>
    </row>
    <row r="15" spans="2:25" x14ac:dyDescent="0.2">
      <c r="B15" s="87"/>
      <c r="C15" s="116"/>
      <c r="D15" s="1183"/>
      <c r="E15" s="151"/>
      <c r="F15" s="1183"/>
      <c r="G15" s="151"/>
      <c r="H15" s="1240"/>
      <c r="I15" s="151"/>
      <c r="J15" s="1183"/>
      <c r="K15" s="150"/>
      <c r="L15" s="150"/>
      <c r="M15" s="509"/>
      <c r="N15" s="1233">
        <f>(((IF(K15="",0,VLOOKUP(K15,tab!$A$68:$V$110,L15+2,FALSE)))*M15)*12)*(1+tab!$D$55)</f>
        <v>0</v>
      </c>
      <c r="O15" s="151"/>
      <c r="P15" s="1183"/>
      <c r="Q15" s="1224">
        <v>0</v>
      </c>
      <c r="R15" s="151"/>
      <c r="S15" s="1185"/>
      <c r="T15" s="1224">
        <v>0</v>
      </c>
      <c r="U15" s="151"/>
      <c r="V15" s="1241">
        <f t="shared" si="0"/>
        <v>0</v>
      </c>
      <c r="W15" s="151"/>
      <c r="X15" s="91"/>
    </row>
    <row r="16" spans="2:25" x14ac:dyDescent="0.2">
      <c r="B16" s="87"/>
      <c r="C16" s="116"/>
      <c r="D16" s="1183"/>
      <c r="E16" s="151"/>
      <c r="F16" s="1183"/>
      <c r="G16" s="151"/>
      <c r="H16" s="1240"/>
      <c r="I16" s="151"/>
      <c r="J16" s="1183"/>
      <c r="K16" s="150"/>
      <c r="L16" s="150"/>
      <c r="M16" s="509"/>
      <c r="N16" s="1233">
        <f>(((IF(K16="",0,VLOOKUP(K16,tab!$A$68:$V$110,L16+2,FALSE)))*M16)*12)*(1+tab!$D$55)</f>
        <v>0</v>
      </c>
      <c r="O16" s="151"/>
      <c r="P16" s="1183"/>
      <c r="Q16" s="1224">
        <v>0</v>
      </c>
      <c r="R16" s="151"/>
      <c r="S16" s="1185"/>
      <c r="T16" s="1224">
        <v>0</v>
      </c>
      <c r="U16" s="151"/>
      <c r="V16" s="1241">
        <f t="shared" si="0"/>
        <v>0</v>
      </c>
      <c r="W16" s="151"/>
      <c r="X16" s="91"/>
    </row>
    <row r="17" spans="2:25" x14ac:dyDescent="0.2">
      <c r="B17" s="87"/>
      <c r="C17" s="116"/>
      <c r="D17" s="1183"/>
      <c r="E17" s="151"/>
      <c r="F17" s="1183"/>
      <c r="G17" s="151"/>
      <c r="H17" s="1240"/>
      <c r="I17" s="151"/>
      <c r="J17" s="1183"/>
      <c r="K17" s="150"/>
      <c r="L17" s="150"/>
      <c r="M17" s="509"/>
      <c r="N17" s="1233">
        <f>(((IF(K17="",0,VLOOKUP(K17,tab!$A$68:$V$110,L17+2,FALSE)))*M17)*12)*(1+tab!$D$55)</f>
        <v>0</v>
      </c>
      <c r="O17" s="151"/>
      <c r="P17" s="1183"/>
      <c r="Q17" s="1224">
        <v>0</v>
      </c>
      <c r="R17" s="151"/>
      <c r="S17" s="1185"/>
      <c r="T17" s="1224">
        <v>0</v>
      </c>
      <c r="U17" s="151"/>
      <c r="V17" s="1241">
        <f t="shared" si="0"/>
        <v>0</v>
      </c>
      <c r="W17" s="151"/>
      <c r="X17" s="91"/>
    </row>
    <row r="18" spans="2:25" x14ac:dyDescent="0.2">
      <c r="B18" s="87"/>
      <c r="C18" s="116"/>
      <c r="D18" s="1183"/>
      <c r="E18" s="151"/>
      <c r="F18" s="1183"/>
      <c r="G18" s="151"/>
      <c r="H18" s="1240"/>
      <c r="I18" s="151"/>
      <c r="J18" s="1183"/>
      <c r="K18" s="150"/>
      <c r="L18" s="150"/>
      <c r="M18" s="509"/>
      <c r="N18" s="1233">
        <f>(((IF(K18="",0,VLOOKUP(K18,tab!$A$68:$V$110,L18+2,FALSE)))*M18)*12)*(1+tab!$D$55)</f>
        <v>0</v>
      </c>
      <c r="O18" s="151"/>
      <c r="P18" s="1183"/>
      <c r="Q18" s="1224">
        <v>0</v>
      </c>
      <c r="R18" s="151"/>
      <c r="S18" s="1185"/>
      <c r="T18" s="1224">
        <v>0</v>
      </c>
      <c r="U18" s="151"/>
      <c r="V18" s="1241">
        <f t="shared" si="0"/>
        <v>0</v>
      </c>
      <c r="W18" s="151"/>
      <c r="X18" s="91"/>
    </row>
    <row r="19" spans="2:25" x14ac:dyDescent="0.2">
      <c r="B19" s="87"/>
      <c r="C19" s="1195"/>
      <c r="D19" s="1186"/>
      <c r="E19" s="1195"/>
      <c r="F19" s="1186"/>
      <c r="G19" s="1195"/>
      <c r="H19" s="1195"/>
      <c r="I19" s="1195"/>
      <c r="J19" s="1186"/>
      <c r="K19" s="1186"/>
      <c r="L19" s="1186"/>
      <c r="M19" s="1186"/>
      <c r="N19" s="1225">
        <f>SUM(N13:N18)</f>
        <v>0</v>
      </c>
      <c r="O19" s="1195"/>
      <c r="P19" s="1186"/>
      <c r="Q19" s="1187">
        <f>SUM(Q13:Q18)</f>
        <v>0</v>
      </c>
      <c r="R19" s="1195"/>
      <c r="S19" s="1186"/>
      <c r="T19" s="1187">
        <f>SUM(T13:T18)</f>
        <v>0</v>
      </c>
      <c r="U19" s="1195"/>
      <c r="V19" s="1242">
        <f t="shared" si="0"/>
        <v>0</v>
      </c>
      <c r="W19" s="1195"/>
      <c r="X19" s="91"/>
    </row>
    <row r="20" spans="2:25" x14ac:dyDescent="0.2">
      <c r="B20" s="87"/>
      <c r="E20" s="884"/>
      <c r="F20" s="884"/>
      <c r="G20" s="884"/>
      <c r="H20" s="884"/>
      <c r="I20" s="884"/>
      <c r="J20" s="884"/>
      <c r="K20" s="884"/>
      <c r="L20" s="884"/>
      <c r="M20" s="884"/>
      <c r="N20" s="1226"/>
      <c r="O20" s="884"/>
      <c r="P20" s="884"/>
      <c r="Q20" s="1217"/>
      <c r="R20" s="884"/>
      <c r="S20" s="884"/>
      <c r="T20" s="884"/>
      <c r="U20" s="884"/>
      <c r="V20" s="884"/>
      <c r="W20" s="884"/>
      <c r="X20" s="91"/>
    </row>
    <row r="21" spans="2:25" x14ac:dyDescent="0.2">
      <c r="B21" s="87"/>
      <c r="C21" s="88"/>
      <c r="D21" s="88"/>
      <c r="E21" s="939"/>
      <c r="F21" s="939"/>
      <c r="G21" s="939"/>
      <c r="H21" s="939"/>
      <c r="I21" s="939"/>
      <c r="J21" s="939"/>
      <c r="K21" s="939"/>
      <c r="L21" s="939"/>
      <c r="M21" s="939"/>
      <c r="N21" s="1227"/>
      <c r="O21" s="939"/>
      <c r="P21" s="939"/>
      <c r="Q21" s="1218"/>
      <c r="R21" s="939"/>
      <c r="S21" s="939"/>
      <c r="T21" s="939"/>
      <c r="U21" s="939"/>
      <c r="V21" s="939"/>
      <c r="W21" s="939"/>
      <c r="X21" s="91"/>
    </row>
    <row r="22" spans="2:25" x14ac:dyDescent="0.2">
      <c r="B22" s="87"/>
      <c r="C22" s="104"/>
      <c r="D22" s="105"/>
      <c r="E22" s="947"/>
      <c r="F22" s="105"/>
      <c r="G22" s="947"/>
      <c r="H22" s="947"/>
      <c r="I22" s="947"/>
      <c r="J22" s="105"/>
      <c r="K22" s="105"/>
      <c r="L22" s="105"/>
      <c r="M22" s="105"/>
      <c r="N22" s="800"/>
      <c r="O22" s="947"/>
      <c r="P22" s="105"/>
      <c r="Q22" s="1215"/>
      <c r="R22" s="947"/>
      <c r="S22" s="186"/>
      <c r="T22" s="105"/>
      <c r="U22" s="947"/>
      <c r="V22" s="186"/>
      <c r="W22" s="947"/>
      <c r="X22" s="91"/>
    </row>
    <row r="23" spans="2:25" x14ac:dyDescent="0.2">
      <c r="B23" s="87"/>
      <c r="C23" s="104"/>
      <c r="D23" s="1089" t="s">
        <v>688</v>
      </c>
      <c r="E23" s="947"/>
      <c r="G23" s="947"/>
      <c r="H23" s="945"/>
      <c r="I23" s="945"/>
      <c r="J23" s="1230" t="s">
        <v>724</v>
      </c>
      <c r="K23" s="363"/>
      <c r="L23" s="566"/>
      <c r="M23" s="566"/>
      <c r="N23" s="1133"/>
      <c r="O23" s="1235"/>
      <c r="P23" s="1234" t="s">
        <v>723</v>
      </c>
      <c r="Q23" s="1236"/>
      <c r="R23" s="1235"/>
      <c r="S23" s="1231" t="s">
        <v>690</v>
      </c>
      <c r="U23" s="1235"/>
      <c r="V23" s="1243" t="s">
        <v>722</v>
      </c>
      <c r="W23" s="947"/>
      <c r="X23" s="91"/>
    </row>
    <row r="24" spans="2:25" x14ac:dyDescent="0.2">
      <c r="B24" s="87"/>
      <c r="C24" s="104"/>
      <c r="D24" s="1181" t="s">
        <v>685</v>
      </c>
      <c r="E24" s="947"/>
      <c r="F24" s="1182" t="s">
        <v>686</v>
      </c>
      <c r="G24" s="947"/>
      <c r="H24" s="485" t="s">
        <v>687</v>
      </c>
      <c r="I24" s="945"/>
      <c r="J24" s="1182" t="s">
        <v>689</v>
      </c>
      <c r="K24" s="480" t="s">
        <v>333</v>
      </c>
      <c r="L24" s="480" t="s">
        <v>368</v>
      </c>
      <c r="M24" s="485" t="s">
        <v>238</v>
      </c>
      <c r="N24" s="1223" t="s">
        <v>722</v>
      </c>
      <c r="O24" s="1232"/>
      <c r="P24" s="1182" t="s">
        <v>689</v>
      </c>
      <c r="Q24" s="1216" t="s">
        <v>722</v>
      </c>
      <c r="R24" s="1232"/>
      <c r="S24" s="1182" t="s">
        <v>689</v>
      </c>
      <c r="T24" s="485" t="s">
        <v>722</v>
      </c>
      <c r="U24" s="1232"/>
      <c r="V24" s="485"/>
      <c r="W24" s="947"/>
      <c r="X24" s="944"/>
      <c r="Y24" s="945"/>
    </row>
    <row r="25" spans="2:25" x14ac:dyDescent="0.2">
      <c r="B25" s="87"/>
      <c r="C25" s="108"/>
      <c r="D25" s="1183"/>
      <c r="E25" s="188"/>
      <c r="F25" s="1183"/>
      <c r="G25" s="188"/>
      <c r="H25" s="1239"/>
      <c r="I25" s="188"/>
      <c r="J25" s="1183"/>
      <c r="K25" s="150"/>
      <c r="L25" s="150"/>
      <c r="M25" s="509"/>
      <c r="N25" s="1233">
        <f>(((IF(K25="",0,VLOOKUP(K25,tab!$A$68:$V$110,L25+2,FALSE)))*M25)*12)*(1+tab!$D$55)</f>
        <v>0</v>
      </c>
      <c r="O25" s="188"/>
      <c r="P25" s="1183"/>
      <c r="Q25" s="1224">
        <v>0</v>
      </c>
      <c r="R25" s="188"/>
      <c r="S25" s="1184"/>
      <c r="T25" s="1224">
        <v>0</v>
      </c>
      <c r="U25" s="188"/>
      <c r="V25" s="1241">
        <f t="shared" ref="V25:V31" si="1">N25+Q25+T25</f>
        <v>0</v>
      </c>
      <c r="W25" s="188"/>
      <c r="X25" s="91"/>
    </row>
    <row r="26" spans="2:25" x14ac:dyDescent="0.2">
      <c r="B26" s="87"/>
      <c r="C26" s="116"/>
      <c r="D26" s="1183"/>
      <c r="E26" s="151"/>
      <c r="F26" s="1183"/>
      <c r="G26" s="151"/>
      <c r="H26" s="1240"/>
      <c r="I26" s="151"/>
      <c r="J26" s="1183"/>
      <c r="K26" s="150"/>
      <c r="L26" s="150"/>
      <c r="M26" s="509"/>
      <c r="N26" s="1233">
        <f>(((IF(K26="",0,VLOOKUP(K26,tab!$A$68:$V$110,L26+2,FALSE)))*M26)*12)*(1+tab!$D$55)</f>
        <v>0</v>
      </c>
      <c r="O26" s="151"/>
      <c r="P26" s="1183"/>
      <c r="Q26" s="1224">
        <v>0</v>
      </c>
      <c r="R26" s="151"/>
      <c r="S26" s="1185"/>
      <c r="T26" s="1224">
        <v>0</v>
      </c>
      <c r="U26" s="151"/>
      <c r="V26" s="1241">
        <f t="shared" si="1"/>
        <v>0</v>
      </c>
      <c r="W26" s="151"/>
      <c r="X26" s="91"/>
    </row>
    <row r="27" spans="2:25" x14ac:dyDescent="0.2">
      <c r="B27" s="87"/>
      <c r="C27" s="116"/>
      <c r="D27" s="1183"/>
      <c r="E27" s="151"/>
      <c r="F27" s="1183"/>
      <c r="G27" s="151"/>
      <c r="H27" s="1240"/>
      <c r="I27" s="151"/>
      <c r="J27" s="1183"/>
      <c r="K27" s="150"/>
      <c r="L27" s="150"/>
      <c r="M27" s="509"/>
      <c r="N27" s="1233">
        <f>(((IF(K27="",0,VLOOKUP(K27,tab!$A$68:$V$110,L27+2,FALSE)))*M27)*12)*(1+tab!$D$55)</f>
        <v>0</v>
      </c>
      <c r="O27" s="151"/>
      <c r="P27" s="1183"/>
      <c r="Q27" s="1224">
        <v>0</v>
      </c>
      <c r="R27" s="151"/>
      <c r="S27" s="1185"/>
      <c r="T27" s="1224">
        <v>0</v>
      </c>
      <c r="U27" s="151"/>
      <c r="V27" s="1241">
        <f t="shared" si="1"/>
        <v>0</v>
      </c>
      <c r="W27" s="151"/>
      <c r="X27" s="91"/>
    </row>
    <row r="28" spans="2:25" x14ac:dyDescent="0.2">
      <c r="B28" s="87"/>
      <c r="C28" s="116"/>
      <c r="D28" s="1183"/>
      <c r="E28" s="151"/>
      <c r="F28" s="1183"/>
      <c r="G28" s="151"/>
      <c r="H28" s="1240"/>
      <c r="I28" s="151"/>
      <c r="J28" s="1183"/>
      <c r="K28" s="150"/>
      <c r="L28" s="150"/>
      <c r="M28" s="509"/>
      <c r="N28" s="1233">
        <f>(((IF(K28="",0,VLOOKUP(K28,tab!$A$68:$V$110,L28+2,FALSE)))*M28)*12)*(1+tab!$D$55)</f>
        <v>0</v>
      </c>
      <c r="O28" s="151"/>
      <c r="P28" s="1183"/>
      <c r="Q28" s="1224">
        <v>0</v>
      </c>
      <c r="R28" s="151"/>
      <c r="S28" s="1185"/>
      <c r="T28" s="1224">
        <v>0</v>
      </c>
      <c r="U28" s="151"/>
      <c r="V28" s="1241">
        <f t="shared" si="1"/>
        <v>0</v>
      </c>
      <c r="W28" s="151"/>
      <c r="X28" s="91"/>
    </row>
    <row r="29" spans="2:25" x14ac:dyDescent="0.2">
      <c r="B29" s="87"/>
      <c r="C29" s="116"/>
      <c r="D29" s="1183"/>
      <c r="E29" s="151"/>
      <c r="F29" s="1183"/>
      <c r="G29" s="151"/>
      <c r="H29" s="1240"/>
      <c r="I29" s="151"/>
      <c r="J29" s="1183"/>
      <c r="K29" s="150"/>
      <c r="L29" s="150"/>
      <c r="M29" s="509"/>
      <c r="N29" s="1233">
        <f>(((IF(K29="",0,VLOOKUP(K29,tab!$A$68:$V$110,L29+2,FALSE)))*M29)*12)*(1+tab!$D$55)</f>
        <v>0</v>
      </c>
      <c r="O29" s="151"/>
      <c r="P29" s="1183"/>
      <c r="Q29" s="1224">
        <v>0</v>
      </c>
      <c r="R29" s="151"/>
      <c r="S29" s="1185"/>
      <c r="T29" s="1224">
        <v>0</v>
      </c>
      <c r="U29" s="151"/>
      <c r="V29" s="1241">
        <f t="shared" si="1"/>
        <v>0</v>
      </c>
      <c r="W29" s="151"/>
      <c r="X29" s="91"/>
    </row>
    <row r="30" spans="2:25" x14ac:dyDescent="0.2">
      <c r="B30" s="87"/>
      <c r="C30" s="116"/>
      <c r="D30" s="1183"/>
      <c r="E30" s="151"/>
      <c r="F30" s="1183"/>
      <c r="G30" s="151"/>
      <c r="H30" s="1240"/>
      <c r="I30" s="151"/>
      <c r="J30" s="1183"/>
      <c r="K30" s="150"/>
      <c r="L30" s="150"/>
      <c r="M30" s="509"/>
      <c r="N30" s="1233">
        <f>(((IF(K30="",0,VLOOKUP(K30,tab!$A$68:$V$110,L30+2,FALSE)))*M30)*12)*(1+tab!$D$55)</f>
        <v>0</v>
      </c>
      <c r="O30" s="151"/>
      <c r="P30" s="1183"/>
      <c r="Q30" s="1224">
        <v>0</v>
      </c>
      <c r="R30" s="151"/>
      <c r="S30" s="1185"/>
      <c r="T30" s="1224">
        <v>0</v>
      </c>
      <c r="U30" s="151"/>
      <c r="V30" s="1241">
        <f t="shared" si="1"/>
        <v>0</v>
      </c>
      <c r="W30" s="151"/>
      <c r="X30" s="91"/>
    </row>
    <row r="31" spans="2:25" x14ac:dyDescent="0.2">
      <c r="B31" s="87"/>
      <c r="C31" s="1195"/>
      <c r="D31" s="1195"/>
      <c r="E31" s="1196"/>
      <c r="F31" s="1196"/>
      <c r="G31" s="1196"/>
      <c r="H31" s="1196"/>
      <c r="I31" s="1196"/>
      <c r="J31" s="1186"/>
      <c r="K31" s="1186"/>
      <c r="L31" s="1186"/>
      <c r="M31" s="1186"/>
      <c r="N31" s="1225">
        <f>SUM(N25:N30)</f>
        <v>0</v>
      </c>
      <c r="O31" s="1196"/>
      <c r="P31" s="1186"/>
      <c r="Q31" s="1187">
        <f>SUM(Q25:Q30)</f>
        <v>0</v>
      </c>
      <c r="R31" s="1195"/>
      <c r="S31" s="1196"/>
      <c r="T31" s="1187">
        <f>SUM(T25:T30)</f>
        <v>0</v>
      </c>
      <c r="U31" s="1195"/>
      <c r="V31" s="1242">
        <f t="shared" si="1"/>
        <v>0</v>
      </c>
      <c r="W31" s="1196"/>
      <c r="X31" s="91"/>
    </row>
    <row r="32" spans="2:25" x14ac:dyDescent="0.2">
      <c r="B32" s="87"/>
      <c r="E32" s="884"/>
      <c r="F32" s="884"/>
      <c r="G32" s="884"/>
      <c r="H32" s="884"/>
      <c r="I32" s="884"/>
      <c r="J32" s="884"/>
      <c r="K32" s="884"/>
      <c r="L32" s="884"/>
      <c r="M32" s="884"/>
      <c r="N32" s="1226"/>
      <c r="O32" s="884"/>
      <c r="P32" s="884"/>
      <c r="Q32" s="1217"/>
      <c r="R32" s="884"/>
      <c r="S32" s="884"/>
      <c r="T32" s="884"/>
      <c r="U32" s="884"/>
      <c r="V32" s="884"/>
      <c r="W32" s="884"/>
      <c r="X32" s="91"/>
    </row>
    <row r="33" spans="2:25" x14ac:dyDescent="0.2">
      <c r="B33" s="87"/>
      <c r="C33" s="88"/>
      <c r="D33" s="849"/>
      <c r="E33" s="88"/>
      <c r="F33" s="791"/>
      <c r="G33" s="88"/>
      <c r="H33" s="88"/>
      <c r="I33" s="88"/>
      <c r="J33" s="791"/>
      <c r="K33" s="791"/>
      <c r="L33" s="791"/>
      <c r="M33" s="791"/>
      <c r="N33" s="1136"/>
      <c r="O33" s="88"/>
      <c r="P33" s="791"/>
      <c r="Q33" s="1219"/>
      <c r="R33" s="88"/>
      <c r="S33" s="791"/>
      <c r="T33" s="791"/>
      <c r="U33" s="88"/>
      <c r="V33" s="791"/>
      <c r="W33" s="88"/>
      <c r="X33" s="91"/>
    </row>
    <row r="34" spans="2:25" x14ac:dyDescent="0.2">
      <c r="B34" s="87"/>
      <c r="C34" s="104"/>
      <c r="D34" s="105"/>
      <c r="E34" s="947"/>
      <c r="F34" s="105"/>
      <c r="G34" s="947"/>
      <c r="H34" s="947"/>
      <c r="I34" s="947"/>
      <c r="J34" s="105"/>
      <c r="K34" s="105"/>
      <c r="L34" s="105"/>
      <c r="M34" s="105"/>
      <c r="N34" s="800"/>
      <c r="O34" s="947"/>
      <c r="P34" s="105"/>
      <c r="Q34" s="1215"/>
      <c r="R34" s="947"/>
      <c r="S34" s="186"/>
      <c r="T34" s="105"/>
      <c r="U34" s="947"/>
      <c r="V34" s="186"/>
      <c r="W34" s="947"/>
      <c r="X34" s="91"/>
    </row>
    <row r="35" spans="2:25" x14ac:dyDescent="0.2">
      <c r="B35" s="87"/>
      <c r="C35" s="104"/>
      <c r="D35" s="1089" t="s">
        <v>691</v>
      </c>
      <c r="E35" s="947"/>
      <c r="G35" s="947"/>
      <c r="H35" s="945"/>
      <c r="I35" s="945"/>
      <c r="J35" s="1230" t="s">
        <v>724</v>
      </c>
      <c r="K35" s="363"/>
      <c r="L35" s="566"/>
      <c r="M35" s="566"/>
      <c r="N35" s="1133"/>
      <c r="O35" s="1235"/>
      <c r="P35" s="1234" t="s">
        <v>723</v>
      </c>
      <c r="Q35" s="1236"/>
      <c r="R35" s="1235"/>
      <c r="S35" s="1231" t="s">
        <v>690</v>
      </c>
      <c r="U35" s="1235"/>
      <c r="V35" s="1243" t="s">
        <v>722</v>
      </c>
      <c r="W35" s="947"/>
      <c r="X35" s="91"/>
    </row>
    <row r="36" spans="2:25" x14ac:dyDescent="0.2">
      <c r="B36" s="87"/>
      <c r="C36" s="104"/>
      <c r="D36" s="1181" t="s">
        <v>685</v>
      </c>
      <c r="E36" s="947"/>
      <c r="F36" s="1182" t="s">
        <v>686</v>
      </c>
      <c r="G36" s="947"/>
      <c r="H36" s="485" t="s">
        <v>687</v>
      </c>
      <c r="I36" s="945"/>
      <c r="J36" s="1182" t="s">
        <v>689</v>
      </c>
      <c r="K36" s="480" t="s">
        <v>333</v>
      </c>
      <c r="L36" s="480" t="s">
        <v>368</v>
      </c>
      <c r="M36" s="485" t="s">
        <v>238</v>
      </c>
      <c r="N36" s="1223" t="s">
        <v>722</v>
      </c>
      <c r="O36" s="1232"/>
      <c r="P36" s="1182" t="s">
        <v>689</v>
      </c>
      <c r="Q36" s="1216" t="s">
        <v>722</v>
      </c>
      <c r="R36" s="1232"/>
      <c r="S36" s="1182" t="s">
        <v>689</v>
      </c>
      <c r="T36" s="485" t="s">
        <v>722</v>
      </c>
      <c r="U36" s="1232"/>
      <c r="V36" s="485"/>
      <c r="W36" s="947"/>
      <c r="X36" s="944"/>
      <c r="Y36" s="945"/>
    </row>
    <row r="37" spans="2:25" x14ac:dyDescent="0.2">
      <c r="B37" s="87"/>
      <c r="C37" s="108"/>
      <c r="D37" s="1183"/>
      <c r="E37" s="188"/>
      <c r="F37" s="1183"/>
      <c r="G37" s="188"/>
      <c r="H37" s="1239"/>
      <c r="I37" s="188"/>
      <c r="J37" s="1183"/>
      <c r="K37" s="150"/>
      <c r="L37" s="150"/>
      <c r="M37" s="509"/>
      <c r="N37" s="1233">
        <f>(((IF(K37="",0,VLOOKUP(K37,tab!$A$68:$V$110,L37+2,FALSE)))*M37)*12)*(1+tab!$D$55)</f>
        <v>0</v>
      </c>
      <c r="O37" s="188"/>
      <c r="P37" s="1183"/>
      <c r="Q37" s="1224">
        <v>0</v>
      </c>
      <c r="R37" s="188"/>
      <c r="S37" s="1184"/>
      <c r="T37" s="1224">
        <v>0</v>
      </c>
      <c r="U37" s="188"/>
      <c r="V37" s="1241">
        <f t="shared" ref="V37:V43" si="2">N37+Q37+T37</f>
        <v>0</v>
      </c>
      <c r="W37" s="188"/>
      <c r="X37" s="91"/>
    </row>
    <row r="38" spans="2:25" x14ac:dyDescent="0.2">
      <c r="B38" s="87"/>
      <c r="C38" s="116"/>
      <c r="D38" s="1183"/>
      <c r="E38" s="151"/>
      <c r="F38" s="1183"/>
      <c r="G38" s="151"/>
      <c r="H38" s="1240"/>
      <c r="I38" s="151"/>
      <c r="J38" s="1183"/>
      <c r="K38" s="150"/>
      <c r="L38" s="150"/>
      <c r="M38" s="509"/>
      <c r="N38" s="1233">
        <f>(((IF(K38="",0,VLOOKUP(K38,tab!$A$68:$V$110,L38+2,FALSE)))*M38)*12)*(1+tab!$D$55)</f>
        <v>0</v>
      </c>
      <c r="O38" s="151"/>
      <c r="P38" s="1183"/>
      <c r="Q38" s="1224">
        <v>0</v>
      </c>
      <c r="R38" s="151"/>
      <c r="S38" s="1185"/>
      <c r="T38" s="1224">
        <v>0</v>
      </c>
      <c r="U38" s="151"/>
      <c r="V38" s="1241">
        <f t="shared" si="2"/>
        <v>0</v>
      </c>
      <c r="W38" s="151"/>
      <c r="X38" s="91"/>
    </row>
    <row r="39" spans="2:25" x14ac:dyDescent="0.2">
      <c r="B39" s="87"/>
      <c r="C39" s="116"/>
      <c r="D39" s="1183"/>
      <c r="E39" s="151"/>
      <c r="F39" s="1183"/>
      <c r="G39" s="151"/>
      <c r="H39" s="1240"/>
      <c r="I39" s="151"/>
      <c r="J39" s="1183"/>
      <c r="K39" s="150"/>
      <c r="L39" s="150"/>
      <c r="M39" s="509"/>
      <c r="N39" s="1233">
        <f>(((IF(K39="",0,VLOOKUP(K39,tab!$A$68:$V$110,L39+2,FALSE)))*M39)*12)*(1+tab!$D$55)</f>
        <v>0</v>
      </c>
      <c r="O39" s="151"/>
      <c r="P39" s="1183"/>
      <c r="Q39" s="1224">
        <v>0</v>
      </c>
      <c r="R39" s="151"/>
      <c r="S39" s="1185"/>
      <c r="T39" s="1224">
        <v>0</v>
      </c>
      <c r="U39" s="151"/>
      <c r="V39" s="1241">
        <f t="shared" si="2"/>
        <v>0</v>
      </c>
      <c r="W39" s="151"/>
      <c r="X39" s="91"/>
    </row>
    <row r="40" spans="2:25" x14ac:dyDescent="0.2">
      <c r="B40" s="87"/>
      <c r="C40" s="116"/>
      <c r="D40" s="1183"/>
      <c r="E40" s="151"/>
      <c r="F40" s="1183"/>
      <c r="G40" s="151"/>
      <c r="H40" s="1240"/>
      <c r="I40" s="151"/>
      <c r="J40" s="1183"/>
      <c r="K40" s="150"/>
      <c r="L40" s="150"/>
      <c r="M40" s="509"/>
      <c r="N40" s="1233">
        <f>(((IF(K40="",0,VLOOKUP(K40,tab!$A$68:$V$110,L40+2,FALSE)))*M40)*12)*(1+tab!$D$55)</f>
        <v>0</v>
      </c>
      <c r="O40" s="151"/>
      <c r="P40" s="1183"/>
      <c r="Q40" s="1224">
        <v>0</v>
      </c>
      <c r="R40" s="151"/>
      <c r="S40" s="1185"/>
      <c r="T40" s="1224">
        <v>0</v>
      </c>
      <c r="U40" s="151"/>
      <c r="V40" s="1241">
        <f t="shared" si="2"/>
        <v>0</v>
      </c>
      <c r="W40" s="151"/>
      <c r="X40" s="91"/>
    </row>
    <row r="41" spans="2:25" x14ac:dyDescent="0.2">
      <c r="B41" s="87"/>
      <c r="C41" s="116"/>
      <c r="D41" s="1183"/>
      <c r="E41" s="151"/>
      <c r="F41" s="1183"/>
      <c r="G41" s="151"/>
      <c r="H41" s="1240"/>
      <c r="I41" s="151"/>
      <c r="J41" s="1183"/>
      <c r="K41" s="150"/>
      <c r="L41" s="150"/>
      <c r="M41" s="509"/>
      <c r="N41" s="1233">
        <f>(((IF(K41="",0,VLOOKUP(K41,tab!$A$68:$V$110,L41+2,FALSE)))*M41)*12)*(1+tab!$D$55)</f>
        <v>0</v>
      </c>
      <c r="O41" s="151"/>
      <c r="P41" s="1183"/>
      <c r="Q41" s="1224">
        <v>0</v>
      </c>
      <c r="R41" s="151"/>
      <c r="S41" s="1185"/>
      <c r="T41" s="1224">
        <v>0</v>
      </c>
      <c r="U41" s="151"/>
      <c r="V41" s="1241">
        <f t="shared" si="2"/>
        <v>0</v>
      </c>
      <c r="W41" s="151"/>
      <c r="X41" s="91"/>
    </row>
    <row r="42" spans="2:25" x14ac:dyDescent="0.2">
      <c r="B42" s="87"/>
      <c r="C42" s="116"/>
      <c r="D42" s="1183"/>
      <c r="E42" s="151"/>
      <c r="F42" s="1183"/>
      <c r="G42" s="151"/>
      <c r="H42" s="1240"/>
      <c r="I42" s="151"/>
      <c r="J42" s="1183"/>
      <c r="K42" s="150"/>
      <c r="L42" s="150"/>
      <c r="M42" s="509"/>
      <c r="N42" s="1233">
        <f>(((IF(K42="",0,VLOOKUP(K42,tab!$A$68:$V$110,L42+2,FALSE)))*M42)*12)*(1+tab!$D$55)</f>
        <v>0</v>
      </c>
      <c r="O42" s="151"/>
      <c r="P42" s="1183"/>
      <c r="Q42" s="1224">
        <v>0</v>
      </c>
      <c r="R42" s="151"/>
      <c r="S42" s="1185"/>
      <c r="T42" s="1224">
        <v>0</v>
      </c>
      <c r="U42" s="151"/>
      <c r="V42" s="1241">
        <f t="shared" si="2"/>
        <v>0</v>
      </c>
      <c r="W42" s="151"/>
      <c r="X42" s="91"/>
    </row>
    <row r="43" spans="2:25" x14ac:dyDescent="0.2">
      <c r="B43" s="87"/>
      <c r="C43" s="1195"/>
      <c r="D43" s="1195"/>
      <c r="E43" s="1196"/>
      <c r="F43" s="1196"/>
      <c r="G43" s="1196"/>
      <c r="H43" s="1196"/>
      <c r="I43" s="1196"/>
      <c r="J43" s="1186"/>
      <c r="K43" s="1186"/>
      <c r="L43" s="1186"/>
      <c r="M43" s="1186"/>
      <c r="N43" s="1225">
        <f>SUM(N37:N42)</f>
        <v>0</v>
      </c>
      <c r="O43" s="1196"/>
      <c r="P43" s="1186"/>
      <c r="Q43" s="1187">
        <f>SUM(Q37:Q42)</f>
        <v>0</v>
      </c>
      <c r="R43" s="1195"/>
      <c r="S43" s="1196"/>
      <c r="T43" s="1187">
        <f>SUM(T37:T42)</f>
        <v>0</v>
      </c>
      <c r="U43" s="1195"/>
      <c r="V43" s="1242">
        <f t="shared" si="2"/>
        <v>0</v>
      </c>
      <c r="W43" s="1196"/>
      <c r="X43" s="91"/>
    </row>
    <row r="44" spans="2:25" x14ac:dyDescent="0.2">
      <c r="B44" s="87"/>
      <c r="E44" s="884"/>
      <c r="F44" s="884"/>
      <c r="G44" s="884"/>
      <c r="H44" s="884"/>
      <c r="I44" s="884"/>
      <c r="J44" s="884"/>
      <c r="K44" s="884"/>
      <c r="L44" s="884"/>
      <c r="M44" s="884"/>
      <c r="N44" s="1226"/>
      <c r="O44" s="884"/>
      <c r="P44" s="884"/>
      <c r="Q44" s="1217"/>
      <c r="R44" s="884"/>
      <c r="S44" s="884"/>
      <c r="T44" s="884"/>
      <c r="U44" s="884"/>
      <c r="V44" s="884"/>
      <c r="W44" s="884"/>
      <c r="X44" s="91"/>
    </row>
    <row r="45" spans="2:25" x14ac:dyDescent="0.2">
      <c r="B45" s="87"/>
      <c r="C45" s="88"/>
      <c r="D45" s="849"/>
      <c r="E45" s="88"/>
      <c r="F45" s="791"/>
      <c r="G45" s="88"/>
      <c r="H45" s="88"/>
      <c r="I45" s="88"/>
      <c r="J45" s="791"/>
      <c r="K45" s="791"/>
      <c r="L45" s="791"/>
      <c r="M45" s="791"/>
      <c r="N45" s="1136"/>
      <c r="O45" s="88"/>
      <c r="P45" s="791"/>
      <c r="Q45" s="1219"/>
      <c r="R45" s="88"/>
      <c r="S45" s="791"/>
      <c r="T45" s="791"/>
      <c r="U45" s="88"/>
      <c r="V45" s="791"/>
      <c r="W45" s="88"/>
      <c r="X45" s="91"/>
    </row>
    <row r="46" spans="2:25" x14ac:dyDescent="0.2">
      <c r="B46" s="87"/>
      <c r="C46" s="104"/>
      <c r="D46" s="105"/>
      <c r="E46" s="947"/>
      <c r="F46" s="105"/>
      <c r="G46" s="947"/>
      <c r="H46" s="947"/>
      <c r="I46" s="947"/>
      <c r="J46" s="105"/>
      <c r="K46" s="105"/>
      <c r="L46" s="105"/>
      <c r="M46" s="105"/>
      <c r="N46" s="800"/>
      <c r="O46" s="947"/>
      <c r="P46" s="105"/>
      <c r="Q46" s="1215"/>
      <c r="R46" s="947"/>
      <c r="S46" s="186"/>
      <c r="T46" s="105"/>
      <c r="U46" s="947"/>
      <c r="V46" s="186"/>
      <c r="W46" s="947"/>
      <c r="X46" s="91"/>
    </row>
    <row r="47" spans="2:25" x14ac:dyDescent="0.2">
      <c r="B47" s="87"/>
      <c r="C47" s="104"/>
      <c r="D47" s="1089" t="s">
        <v>725</v>
      </c>
      <c r="E47" s="947"/>
      <c r="G47" s="947"/>
      <c r="H47" s="945"/>
      <c r="I47" s="945"/>
      <c r="J47" s="1230" t="s">
        <v>724</v>
      </c>
      <c r="K47" s="363"/>
      <c r="L47" s="566"/>
      <c r="M47" s="566"/>
      <c r="N47" s="1133"/>
      <c r="O47" s="1235"/>
      <c r="P47" s="1234" t="s">
        <v>723</v>
      </c>
      <c r="Q47" s="1236"/>
      <c r="R47" s="1235"/>
      <c r="S47" s="1231" t="s">
        <v>690</v>
      </c>
      <c r="U47" s="1235"/>
      <c r="V47" s="1243" t="s">
        <v>722</v>
      </c>
      <c r="W47" s="947"/>
      <c r="X47" s="91"/>
    </row>
    <row r="48" spans="2:25" x14ac:dyDescent="0.2">
      <c r="B48" s="87"/>
      <c r="C48" s="104"/>
      <c r="D48" s="1181" t="s">
        <v>685</v>
      </c>
      <c r="E48" s="947"/>
      <c r="F48" s="1182" t="s">
        <v>686</v>
      </c>
      <c r="G48" s="947"/>
      <c r="H48" s="485" t="s">
        <v>687</v>
      </c>
      <c r="I48" s="945"/>
      <c r="J48" s="1182" t="s">
        <v>689</v>
      </c>
      <c r="K48" s="480" t="s">
        <v>333</v>
      </c>
      <c r="L48" s="480" t="s">
        <v>368</v>
      </c>
      <c r="M48" s="485" t="s">
        <v>238</v>
      </c>
      <c r="N48" s="1223" t="s">
        <v>722</v>
      </c>
      <c r="O48" s="1232"/>
      <c r="P48" s="1182" t="s">
        <v>689</v>
      </c>
      <c r="Q48" s="1216" t="s">
        <v>722</v>
      </c>
      <c r="R48" s="1232"/>
      <c r="S48" s="1182" t="s">
        <v>689</v>
      </c>
      <c r="T48" s="485" t="s">
        <v>722</v>
      </c>
      <c r="U48" s="1232"/>
      <c r="V48" s="485"/>
      <c r="W48" s="947"/>
      <c r="X48" s="91"/>
    </row>
    <row r="49" spans="2:24" x14ac:dyDescent="0.2">
      <c r="B49" s="87"/>
      <c r="C49" s="108"/>
      <c r="D49" s="1183"/>
      <c r="E49" s="188"/>
      <c r="F49" s="1183"/>
      <c r="G49" s="188"/>
      <c r="H49" s="1239"/>
      <c r="I49" s="188"/>
      <c r="J49" s="1183"/>
      <c r="K49" s="150"/>
      <c r="L49" s="150"/>
      <c r="M49" s="509"/>
      <c r="N49" s="1233">
        <f>(((IF(K49="",0,VLOOKUP(K49,tab!$A$68:$V$110,L49+2,FALSE)))*M49)*12)*(1+tab!$D$55)</f>
        <v>0</v>
      </c>
      <c r="O49" s="188"/>
      <c r="P49" s="1183"/>
      <c r="Q49" s="1224">
        <v>0</v>
      </c>
      <c r="R49" s="188"/>
      <c r="S49" s="1184"/>
      <c r="T49" s="1224">
        <v>0</v>
      </c>
      <c r="U49" s="188"/>
      <c r="V49" s="1241">
        <f t="shared" ref="V49:V55" si="3">N49+Q49+T49</f>
        <v>0</v>
      </c>
      <c r="W49" s="188"/>
      <c r="X49" s="91"/>
    </row>
    <row r="50" spans="2:24" x14ac:dyDescent="0.2">
      <c r="B50" s="87"/>
      <c r="C50" s="116"/>
      <c r="D50" s="1183"/>
      <c r="E50" s="151"/>
      <c r="F50" s="1183"/>
      <c r="G50" s="151"/>
      <c r="H50" s="1240"/>
      <c r="I50" s="151"/>
      <c r="J50" s="1183"/>
      <c r="K50" s="150"/>
      <c r="L50" s="150"/>
      <c r="M50" s="509"/>
      <c r="N50" s="1233">
        <f>(((IF(K50="",0,VLOOKUP(K50,tab!$A$68:$V$110,L50+2,FALSE)))*M50)*12)*(1+tab!$D$55)</f>
        <v>0</v>
      </c>
      <c r="O50" s="151"/>
      <c r="P50" s="1183"/>
      <c r="Q50" s="1224">
        <v>0</v>
      </c>
      <c r="R50" s="151"/>
      <c r="S50" s="1185"/>
      <c r="T50" s="1224">
        <v>0</v>
      </c>
      <c r="U50" s="151"/>
      <c r="V50" s="1241">
        <f t="shared" si="3"/>
        <v>0</v>
      </c>
      <c r="W50" s="151"/>
      <c r="X50" s="91"/>
    </row>
    <row r="51" spans="2:24" x14ac:dyDescent="0.2">
      <c r="B51" s="87"/>
      <c r="C51" s="116"/>
      <c r="D51" s="1183"/>
      <c r="E51" s="151"/>
      <c r="F51" s="1183"/>
      <c r="G51" s="151"/>
      <c r="H51" s="1240"/>
      <c r="I51" s="151"/>
      <c r="J51" s="1183"/>
      <c r="K51" s="150"/>
      <c r="L51" s="150"/>
      <c r="M51" s="509"/>
      <c r="N51" s="1233">
        <f>(((IF(K51="",0,VLOOKUP(K51,tab!$A$68:$V$110,L51+2,FALSE)))*M51)*12)*(1+tab!$D$55)</f>
        <v>0</v>
      </c>
      <c r="O51" s="151"/>
      <c r="P51" s="1183"/>
      <c r="Q51" s="1224">
        <v>0</v>
      </c>
      <c r="R51" s="151"/>
      <c r="S51" s="1185"/>
      <c r="T51" s="1224">
        <v>0</v>
      </c>
      <c r="U51" s="151"/>
      <c r="V51" s="1241">
        <f t="shared" si="3"/>
        <v>0</v>
      </c>
      <c r="W51" s="151"/>
      <c r="X51" s="91"/>
    </row>
    <row r="52" spans="2:24" x14ac:dyDescent="0.2">
      <c r="B52" s="87"/>
      <c r="C52" s="116"/>
      <c r="D52" s="1183"/>
      <c r="E52" s="151"/>
      <c r="F52" s="1183"/>
      <c r="G52" s="151"/>
      <c r="H52" s="1240"/>
      <c r="I52" s="151"/>
      <c r="J52" s="1183"/>
      <c r="K52" s="150"/>
      <c r="L52" s="150"/>
      <c r="M52" s="509"/>
      <c r="N52" s="1233">
        <f>(((IF(K52="",0,VLOOKUP(K52,tab!$A$68:$V$110,L52+2,FALSE)))*M52)*12)*(1+tab!$D$55)</f>
        <v>0</v>
      </c>
      <c r="O52" s="151"/>
      <c r="P52" s="1183"/>
      <c r="Q52" s="1224">
        <v>0</v>
      </c>
      <c r="R52" s="151"/>
      <c r="S52" s="1185"/>
      <c r="T52" s="1224">
        <v>0</v>
      </c>
      <c r="U52" s="151"/>
      <c r="V52" s="1241">
        <f t="shared" si="3"/>
        <v>0</v>
      </c>
      <c r="W52" s="151"/>
      <c r="X52" s="91"/>
    </row>
    <row r="53" spans="2:24" x14ac:dyDescent="0.2">
      <c r="B53" s="87"/>
      <c r="C53" s="116"/>
      <c r="D53" s="1183"/>
      <c r="E53" s="151"/>
      <c r="F53" s="1183"/>
      <c r="G53" s="151"/>
      <c r="H53" s="1240"/>
      <c r="I53" s="151"/>
      <c r="J53" s="1183"/>
      <c r="K53" s="150"/>
      <c r="L53" s="150"/>
      <c r="M53" s="509"/>
      <c r="N53" s="1233">
        <f>(((IF(K53="",0,VLOOKUP(K53,tab!$A$68:$V$110,L53+2,FALSE)))*M53)*12)*(1+tab!$D$55)</f>
        <v>0</v>
      </c>
      <c r="O53" s="151"/>
      <c r="P53" s="1183"/>
      <c r="Q53" s="1224">
        <v>0</v>
      </c>
      <c r="R53" s="151"/>
      <c r="S53" s="1185"/>
      <c r="T53" s="1224">
        <v>0</v>
      </c>
      <c r="U53" s="151"/>
      <c r="V53" s="1241">
        <f t="shared" si="3"/>
        <v>0</v>
      </c>
      <c r="W53" s="151"/>
      <c r="X53" s="91"/>
    </row>
    <row r="54" spans="2:24" x14ac:dyDescent="0.2">
      <c r="B54" s="87"/>
      <c r="C54" s="116"/>
      <c r="D54" s="1183"/>
      <c r="E54" s="151"/>
      <c r="F54" s="1183"/>
      <c r="G54" s="151"/>
      <c r="H54" s="1240"/>
      <c r="I54" s="151"/>
      <c r="J54" s="1183"/>
      <c r="K54" s="150"/>
      <c r="L54" s="150"/>
      <c r="M54" s="509"/>
      <c r="N54" s="1233">
        <f>(((IF(K54="",0,VLOOKUP(K54,tab!$A$68:$V$110,L54+2,FALSE)))*M54)*12)*(1+tab!$D$55)</f>
        <v>0</v>
      </c>
      <c r="O54" s="151"/>
      <c r="P54" s="1183"/>
      <c r="Q54" s="1224">
        <v>0</v>
      </c>
      <c r="R54" s="151"/>
      <c r="S54" s="1185"/>
      <c r="T54" s="1224">
        <v>0</v>
      </c>
      <c r="U54" s="151"/>
      <c r="V54" s="1241">
        <f t="shared" si="3"/>
        <v>0</v>
      </c>
      <c r="W54" s="151"/>
      <c r="X54" s="91"/>
    </row>
    <row r="55" spans="2:24" x14ac:dyDescent="0.2">
      <c r="B55" s="87"/>
      <c r="C55" s="1195"/>
      <c r="D55" s="1195"/>
      <c r="E55" s="1196"/>
      <c r="F55" s="1196"/>
      <c r="G55" s="1196"/>
      <c r="H55" s="1196"/>
      <c r="I55" s="1196"/>
      <c r="J55" s="1186"/>
      <c r="K55" s="1186"/>
      <c r="L55" s="1186"/>
      <c r="M55" s="1186"/>
      <c r="N55" s="1225">
        <f>SUM(N49:N54)</f>
        <v>0</v>
      </c>
      <c r="O55" s="1196"/>
      <c r="P55" s="1186"/>
      <c r="Q55" s="1187">
        <f>SUM(Q49:Q54)</f>
        <v>0</v>
      </c>
      <c r="R55" s="1195"/>
      <c r="S55" s="1196"/>
      <c r="T55" s="1187">
        <f>SUM(T49:T54)</f>
        <v>0</v>
      </c>
      <c r="U55" s="1195"/>
      <c r="V55" s="1242">
        <f t="shared" si="3"/>
        <v>0</v>
      </c>
      <c r="W55" s="1196"/>
      <c r="X55" s="91"/>
    </row>
    <row r="56" spans="2:24" x14ac:dyDescent="0.2">
      <c r="B56" s="87"/>
      <c r="E56" s="884"/>
      <c r="F56" s="884"/>
      <c r="G56" s="884"/>
      <c r="H56" s="884"/>
      <c r="I56" s="884"/>
      <c r="J56" s="884"/>
      <c r="K56" s="884"/>
      <c r="L56" s="884"/>
      <c r="M56" s="884"/>
      <c r="N56" s="1226"/>
      <c r="O56" s="884"/>
      <c r="P56" s="884"/>
      <c r="Q56" s="1217"/>
      <c r="R56" s="884"/>
      <c r="S56" s="884"/>
      <c r="T56" s="884"/>
      <c r="U56" s="884"/>
      <c r="V56" s="884"/>
      <c r="W56" s="884"/>
      <c r="X56" s="91"/>
    </row>
    <row r="57" spans="2:24" x14ac:dyDescent="0.2">
      <c r="B57" s="87"/>
      <c r="C57" s="88"/>
      <c r="D57" s="849"/>
      <c r="E57" s="88"/>
      <c r="F57" s="791"/>
      <c r="G57" s="88"/>
      <c r="H57" s="88"/>
      <c r="I57" s="88"/>
      <c r="J57" s="791"/>
      <c r="K57" s="791"/>
      <c r="L57" s="791"/>
      <c r="M57" s="791"/>
      <c r="N57" s="1136"/>
      <c r="O57" s="88"/>
      <c r="P57" s="791"/>
      <c r="Q57" s="1219"/>
      <c r="R57" s="88"/>
      <c r="S57" s="791"/>
      <c r="T57" s="791"/>
      <c r="U57" s="88"/>
      <c r="V57" s="791"/>
      <c r="W57" s="88"/>
      <c r="X57" s="91"/>
    </row>
    <row r="58" spans="2:24" x14ac:dyDescent="0.2">
      <c r="B58" s="87"/>
      <c r="C58" s="104"/>
      <c r="D58" s="105"/>
      <c r="E58" s="947"/>
      <c r="F58" s="105"/>
      <c r="G58" s="947"/>
      <c r="H58" s="947"/>
      <c r="I58" s="947"/>
      <c r="J58" s="105"/>
      <c r="K58" s="105"/>
      <c r="L58" s="105"/>
      <c r="M58" s="105"/>
      <c r="N58" s="800"/>
      <c r="O58" s="947"/>
      <c r="P58" s="105"/>
      <c r="Q58" s="1215"/>
      <c r="R58" s="947"/>
      <c r="S58" s="186"/>
      <c r="T58" s="105"/>
      <c r="U58" s="947"/>
      <c r="V58" s="186"/>
      <c r="W58" s="947"/>
      <c r="X58" s="91"/>
    </row>
    <row r="59" spans="2:24" x14ac:dyDescent="0.2">
      <c r="B59" s="87"/>
      <c r="C59" s="104"/>
      <c r="D59" s="1089" t="s">
        <v>733</v>
      </c>
      <c r="E59" s="947"/>
      <c r="G59" s="947"/>
      <c r="H59" s="945"/>
      <c r="I59" s="945"/>
      <c r="J59" s="1230" t="s">
        <v>724</v>
      </c>
      <c r="K59" s="363"/>
      <c r="L59" s="566"/>
      <c r="M59" s="566"/>
      <c r="N59" s="1133"/>
      <c r="O59" s="1235"/>
      <c r="P59" s="1234" t="s">
        <v>723</v>
      </c>
      <c r="Q59" s="1236"/>
      <c r="R59" s="1235"/>
      <c r="S59" s="1231" t="s">
        <v>690</v>
      </c>
      <c r="U59" s="1235"/>
      <c r="V59" s="1243" t="s">
        <v>722</v>
      </c>
      <c r="W59" s="947"/>
      <c r="X59" s="91"/>
    </row>
    <row r="60" spans="2:24" x14ac:dyDescent="0.2">
      <c r="B60" s="87"/>
      <c r="C60" s="104"/>
      <c r="D60" s="1181" t="s">
        <v>685</v>
      </c>
      <c r="E60" s="947"/>
      <c r="F60" s="1182" t="s">
        <v>686</v>
      </c>
      <c r="G60" s="947"/>
      <c r="H60" s="485" t="s">
        <v>687</v>
      </c>
      <c r="I60" s="945"/>
      <c r="J60" s="1182" t="s">
        <v>689</v>
      </c>
      <c r="K60" s="480" t="s">
        <v>333</v>
      </c>
      <c r="L60" s="480" t="s">
        <v>368</v>
      </c>
      <c r="M60" s="485" t="s">
        <v>238</v>
      </c>
      <c r="N60" s="1223" t="s">
        <v>722</v>
      </c>
      <c r="O60" s="1232"/>
      <c r="P60" s="1182" t="s">
        <v>689</v>
      </c>
      <c r="Q60" s="1216" t="s">
        <v>722</v>
      </c>
      <c r="R60" s="1232"/>
      <c r="S60" s="1182" t="s">
        <v>689</v>
      </c>
      <c r="T60" s="485" t="s">
        <v>722</v>
      </c>
      <c r="U60" s="1232"/>
      <c r="V60" s="485"/>
      <c r="W60" s="947"/>
      <c r="X60" s="91"/>
    </row>
    <row r="61" spans="2:24" x14ac:dyDescent="0.2">
      <c r="B61" s="87"/>
      <c r="C61" s="108"/>
      <c r="D61" s="1183"/>
      <c r="E61" s="188"/>
      <c r="F61" s="1183"/>
      <c r="G61" s="188"/>
      <c r="H61" s="1239"/>
      <c r="I61" s="188"/>
      <c r="J61" s="1183"/>
      <c r="K61" s="150"/>
      <c r="L61" s="150"/>
      <c r="M61" s="509"/>
      <c r="N61" s="1233">
        <f>(((IF(K61="",0,VLOOKUP(K61,tab!$A$68:$V$110,L61+2,FALSE)))*M61)*12)*(1+tab!$D$55)</f>
        <v>0</v>
      </c>
      <c r="O61" s="188"/>
      <c r="P61" s="1183"/>
      <c r="Q61" s="1224">
        <v>0</v>
      </c>
      <c r="R61" s="188"/>
      <c r="S61" s="1184"/>
      <c r="T61" s="1224">
        <v>0</v>
      </c>
      <c r="U61" s="188"/>
      <c r="V61" s="1241">
        <f t="shared" ref="V61:V67" si="4">N61+Q61+T61</f>
        <v>0</v>
      </c>
      <c r="W61" s="188"/>
      <c r="X61" s="91"/>
    </row>
    <row r="62" spans="2:24" x14ac:dyDescent="0.2">
      <c r="B62" s="87"/>
      <c r="C62" s="116"/>
      <c r="D62" s="1183"/>
      <c r="E62" s="151"/>
      <c r="F62" s="1183"/>
      <c r="G62" s="151"/>
      <c r="H62" s="1240"/>
      <c r="I62" s="151"/>
      <c r="J62" s="1183"/>
      <c r="K62" s="150"/>
      <c r="L62" s="150"/>
      <c r="M62" s="509"/>
      <c r="N62" s="1233">
        <f>(((IF(K62="",0,VLOOKUP(K62,tab!$A$68:$V$110,L62+2,FALSE)))*M62)*12)*(1+tab!$D$55)</f>
        <v>0</v>
      </c>
      <c r="O62" s="151"/>
      <c r="P62" s="1183"/>
      <c r="Q62" s="1224">
        <v>0</v>
      </c>
      <c r="R62" s="151"/>
      <c r="S62" s="1185"/>
      <c r="T62" s="1224">
        <v>0</v>
      </c>
      <c r="U62" s="151"/>
      <c r="V62" s="1241">
        <f t="shared" si="4"/>
        <v>0</v>
      </c>
      <c r="W62" s="151"/>
      <c r="X62" s="91"/>
    </row>
    <row r="63" spans="2:24" x14ac:dyDescent="0.2">
      <c r="B63" s="87"/>
      <c r="C63" s="116"/>
      <c r="D63" s="1183"/>
      <c r="E63" s="151"/>
      <c r="F63" s="1183"/>
      <c r="G63" s="151"/>
      <c r="H63" s="1240"/>
      <c r="I63" s="151"/>
      <c r="J63" s="1183"/>
      <c r="K63" s="150"/>
      <c r="L63" s="150"/>
      <c r="M63" s="509"/>
      <c r="N63" s="1233">
        <f>(((IF(K63="",0,VLOOKUP(K63,tab!$A$68:$V$110,L63+2,FALSE)))*M63)*12)*(1+tab!$D$55)</f>
        <v>0</v>
      </c>
      <c r="O63" s="151"/>
      <c r="P63" s="1183"/>
      <c r="Q63" s="1224">
        <v>0</v>
      </c>
      <c r="R63" s="151"/>
      <c r="S63" s="1185"/>
      <c r="T63" s="1224">
        <v>0</v>
      </c>
      <c r="U63" s="151"/>
      <c r="V63" s="1241">
        <f t="shared" si="4"/>
        <v>0</v>
      </c>
      <c r="W63" s="151"/>
      <c r="X63" s="91"/>
    </row>
    <row r="64" spans="2:24" x14ac:dyDescent="0.2">
      <c r="B64" s="87"/>
      <c r="C64" s="116"/>
      <c r="D64" s="1183"/>
      <c r="E64" s="151"/>
      <c r="F64" s="1183"/>
      <c r="G64" s="151"/>
      <c r="H64" s="1240"/>
      <c r="I64" s="151"/>
      <c r="J64" s="1183"/>
      <c r="K64" s="150"/>
      <c r="L64" s="150"/>
      <c r="M64" s="509"/>
      <c r="N64" s="1233">
        <f>(((IF(K64="",0,VLOOKUP(K64,tab!$A$68:$V$110,L64+2,FALSE)))*M64)*12)*(1+tab!$D$55)</f>
        <v>0</v>
      </c>
      <c r="O64" s="151"/>
      <c r="P64" s="1183"/>
      <c r="Q64" s="1224">
        <v>0</v>
      </c>
      <c r="R64" s="151"/>
      <c r="S64" s="1185"/>
      <c r="T64" s="1224">
        <v>0</v>
      </c>
      <c r="U64" s="151"/>
      <c r="V64" s="1241">
        <f t="shared" si="4"/>
        <v>0</v>
      </c>
      <c r="W64" s="151"/>
      <c r="X64" s="91"/>
    </row>
    <row r="65" spans="2:24" x14ac:dyDescent="0.2">
      <c r="B65" s="87"/>
      <c r="C65" s="116"/>
      <c r="D65" s="1183"/>
      <c r="E65" s="151"/>
      <c r="F65" s="1183"/>
      <c r="G65" s="151"/>
      <c r="H65" s="1240"/>
      <c r="I65" s="151"/>
      <c r="J65" s="1183"/>
      <c r="K65" s="150"/>
      <c r="L65" s="150"/>
      <c r="M65" s="509"/>
      <c r="N65" s="1233">
        <f>(((IF(K65="",0,VLOOKUP(K65,tab!$A$68:$V$110,L65+2,FALSE)))*M65)*12)*(1+tab!$D$55)</f>
        <v>0</v>
      </c>
      <c r="O65" s="151"/>
      <c r="P65" s="1183"/>
      <c r="Q65" s="1224">
        <v>0</v>
      </c>
      <c r="R65" s="151"/>
      <c r="S65" s="1185"/>
      <c r="T65" s="1224">
        <v>0</v>
      </c>
      <c r="U65" s="151"/>
      <c r="V65" s="1241">
        <f t="shared" si="4"/>
        <v>0</v>
      </c>
      <c r="W65" s="151"/>
      <c r="X65" s="91"/>
    </row>
    <row r="66" spans="2:24" x14ac:dyDescent="0.2">
      <c r="B66" s="87"/>
      <c r="C66" s="116"/>
      <c r="D66" s="1183"/>
      <c r="E66" s="151"/>
      <c r="F66" s="1183"/>
      <c r="G66" s="151"/>
      <c r="H66" s="1240"/>
      <c r="I66" s="151"/>
      <c r="J66" s="1183"/>
      <c r="K66" s="150"/>
      <c r="L66" s="150"/>
      <c r="M66" s="509"/>
      <c r="N66" s="1233">
        <f>(((IF(K66="",0,VLOOKUP(K66,tab!$A$68:$V$110,L66+2,FALSE)))*M66)*12)*(1+tab!$D$55)</f>
        <v>0</v>
      </c>
      <c r="O66" s="151"/>
      <c r="P66" s="1183"/>
      <c r="Q66" s="1224">
        <v>0</v>
      </c>
      <c r="R66" s="151"/>
      <c r="S66" s="1185"/>
      <c r="T66" s="1224">
        <v>0</v>
      </c>
      <c r="U66" s="151"/>
      <c r="V66" s="1241">
        <f t="shared" si="4"/>
        <v>0</v>
      </c>
      <c r="W66" s="151"/>
      <c r="X66" s="91"/>
    </row>
    <row r="67" spans="2:24" x14ac:dyDescent="0.2">
      <c r="B67" s="87"/>
      <c r="C67" s="1195"/>
      <c r="D67" s="1195"/>
      <c r="E67" s="1196"/>
      <c r="F67" s="1196"/>
      <c r="G67" s="1196"/>
      <c r="H67" s="1196"/>
      <c r="I67" s="1196"/>
      <c r="J67" s="1186"/>
      <c r="K67" s="1186"/>
      <c r="L67" s="1186"/>
      <c r="M67" s="1186"/>
      <c r="N67" s="1225">
        <f>SUM(N61:N66)</f>
        <v>0</v>
      </c>
      <c r="O67" s="1196"/>
      <c r="P67" s="1186"/>
      <c r="Q67" s="1187">
        <f>SUM(Q61:Q66)</f>
        <v>0</v>
      </c>
      <c r="R67" s="1195"/>
      <c r="S67" s="1196"/>
      <c r="T67" s="1187">
        <f>SUM(T61:T66)</f>
        <v>0</v>
      </c>
      <c r="U67" s="1195"/>
      <c r="V67" s="1242">
        <f t="shared" si="4"/>
        <v>0</v>
      </c>
      <c r="W67" s="1196"/>
      <c r="X67" s="91"/>
    </row>
    <row r="68" spans="2:24" x14ac:dyDescent="0.2">
      <c r="B68" s="87"/>
      <c r="E68" s="884"/>
      <c r="F68" s="884"/>
      <c r="G68" s="884"/>
      <c r="H68" s="884"/>
      <c r="I68" s="884"/>
      <c r="J68" s="884"/>
      <c r="K68" s="884"/>
      <c r="L68" s="884"/>
      <c r="M68" s="884"/>
      <c r="N68" s="1226"/>
      <c r="O68" s="884"/>
      <c r="P68" s="884"/>
      <c r="Q68" s="1217"/>
      <c r="R68" s="884"/>
      <c r="S68" s="884"/>
      <c r="T68" s="884"/>
      <c r="U68" s="884"/>
      <c r="V68" s="884"/>
      <c r="W68" s="884"/>
      <c r="X68" s="91"/>
    </row>
    <row r="69" spans="2:24" x14ac:dyDescent="0.2">
      <c r="B69" s="87"/>
      <c r="C69" s="88"/>
      <c r="D69" s="849"/>
      <c r="E69" s="88"/>
      <c r="F69" s="791"/>
      <c r="G69" s="88"/>
      <c r="H69" s="88"/>
      <c r="I69" s="88"/>
      <c r="J69" s="791"/>
      <c r="K69" s="791"/>
      <c r="L69" s="791"/>
      <c r="M69" s="791"/>
      <c r="N69" s="1136"/>
      <c r="O69" s="88"/>
      <c r="P69" s="791"/>
      <c r="Q69" s="1219"/>
      <c r="R69" s="88"/>
      <c r="S69" s="791"/>
      <c r="T69" s="791"/>
      <c r="U69" s="88"/>
      <c r="V69" s="791"/>
      <c r="W69" s="88"/>
      <c r="X69" s="91"/>
    </row>
    <row r="70" spans="2:24" x14ac:dyDescent="0.2">
      <c r="B70" s="87"/>
      <c r="C70" s="88"/>
      <c r="D70" s="849"/>
      <c r="E70" s="88"/>
      <c r="F70" s="791"/>
      <c r="G70" s="88"/>
      <c r="H70" s="88"/>
      <c r="I70" s="88"/>
      <c r="J70" s="791"/>
      <c r="K70" s="791"/>
      <c r="L70" s="791"/>
      <c r="M70" s="791"/>
      <c r="N70" s="1136"/>
      <c r="O70" s="88"/>
      <c r="P70" s="791"/>
      <c r="Q70" s="1219"/>
      <c r="R70" s="88"/>
      <c r="S70" s="791"/>
      <c r="T70" s="791"/>
      <c r="U70" s="88"/>
      <c r="V70" s="791"/>
      <c r="W70" s="88"/>
      <c r="X70" s="91"/>
    </row>
    <row r="71" spans="2:24" x14ac:dyDescent="0.2">
      <c r="B71" s="87"/>
      <c r="C71" s="88"/>
      <c r="D71" s="849"/>
      <c r="E71" s="88"/>
      <c r="F71" s="791"/>
      <c r="G71" s="88"/>
      <c r="H71" s="88"/>
      <c r="I71" s="88"/>
      <c r="J71" s="791"/>
      <c r="K71" s="791"/>
      <c r="L71" s="791"/>
      <c r="M71" s="791"/>
      <c r="N71" s="1136"/>
      <c r="O71" s="88"/>
      <c r="P71" s="791"/>
      <c r="Q71" s="1219"/>
      <c r="R71" s="88"/>
      <c r="S71" s="791"/>
      <c r="T71" s="791"/>
      <c r="U71" s="88"/>
      <c r="V71" s="791"/>
      <c r="W71" s="88"/>
      <c r="X71" s="91"/>
    </row>
    <row r="72" spans="2:24" ht="15" x14ac:dyDescent="0.25">
      <c r="B72" s="199"/>
      <c r="C72" s="200"/>
      <c r="D72" s="971"/>
      <c r="E72" s="176"/>
      <c r="F72" s="670"/>
      <c r="G72" s="176"/>
      <c r="H72" s="176"/>
      <c r="I72" s="176"/>
      <c r="J72" s="670"/>
      <c r="K72" s="670"/>
      <c r="L72" s="670"/>
      <c r="M72" s="670"/>
      <c r="N72" s="1228"/>
      <c r="O72" s="176"/>
      <c r="P72" s="670"/>
      <c r="Q72" s="1220"/>
      <c r="R72" s="176"/>
      <c r="S72" s="670"/>
      <c r="T72" s="670"/>
      <c r="U72" s="176"/>
      <c r="V72" s="670"/>
      <c r="W72" s="176" t="s">
        <v>629</v>
      </c>
      <c r="X72" s="201"/>
    </row>
    <row r="73" spans="2:24" x14ac:dyDescent="0.2">
      <c r="D73" s="864"/>
      <c r="F73" s="573"/>
      <c r="J73" s="573"/>
      <c r="K73" s="573"/>
      <c r="L73" s="573"/>
      <c r="M73" s="573"/>
      <c r="N73" s="1229"/>
      <c r="P73" s="573"/>
      <c r="Q73" s="1221"/>
      <c r="S73" s="573"/>
      <c r="T73" s="573"/>
      <c r="V73" s="573"/>
    </row>
    <row r="74" spans="2:24" x14ac:dyDescent="0.2">
      <c r="J74" s="372"/>
      <c r="K74" s="372"/>
      <c r="L74" s="372"/>
      <c r="M74" s="372"/>
      <c r="P74" s="372"/>
    </row>
    <row r="75" spans="2:24" x14ac:dyDescent="0.2">
      <c r="J75" s="372"/>
      <c r="K75" s="372"/>
      <c r="L75" s="372"/>
      <c r="M75" s="372"/>
      <c r="P75" s="372"/>
    </row>
    <row r="76" spans="2:24" x14ac:dyDescent="0.2">
      <c r="J76" s="372"/>
      <c r="K76" s="372"/>
      <c r="L76" s="372"/>
      <c r="M76" s="372"/>
      <c r="P76" s="372"/>
    </row>
    <row r="77" spans="2:24" x14ac:dyDescent="0.2">
      <c r="J77" s="372"/>
      <c r="K77" s="372"/>
      <c r="L77" s="372"/>
      <c r="M77" s="372"/>
      <c r="P77" s="372"/>
    </row>
    <row r="78" spans="2:24" x14ac:dyDescent="0.2">
      <c r="D78" s="1237" t="s">
        <v>245</v>
      </c>
      <c r="J78" s="372"/>
      <c r="K78" s="372"/>
      <c r="L78" s="372"/>
      <c r="M78" s="372"/>
      <c r="P78" s="372"/>
    </row>
    <row r="79" spans="2:24" x14ac:dyDescent="0.2">
      <c r="D79" s="1237" t="s">
        <v>246</v>
      </c>
      <c r="J79" s="372"/>
      <c r="K79" s="372"/>
      <c r="L79" s="372"/>
      <c r="M79" s="372"/>
      <c r="P79" s="372"/>
    </row>
    <row r="80" spans="2:24" x14ac:dyDescent="0.2">
      <c r="D80" s="1237" t="s">
        <v>247</v>
      </c>
      <c r="J80" s="372"/>
      <c r="K80" s="372"/>
      <c r="L80" s="372"/>
      <c r="M80" s="372"/>
      <c r="P80" s="372"/>
    </row>
    <row r="81" spans="4:16" x14ac:dyDescent="0.2">
      <c r="D81" s="1237" t="s">
        <v>248</v>
      </c>
      <c r="J81" s="372"/>
      <c r="K81" s="372"/>
      <c r="L81" s="372"/>
      <c r="M81" s="372"/>
      <c r="P81" s="372"/>
    </row>
    <row r="82" spans="4:16" x14ac:dyDescent="0.2">
      <c r="D82" s="1237" t="s">
        <v>251</v>
      </c>
      <c r="J82" s="372"/>
      <c r="K82" s="372"/>
      <c r="L82" s="372"/>
      <c r="M82" s="372"/>
      <c r="P82" s="372"/>
    </row>
    <row r="83" spans="4:16" x14ac:dyDescent="0.2">
      <c r="D83" s="1237" t="s">
        <v>239</v>
      </c>
      <c r="J83" s="372"/>
      <c r="K83" s="372"/>
      <c r="L83" s="372"/>
      <c r="M83" s="372"/>
      <c r="P83" s="372"/>
    </row>
    <row r="84" spans="4:16" x14ac:dyDescent="0.2">
      <c r="D84" s="1237" t="s">
        <v>240</v>
      </c>
      <c r="J84" s="372"/>
      <c r="K84" s="372"/>
      <c r="L84" s="372"/>
      <c r="M84" s="372"/>
      <c r="P84" s="372"/>
    </row>
    <row r="85" spans="4:16" x14ac:dyDescent="0.2">
      <c r="D85" s="1237" t="s">
        <v>268</v>
      </c>
      <c r="J85" s="372"/>
      <c r="K85" s="372"/>
      <c r="L85" s="372"/>
      <c r="M85" s="372"/>
      <c r="P85" s="372"/>
    </row>
    <row r="86" spans="4:16" x14ac:dyDescent="0.2">
      <c r="D86" s="1237" t="s">
        <v>241</v>
      </c>
      <c r="J86" s="372"/>
      <c r="K86" s="372"/>
      <c r="L86" s="372"/>
      <c r="M86" s="372"/>
      <c r="P86" s="372"/>
    </row>
    <row r="87" spans="4:16" x14ac:dyDescent="0.2">
      <c r="D87" s="1237" t="s">
        <v>269</v>
      </c>
      <c r="J87" s="372"/>
      <c r="K87" s="372"/>
      <c r="L87" s="372"/>
      <c r="M87" s="372"/>
      <c r="P87" s="372"/>
    </row>
    <row r="88" spans="4:16" x14ac:dyDescent="0.2">
      <c r="D88" s="1237" t="s">
        <v>249</v>
      </c>
      <c r="J88" s="372"/>
      <c r="K88" s="372"/>
      <c r="L88" s="372"/>
      <c r="M88" s="372"/>
      <c r="P88" s="372"/>
    </row>
    <row r="89" spans="4:16" x14ac:dyDescent="0.2">
      <c r="D89" s="1237" t="s">
        <v>250</v>
      </c>
      <c r="J89" s="372"/>
      <c r="K89" s="372"/>
      <c r="L89" s="372"/>
      <c r="M89" s="372"/>
      <c r="P89" s="372"/>
    </row>
    <row r="90" spans="4:16" x14ac:dyDescent="0.2">
      <c r="D90" s="357" t="s">
        <v>272</v>
      </c>
      <c r="J90" s="372"/>
      <c r="K90" s="372"/>
      <c r="L90" s="372"/>
      <c r="M90" s="372"/>
      <c r="P90" s="372"/>
    </row>
    <row r="91" spans="4:16" x14ac:dyDescent="0.2">
      <c r="D91" s="357" t="s">
        <v>286</v>
      </c>
      <c r="J91" s="372"/>
      <c r="K91" s="372"/>
      <c r="L91" s="372"/>
      <c r="M91" s="372"/>
      <c r="P91" s="372"/>
    </row>
    <row r="92" spans="4:16" x14ac:dyDescent="0.2">
      <c r="D92" s="357" t="s">
        <v>273</v>
      </c>
      <c r="J92" s="372"/>
      <c r="K92" s="372"/>
      <c r="L92" s="372"/>
      <c r="M92" s="372"/>
      <c r="P92" s="372"/>
    </row>
    <row r="93" spans="4:16" x14ac:dyDescent="0.2">
      <c r="D93" s="1237" t="s">
        <v>242</v>
      </c>
      <c r="J93" s="372"/>
      <c r="K93" s="372"/>
      <c r="L93" s="372"/>
      <c r="M93" s="372"/>
      <c r="P93" s="372"/>
    </row>
    <row r="94" spans="4:16" x14ac:dyDescent="0.2">
      <c r="D94" s="1237" t="s">
        <v>243</v>
      </c>
      <c r="J94" s="372"/>
      <c r="K94" s="372"/>
      <c r="L94" s="372"/>
      <c r="M94" s="372"/>
      <c r="P94" s="372"/>
    </row>
    <row r="95" spans="4:16" x14ac:dyDescent="0.2">
      <c r="D95" s="1237" t="s">
        <v>244</v>
      </c>
      <c r="J95" s="372"/>
      <c r="K95" s="372"/>
      <c r="L95" s="372"/>
      <c r="M95" s="372"/>
      <c r="P95" s="372"/>
    </row>
    <row r="96" spans="4:16" x14ac:dyDescent="0.2">
      <c r="D96" s="1237" t="s">
        <v>252</v>
      </c>
      <c r="J96" s="372"/>
      <c r="K96" s="372"/>
      <c r="L96" s="372"/>
      <c r="M96" s="372"/>
      <c r="P96" s="372"/>
    </row>
    <row r="97" spans="4:16" x14ac:dyDescent="0.2">
      <c r="D97" s="1237" t="s">
        <v>253</v>
      </c>
      <c r="J97" s="372"/>
      <c r="K97" s="372"/>
      <c r="L97" s="372"/>
      <c r="M97" s="372"/>
      <c r="P97" s="372"/>
    </row>
    <row r="98" spans="4:16" x14ac:dyDescent="0.2">
      <c r="D98" s="357" t="s">
        <v>270</v>
      </c>
      <c r="J98" s="372"/>
      <c r="K98" s="372"/>
      <c r="L98" s="372"/>
      <c r="M98" s="372"/>
      <c r="P98" s="372"/>
    </row>
    <row r="99" spans="4:16" x14ac:dyDescent="0.2">
      <c r="D99" s="357" t="s">
        <v>271</v>
      </c>
      <c r="J99" s="372"/>
      <c r="K99" s="372"/>
      <c r="L99" s="372"/>
      <c r="M99" s="372"/>
      <c r="P99" s="372"/>
    </row>
    <row r="100" spans="4:16" x14ac:dyDescent="0.2">
      <c r="D100" s="1238" t="s">
        <v>517</v>
      </c>
      <c r="J100" s="372"/>
      <c r="K100" s="372"/>
      <c r="L100" s="372"/>
      <c r="M100" s="372"/>
      <c r="P100" s="372"/>
    </row>
    <row r="101" spans="4:16" x14ac:dyDescent="0.2">
      <c r="D101" s="1238" t="s">
        <v>509</v>
      </c>
      <c r="J101" s="372"/>
      <c r="K101" s="372"/>
      <c r="L101" s="372"/>
      <c r="M101" s="372"/>
      <c r="P101" s="372"/>
    </row>
    <row r="102" spans="4:16" x14ac:dyDescent="0.2">
      <c r="D102" s="1238" t="s">
        <v>510</v>
      </c>
      <c r="J102" s="372"/>
      <c r="K102" s="372"/>
      <c r="L102" s="372"/>
      <c r="M102" s="372"/>
      <c r="P102" s="372"/>
    </row>
    <row r="103" spans="4:16" x14ac:dyDescent="0.2">
      <c r="D103" s="1238" t="s">
        <v>512</v>
      </c>
      <c r="J103" s="372"/>
      <c r="K103" s="372"/>
      <c r="L103" s="372"/>
      <c r="M103" s="372"/>
      <c r="P103" s="372"/>
    </row>
    <row r="104" spans="4:16" x14ac:dyDescent="0.2">
      <c r="D104" s="1238" t="s">
        <v>511</v>
      </c>
      <c r="J104" s="372"/>
      <c r="K104" s="372"/>
      <c r="L104" s="372"/>
      <c r="M104" s="372"/>
      <c r="P104" s="372"/>
    </row>
    <row r="105" spans="4:16" x14ac:dyDescent="0.2">
      <c r="D105" s="357">
        <v>1</v>
      </c>
      <c r="J105" s="372"/>
      <c r="K105" s="372"/>
      <c r="L105" s="372"/>
      <c r="M105" s="372"/>
      <c r="P105" s="372"/>
    </row>
    <row r="106" spans="4:16" x14ac:dyDescent="0.2">
      <c r="D106" s="357">
        <v>2</v>
      </c>
      <c r="J106" s="372"/>
      <c r="K106" s="372"/>
      <c r="L106" s="372"/>
      <c r="M106" s="372"/>
      <c r="P106" s="372"/>
    </row>
    <row r="107" spans="4:16" x14ac:dyDescent="0.2">
      <c r="D107" s="357">
        <v>3</v>
      </c>
      <c r="J107" s="372"/>
      <c r="K107" s="372"/>
      <c r="L107" s="372"/>
      <c r="M107" s="372"/>
      <c r="P107" s="372"/>
    </row>
    <row r="108" spans="4:16" x14ac:dyDescent="0.2">
      <c r="D108" s="357">
        <v>4</v>
      </c>
      <c r="J108" s="372"/>
      <c r="K108" s="372"/>
      <c r="L108" s="372"/>
      <c r="M108" s="372"/>
      <c r="P108" s="372"/>
    </row>
    <row r="109" spans="4:16" x14ac:dyDescent="0.2">
      <c r="D109" s="357">
        <v>5</v>
      </c>
      <c r="J109" s="372"/>
      <c r="K109" s="372"/>
      <c r="L109" s="372"/>
      <c r="M109" s="372"/>
      <c r="P109" s="372"/>
    </row>
    <row r="110" spans="4:16" x14ac:dyDescent="0.2">
      <c r="D110" s="357">
        <v>6</v>
      </c>
      <c r="J110" s="372"/>
      <c r="K110" s="372"/>
      <c r="L110" s="372"/>
      <c r="M110" s="372"/>
      <c r="P110" s="372"/>
    </row>
    <row r="111" spans="4:16" x14ac:dyDescent="0.2">
      <c r="D111" s="357">
        <v>7</v>
      </c>
      <c r="J111" s="372"/>
      <c r="K111" s="372"/>
      <c r="L111" s="372"/>
      <c r="M111" s="372"/>
      <c r="P111" s="372"/>
    </row>
    <row r="112" spans="4:16" x14ac:dyDescent="0.2">
      <c r="D112" s="357">
        <v>8</v>
      </c>
      <c r="J112" s="372"/>
      <c r="K112" s="372"/>
      <c r="L112" s="372"/>
      <c r="M112" s="372"/>
      <c r="P112" s="372"/>
    </row>
    <row r="113" spans="4:16" x14ac:dyDescent="0.2">
      <c r="D113" s="357">
        <v>9</v>
      </c>
      <c r="J113" s="372"/>
      <c r="K113" s="372"/>
      <c r="L113" s="372"/>
      <c r="M113" s="372"/>
      <c r="P113" s="372"/>
    </row>
    <row r="114" spans="4:16" x14ac:dyDescent="0.2">
      <c r="D114" s="357">
        <v>10</v>
      </c>
      <c r="J114" s="372"/>
      <c r="K114" s="372"/>
      <c r="L114" s="372"/>
      <c r="M114" s="372"/>
      <c r="P114" s="372"/>
    </row>
    <row r="115" spans="4:16" x14ac:dyDescent="0.2">
      <c r="D115" s="357">
        <v>11</v>
      </c>
      <c r="J115" s="372"/>
      <c r="K115" s="372"/>
      <c r="L115" s="372"/>
      <c r="M115" s="372"/>
      <c r="P115" s="372"/>
    </row>
    <row r="116" spans="4:16" x14ac:dyDescent="0.2">
      <c r="D116" s="357">
        <v>12</v>
      </c>
      <c r="J116" s="372"/>
      <c r="K116" s="372"/>
      <c r="L116" s="372"/>
      <c r="M116" s="372"/>
      <c r="P116" s="372"/>
    </row>
    <row r="117" spans="4:16" x14ac:dyDescent="0.2">
      <c r="D117" s="357">
        <v>13</v>
      </c>
      <c r="J117" s="372"/>
      <c r="K117" s="372"/>
      <c r="L117" s="372"/>
      <c r="M117" s="372"/>
      <c r="P117" s="372"/>
    </row>
    <row r="118" spans="4:16" x14ac:dyDescent="0.2">
      <c r="D118" s="357">
        <v>14</v>
      </c>
      <c r="J118" s="372"/>
      <c r="K118" s="372"/>
      <c r="L118" s="372"/>
      <c r="M118" s="372"/>
      <c r="P118" s="372"/>
    </row>
    <row r="119" spans="4:16" x14ac:dyDescent="0.2">
      <c r="D119" s="357">
        <v>15</v>
      </c>
      <c r="J119" s="372"/>
      <c r="K119" s="372"/>
      <c r="L119" s="372"/>
      <c r="M119" s="372"/>
      <c r="P119" s="372"/>
    </row>
    <row r="120" spans="4:16" x14ac:dyDescent="0.2">
      <c r="D120" s="357">
        <v>16</v>
      </c>
      <c r="J120" s="372"/>
      <c r="K120" s="372"/>
      <c r="L120" s="372"/>
      <c r="M120" s="372"/>
      <c r="P120" s="372"/>
    </row>
    <row r="121" spans="4:16" x14ac:dyDescent="0.2">
      <c r="J121" s="372"/>
      <c r="K121" s="372"/>
      <c r="L121" s="372"/>
      <c r="M121" s="372"/>
      <c r="P121" s="372"/>
    </row>
    <row r="122" spans="4:16" x14ac:dyDescent="0.2">
      <c r="J122" s="372"/>
      <c r="K122" s="372"/>
      <c r="L122" s="372"/>
      <c r="M122" s="372"/>
      <c r="P122" s="372"/>
    </row>
    <row r="123" spans="4:16" x14ac:dyDescent="0.2">
      <c r="J123" s="372"/>
      <c r="K123" s="372"/>
      <c r="L123" s="372"/>
      <c r="M123" s="372"/>
      <c r="P123" s="372"/>
    </row>
    <row r="124" spans="4:16" x14ac:dyDescent="0.2">
      <c r="J124" s="372"/>
      <c r="K124" s="372"/>
      <c r="L124" s="372"/>
      <c r="M124" s="372"/>
      <c r="P124" s="372"/>
    </row>
    <row r="125" spans="4:16" x14ac:dyDescent="0.2">
      <c r="J125" s="372"/>
      <c r="K125" s="372"/>
      <c r="L125" s="372"/>
      <c r="M125" s="372"/>
      <c r="P125" s="372"/>
    </row>
  </sheetData>
  <sheetProtection password="DFB1" sheet="1" objects="1" scenarios="1"/>
  <dataValidations count="1">
    <dataValidation type="list" allowBlank="1" showInputMessage="1" showErrorMessage="1" sqref="K13:K18 K25:K30 K37:K42 K49:K54 K61:K66">
      <formula1>$D$78:$D$120</formula1>
    </dataValidation>
  </dataValidations>
  <pageMargins left="0.74803149606299213" right="0.74803149606299213" top="0.98425196850393704" bottom="0.98425196850393704" header="0.51181102362204722" footer="0.51181102362204722"/>
  <pageSetup paperSize="9" scale="50" orientation="landscape" r:id="rId1"/>
  <headerFooter alignWithMargins="0">
    <oddHeader>&amp;L&amp;"Arial,Vet"&amp;F&amp;R&amp;"Arial,Vet"&amp;A</oddHeader>
    <oddFooter>&amp;L&amp;"Arial,Vet"PO-Raad&amp;C&amp;"Arial,Vet"&amp;D&amp;R&amp;"Arial,Vet"pagina &amp;P</oddFooter>
  </headerFooter>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B1:N107"/>
  <sheetViews>
    <sheetView showGridLines="0" zoomScale="85" zoomScaleNormal="85" zoomScaleSheetLayoutView="75" workbookViewId="0">
      <pane ySplit="9" topLeftCell="A10" activePane="bottomLeft" state="frozen"/>
      <selection activeCell="B2" sqref="B2"/>
      <selection pane="bottomLeft" activeCell="B2" sqref="B2"/>
    </sheetView>
  </sheetViews>
  <sheetFormatPr defaultColWidth="9.140625" defaultRowHeight="12.75" x14ac:dyDescent="0.2"/>
  <cols>
    <col min="1" max="1" width="3.7109375" style="86" customWidth="1"/>
    <col min="2" max="3" width="2.7109375" style="86" customWidth="1"/>
    <col min="4" max="4" width="40.7109375" style="86" customWidth="1"/>
    <col min="5" max="5" width="2.7109375" style="86" customWidth="1"/>
    <col min="6" max="11" width="14.7109375" style="86" customWidth="1"/>
    <col min="12" max="13" width="2.7109375" style="86" customWidth="1"/>
    <col min="14" max="14" width="15.42578125" style="86" customWidth="1"/>
    <col min="15" max="16" width="5.7109375" style="86" customWidth="1"/>
    <col min="17" max="16384" width="9.140625" style="86"/>
  </cols>
  <sheetData>
    <row r="1" spans="2:14" ht="12.75" customHeight="1" x14ac:dyDescent="0.2"/>
    <row r="2" spans="2:14" x14ac:dyDescent="0.2">
      <c r="B2" s="81"/>
      <c r="C2" s="82"/>
      <c r="D2" s="82"/>
      <c r="E2" s="82"/>
      <c r="F2" s="82"/>
      <c r="G2" s="82"/>
      <c r="H2" s="82"/>
      <c r="I2" s="82"/>
      <c r="J2" s="82"/>
      <c r="K2" s="82"/>
      <c r="L2" s="82"/>
      <c r="M2" s="85"/>
    </row>
    <row r="3" spans="2:14" x14ac:dyDescent="0.2">
      <c r="B3" s="87"/>
      <c r="C3" s="88"/>
      <c r="D3" s="88"/>
      <c r="E3" s="88"/>
      <c r="F3" s="88"/>
      <c r="G3" s="88"/>
      <c r="H3" s="88"/>
      <c r="I3" s="88"/>
      <c r="J3" s="88"/>
      <c r="K3" s="88"/>
      <c r="L3" s="88"/>
      <c r="M3" s="91"/>
    </row>
    <row r="4" spans="2:14" s="124" customFormat="1" ht="18.75" x14ac:dyDescent="0.3">
      <c r="B4" s="93"/>
      <c r="C4" s="94" t="s">
        <v>606</v>
      </c>
      <c r="D4" s="94"/>
      <c r="E4" s="95"/>
      <c r="F4" s="938"/>
      <c r="G4" s="938"/>
      <c r="H4" s="938"/>
      <c r="I4" s="95"/>
      <c r="J4" s="95"/>
      <c r="K4" s="95"/>
      <c r="L4" s="95"/>
      <c r="M4" s="96"/>
    </row>
    <row r="5" spans="2:14" ht="18.75" x14ac:dyDescent="0.3">
      <c r="B5" s="872"/>
      <c r="C5" s="99" t="str">
        <f>geg!G12</f>
        <v>Basisschool</v>
      </c>
      <c r="D5" s="878"/>
      <c r="E5" s="88"/>
      <c r="F5" s="939"/>
      <c r="G5" s="939"/>
      <c r="H5" s="939"/>
      <c r="I5" s="88"/>
      <c r="J5" s="88"/>
      <c r="K5" s="88"/>
      <c r="L5" s="88"/>
      <c r="M5" s="91"/>
    </row>
    <row r="6" spans="2:14" x14ac:dyDescent="0.2">
      <c r="B6" s="87"/>
      <c r="C6" s="88"/>
      <c r="D6" s="88"/>
      <c r="E6" s="88"/>
      <c r="F6" s="88"/>
      <c r="G6" s="88"/>
      <c r="H6" s="88"/>
      <c r="I6" s="88"/>
      <c r="J6" s="88"/>
      <c r="K6" s="88"/>
      <c r="L6" s="88"/>
      <c r="M6" s="91"/>
    </row>
    <row r="7" spans="2:14" x14ac:dyDescent="0.2">
      <c r="B7" s="87"/>
      <c r="C7" s="88"/>
      <c r="D7" s="88"/>
      <c r="E7" s="88"/>
      <c r="F7" s="88"/>
      <c r="G7" s="88"/>
      <c r="H7" s="88"/>
      <c r="I7" s="88"/>
      <c r="J7" s="88"/>
      <c r="K7" s="88"/>
      <c r="L7" s="88"/>
      <c r="M7" s="91"/>
    </row>
    <row r="8" spans="2:14" s="124" customFormat="1" x14ac:dyDescent="0.2">
      <c r="B8" s="120"/>
      <c r="C8" s="95"/>
      <c r="D8" s="712"/>
      <c r="E8" s="876"/>
      <c r="F8" s="123">
        <f>tab!C4</f>
        <v>2012</v>
      </c>
      <c r="G8" s="123">
        <f>tab!D4</f>
        <v>2013</v>
      </c>
      <c r="H8" s="123">
        <f>tab!E4</f>
        <v>2014</v>
      </c>
      <c r="I8" s="123">
        <f>H8+1</f>
        <v>2015</v>
      </c>
      <c r="J8" s="123">
        <f>I8+1</f>
        <v>2016</v>
      </c>
      <c r="K8" s="123">
        <f>J8+1</f>
        <v>2017</v>
      </c>
      <c r="L8" s="940"/>
      <c r="M8" s="941"/>
      <c r="N8" s="942"/>
    </row>
    <row r="9" spans="2:14" x14ac:dyDescent="0.2">
      <c r="B9" s="87"/>
      <c r="C9" s="88"/>
      <c r="D9" s="88"/>
      <c r="E9" s="873"/>
      <c r="F9" s="88"/>
      <c r="G9" s="88"/>
      <c r="H9" s="88"/>
      <c r="I9" s="88"/>
      <c r="J9" s="88"/>
      <c r="K9" s="88"/>
      <c r="L9" s="943"/>
      <c r="M9" s="944"/>
      <c r="N9" s="945"/>
    </row>
    <row r="10" spans="2:14" x14ac:dyDescent="0.2">
      <c r="B10" s="87"/>
      <c r="C10" s="104"/>
      <c r="D10" s="105"/>
      <c r="E10" s="946"/>
      <c r="F10" s="105"/>
      <c r="G10" s="105"/>
      <c r="H10" s="105"/>
      <c r="I10" s="105"/>
      <c r="J10" s="105"/>
      <c r="K10" s="105"/>
      <c r="L10" s="947"/>
      <c r="M10" s="944"/>
      <c r="N10" s="945"/>
    </row>
    <row r="11" spans="2:14" x14ac:dyDescent="0.2">
      <c r="B11" s="87"/>
      <c r="C11" s="108"/>
      <c r="D11" s="126" t="s">
        <v>630</v>
      </c>
      <c r="E11" s="948"/>
      <c r="F11" s="110"/>
      <c r="G11" s="110"/>
      <c r="H11" s="110"/>
      <c r="I11" s="110"/>
      <c r="J11" s="110"/>
      <c r="K11" s="110"/>
      <c r="L11" s="949"/>
      <c r="M11" s="944"/>
      <c r="N11" s="945"/>
    </row>
    <row r="12" spans="2:14" x14ac:dyDescent="0.2">
      <c r="B12" s="87"/>
      <c r="C12" s="108"/>
      <c r="D12" s="110"/>
      <c r="E12" s="948"/>
      <c r="F12" s="110"/>
      <c r="G12" s="110"/>
      <c r="H12" s="110"/>
      <c r="I12" s="110"/>
      <c r="J12" s="110"/>
      <c r="K12" s="110"/>
      <c r="L12" s="949"/>
      <c r="M12" s="944"/>
      <c r="N12" s="945"/>
    </row>
    <row r="13" spans="2:14" x14ac:dyDescent="0.2">
      <c r="B13" s="87"/>
      <c r="C13" s="108"/>
      <c r="D13" s="329" t="s">
        <v>37</v>
      </c>
      <c r="E13" s="948"/>
      <c r="F13" s="110"/>
      <c r="G13" s="110"/>
      <c r="H13" s="110"/>
      <c r="I13" s="110"/>
      <c r="J13" s="110"/>
      <c r="K13" s="110"/>
      <c r="L13" s="949"/>
      <c r="M13" s="944"/>
      <c r="N13" s="945"/>
    </row>
    <row r="14" spans="2:14" x14ac:dyDescent="0.2">
      <c r="B14" s="87"/>
      <c r="C14" s="108"/>
      <c r="D14" s="109" t="s">
        <v>644</v>
      </c>
      <c r="E14" s="110"/>
      <c r="F14" s="1258">
        <v>0</v>
      </c>
      <c r="G14" s="1258">
        <v>0</v>
      </c>
      <c r="H14" s="950">
        <f>pers!I145+mat!I47</f>
        <v>991438.47333333339</v>
      </c>
      <c r="I14" s="950">
        <f>pers!J145+mat!J47</f>
        <v>937947.34666666668</v>
      </c>
      <c r="J14" s="950">
        <f>pers!K145+mat!K47</f>
        <v>946225.94666666677</v>
      </c>
      <c r="K14" s="950">
        <f>pers!L145+mat!L47</f>
        <v>954504.54666666663</v>
      </c>
      <c r="L14" s="188"/>
      <c r="M14" s="91"/>
    </row>
    <row r="15" spans="2:14" ht="12" customHeight="1" x14ac:dyDescent="0.2">
      <c r="B15" s="87"/>
      <c r="C15" s="108"/>
      <c r="D15" s="109" t="s">
        <v>645</v>
      </c>
      <c r="E15" s="110"/>
      <c r="F15" s="1259">
        <v>0</v>
      </c>
      <c r="G15" s="1259">
        <v>0</v>
      </c>
      <c r="H15" s="951">
        <f>pers!I146+mat!I59</f>
        <v>0</v>
      </c>
      <c r="I15" s="951">
        <f>pers!J146+mat!J59</f>
        <v>0</v>
      </c>
      <c r="J15" s="951">
        <f>pers!K146+mat!K59</f>
        <v>0</v>
      </c>
      <c r="K15" s="951">
        <f>pers!L146+mat!L59</f>
        <v>0</v>
      </c>
      <c r="L15" s="188"/>
      <c r="M15" s="91"/>
    </row>
    <row r="16" spans="2:14" ht="12" customHeight="1" x14ac:dyDescent="0.2">
      <c r="B16" s="87"/>
      <c r="C16" s="108"/>
      <c r="D16" s="109" t="s">
        <v>647</v>
      </c>
      <c r="E16" s="110"/>
      <c r="F16" s="1258">
        <v>0</v>
      </c>
      <c r="G16" s="1258">
        <v>0</v>
      </c>
      <c r="H16" s="950">
        <v>0</v>
      </c>
      <c r="I16" s="950">
        <v>0</v>
      </c>
      <c r="J16" s="950">
        <v>0</v>
      </c>
      <c r="K16" s="950">
        <v>0</v>
      </c>
      <c r="L16" s="188"/>
      <c r="M16" s="91"/>
    </row>
    <row r="17" spans="2:13" ht="12" customHeight="1" x14ac:dyDescent="0.2">
      <c r="B17" s="87"/>
      <c r="C17" s="108"/>
      <c r="D17" s="109" t="s">
        <v>648</v>
      </c>
      <c r="E17" s="110"/>
      <c r="F17" s="1258">
        <v>0</v>
      </c>
      <c r="G17" s="1258">
        <v>0</v>
      </c>
      <c r="H17" s="950">
        <f>pers!I147+mat!I65</f>
        <v>0</v>
      </c>
      <c r="I17" s="950">
        <f>pers!J147+mat!J65</f>
        <v>0</v>
      </c>
      <c r="J17" s="950">
        <f>pers!K147+mat!K65</f>
        <v>0</v>
      </c>
      <c r="K17" s="950">
        <f>pers!L147+mat!L65</f>
        <v>0</v>
      </c>
      <c r="L17" s="188"/>
      <c r="M17" s="91"/>
    </row>
    <row r="18" spans="2:13" ht="12" customHeight="1" x14ac:dyDescent="0.2">
      <c r="B18" s="87"/>
      <c r="C18" s="108"/>
      <c r="D18" s="109" t="s">
        <v>646</v>
      </c>
      <c r="E18" s="110"/>
      <c r="F18" s="1258">
        <v>0</v>
      </c>
      <c r="G18" s="1258">
        <v>0</v>
      </c>
      <c r="H18" s="950">
        <f>pers!I150+(mat!I74-mat!I65)</f>
        <v>0</v>
      </c>
      <c r="I18" s="950">
        <f>pers!J150+(mat!J74-mat!J65)</f>
        <v>0</v>
      </c>
      <c r="J18" s="950">
        <f>pers!K150+(mat!K74-mat!K65)</f>
        <v>0</v>
      </c>
      <c r="K18" s="950">
        <f>pers!L150+(mat!L74-mat!L65)</f>
        <v>0</v>
      </c>
      <c r="L18" s="188"/>
      <c r="M18" s="91"/>
    </row>
    <row r="19" spans="2:13" x14ac:dyDescent="0.2">
      <c r="B19" s="87"/>
      <c r="C19" s="108"/>
      <c r="D19" s="134"/>
      <c r="E19" s="147"/>
      <c r="F19" s="952">
        <f t="shared" ref="F19:K19" si="0">SUM(F14:F18)</f>
        <v>0</v>
      </c>
      <c r="G19" s="952">
        <f t="shared" si="0"/>
        <v>0</v>
      </c>
      <c r="H19" s="952">
        <f t="shared" si="0"/>
        <v>991438.47333333339</v>
      </c>
      <c r="I19" s="952">
        <f t="shared" si="0"/>
        <v>937947.34666666668</v>
      </c>
      <c r="J19" s="952">
        <f t="shared" si="0"/>
        <v>946225.94666666677</v>
      </c>
      <c r="K19" s="952">
        <f t="shared" si="0"/>
        <v>954504.54666666663</v>
      </c>
      <c r="L19" s="188"/>
      <c r="M19" s="91"/>
    </row>
    <row r="20" spans="2:13" x14ac:dyDescent="0.2">
      <c r="B20" s="953"/>
      <c r="C20" s="954"/>
      <c r="D20" s="329" t="s">
        <v>157</v>
      </c>
      <c r="E20" s="147"/>
      <c r="F20" s="955"/>
      <c r="G20" s="955"/>
      <c r="H20" s="955"/>
      <c r="I20" s="955"/>
      <c r="J20" s="955"/>
      <c r="K20" s="955"/>
      <c r="L20" s="188"/>
      <c r="M20" s="91"/>
    </row>
    <row r="21" spans="2:13" hidden="1" x14ac:dyDescent="0.2">
      <c r="B21" s="87"/>
      <c r="C21" s="108"/>
      <c r="D21" s="276" t="s">
        <v>485</v>
      </c>
      <c r="E21" s="265"/>
      <c r="F21" s="740">
        <f>pers!G155</f>
        <v>0</v>
      </c>
      <c r="G21" s="740">
        <f>pers!H155</f>
        <v>0</v>
      </c>
      <c r="H21" s="740">
        <f>pers!I155</f>
        <v>184671.87</v>
      </c>
      <c r="I21" s="740">
        <f>pers!J155</f>
        <v>184671.87</v>
      </c>
      <c r="J21" s="740">
        <f>pers!K155</f>
        <v>184671.87</v>
      </c>
      <c r="K21" s="740">
        <f>pers!L155</f>
        <v>184671.87</v>
      </c>
      <c r="L21" s="188"/>
      <c r="M21" s="91"/>
    </row>
    <row r="22" spans="2:13" hidden="1" x14ac:dyDescent="0.2">
      <c r="B22" s="87"/>
      <c r="C22" s="108"/>
      <c r="D22" s="956" t="s">
        <v>521</v>
      </c>
      <c r="E22" s="265"/>
      <c r="F22" s="740">
        <f>pers!G156</f>
        <v>0</v>
      </c>
      <c r="G22" s="740">
        <f>pers!H156</f>
        <v>0</v>
      </c>
      <c r="H22" s="740">
        <f>pers!I156</f>
        <v>0</v>
      </c>
      <c r="I22" s="740">
        <f>pers!J156</f>
        <v>0</v>
      </c>
      <c r="J22" s="740">
        <f>pers!K156</f>
        <v>0</v>
      </c>
      <c r="K22" s="740">
        <f>pers!L156</f>
        <v>0</v>
      </c>
      <c r="L22" s="188"/>
      <c r="M22" s="91"/>
    </row>
    <row r="23" spans="2:13" x14ac:dyDescent="0.2">
      <c r="B23" s="87"/>
      <c r="C23" s="108"/>
      <c r="D23" s="332" t="s">
        <v>649</v>
      </c>
      <c r="E23" s="265"/>
      <c r="F23" s="1259">
        <v>0</v>
      </c>
      <c r="G23" s="1259">
        <v>0</v>
      </c>
      <c r="H23" s="951">
        <f>H21+H22</f>
        <v>184671.87</v>
      </c>
      <c r="I23" s="951">
        <f>I21+I22</f>
        <v>184671.87</v>
      </c>
      <c r="J23" s="951">
        <f>J21+J22</f>
        <v>184671.87</v>
      </c>
      <c r="K23" s="951">
        <f>K21+K22</f>
        <v>184671.87</v>
      </c>
      <c r="L23" s="188"/>
      <c r="M23" s="91"/>
    </row>
    <row r="24" spans="2:13" x14ac:dyDescent="0.2">
      <c r="B24" s="87"/>
      <c r="C24" s="108"/>
      <c r="D24" s="110" t="s">
        <v>650</v>
      </c>
      <c r="E24" s="110"/>
      <c r="F24" s="1259">
        <v>0</v>
      </c>
      <c r="G24" s="951">
        <f>act!F50</f>
        <v>10000</v>
      </c>
      <c r="H24" s="951">
        <f>act!G50</f>
        <v>10000</v>
      </c>
      <c r="I24" s="951">
        <f>act!H50</f>
        <v>10000</v>
      </c>
      <c r="J24" s="951">
        <f>act!I50</f>
        <v>10000</v>
      </c>
      <c r="K24" s="951">
        <f>act!J50</f>
        <v>10000</v>
      </c>
      <c r="L24" s="188"/>
      <c r="M24" s="91"/>
    </row>
    <row r="25" spans="2:13" x14ac:dyDescent="0.2">
      <c r="B25" s="87"/>
      <c r="C25" s="108"/>
      <c r="D25" s="110" t="s">
        <v>651</v>
      </c>
      <c r="E25" s="110"/>
      <c r="F25" s="1259">
        <v>0</v>
      </c>
      <c r="G25" s="951">
        <f>mat!H113</f>
        <v>0</v>
      </c>
      <c r="H25" s="951">
        <f>mat!I113</f>
        <v>0</v>
      </c>
      <c r="I25" s="951">
        <f>mat!J113</f>
        <v>0</v>
      </c>
      <c r="J25" s="951">
        <f>mat!K113</f>
        <v>0</v>
      </c>
      <c r="K25" s="951">
        <f>mat!L113</f>
        <v>0</v>
      </c>
      <c r="L25" s="188"/>
      <c r="M25" s="91"/>
    </row>
    <row r="26" spans="2:13" x14ac:dyDescent="0.2">
      <c r="B26" s="87"/>
      <c r="C26" s="108"/>
      <c r="D26" s="110" t="s">
        <v>652</v>
      </c>
      <c r="E26" s="110"/>
      <c r="F26" s="1259">
        <v>0</v>
      </c>
      <c r="G26" s="950">
        <f>mat!H155</f>
        <v>0</v>
      </c>
      <c r="H26" s="950">
        <f>mat!I155</f>
        <v>0</v>
      </c>
      <c r="I26" s="950">
        <f>mat!J155</f>
        <v>0</v>
      </c>
      <c r="J26" s="950">
        <f>mat!K155</f>
        <v>0</v>
      </c>
      <c r="K26" s="950">
        <f>mat!L155</f>
        <v>0</v>
      </c>
      <c r="L26" s="188"/>
      <c r="M26" s="91"/>
    </row>
    <row r="27" spans="2:13" x14ac:dyDescent="0.2">
      <c r="B27" s="87"/>
      <c r="C27" s="108"/>
      <c r="D27" s="134"/>
      <c r="E27" s="110"/>
      <c r="F27" s="952">
        <f t="shared" ref="F27:K27" si="1">SUM(F23:F26)</f>
        <v>0</v>
      </c>
      <c r="G27" s="952">
        <f t="shared" si="1"/>
        <v>10000</v>
      </c>
      <c r="H27" s="952">
        <f t="shared" si="1"/>
        <v>194671.87</v>
      </c>
      <c r="I27" s="952">
        <f t="shared" si="1"/>
        <v>194671.87</v>
      </c>
      <c r="J27" s="952">
        <f t="shared" si="1"/>
        <v>194671.87</v>
      </c>
      <c r="K27" s="952">
        <f t="shared" si="1"/>
        <v>194671.87</v>
      </c>
      <c r="L27" s="188"/>
      <c r="M27" s="91"/>
    </row>
    <row r="28" spans="2:13" x14ac:dyDescent="0.2">
      <c r="B28" s="87"/>
      <c r="C28" s="108"/>
      <c r="D28" s="159"/>
      <c r="E28" s="265"/>
      <c r="F28" s="957"/>
      <c r="G28" s="957"/>
      <c r="H28" s="957"/>
      <c r="I28" s="957"/>
      <c r="J28" s="957"/>
      <c r="K28" s="957"/>
      <c r="L28" s="188"/>
      <c r="M28" s="91"/>
    </row>
    <row r="29" spans="2:13" x14ac:dyDescent="0.2">
      <c r="B29" s="183"/>
      <c r="C29" s="191"/>
      <c r="D29" s="134" t="s">
        <v>38</v>
      </c>
      <c r="E29" s="265"/>
      <c r="F29" s="231">
        <f t="shared" ref="F29:K29" si="2">F19-F27</f>
        <v>0</v>
      </c>
      <c r="G29" s="231">
        <f t="shared" si="2"/>
        <v>-10000</v>
      </c>
      <c r="H29" s="231">
        <f t="shared" si="2"/>
        <v>796766.60333333339</v>
      </c>
      <c r="I29" s="231">
        <f t="shared" si="2"/>
        <v>743275.47666666668</v>
      </c>
      <c r="J29" s="231">
        <f t="shared" si="2"/>
        <v>751554.07666666678</v>
      </c>
      <c r="K29" s="231">
        <f t="shared" si="2"/>
        <v>759832.67666666664</v>
      </c>
      <c r="L29" s="188"/>
      <c r="M29" s="91"/>
    </row>
    <row r="30" spans="2:13" x14ac:dyDescent="0.2">
      <c r="B30" s="87"/>
      <c r="C30" s="116"/>
      <c r="D30" s="958"/>
      <c r="E30" s="959"/>
      <c r="F30" s="960"/>
      <c r="G30" s="960"/>
      <c r="H30" s="960"/>
      <c r="I30" s="960"/>
      <c r="J30" s="960"/>
      <c r="K30" s="960"/>
      <c r="L30" s="151"/>
      <c r="M30" s="91"/>
    </row>
    <row r="31" spans="2:13" x14ac:dyDescent="0.2">
      <c r="B31" s="87"/>
      <c r="C31" s="88"/>
      <c r="D31" s="902"/>
      <c r="E31" s="169"/>
      <c r="F31" s="961"/>
      <c r="G31" s="961"/>
      <c r="H31" s="961"/>
      <c r="I31" s="961"/>
      <c r="J31" s="961"/>
      <c r="K31" s="961"/>
      <c r="L31" s="88"/>
      <c r="M31" s="91"/>
    </row>
    <row r="32" spans="2:13" x14ac:dyDescent="0.2">
      <c r="B32" s="87"/>
      <c r="C32" s="104"/>
      <c r="D32" s="905"/>
      <c r="E32" s="962"/>
      <c r="F32" s="963"/>
      <c r="G32" s="963"/>
      <c r="H32" s="963"/>
      <c r="I32" s="963"/>
      <c r="J32" s="963"/>
      <c r="K32" s="963"/>
      <c r="L32" s="186"/>
      <c r="M32" s="91"/>
    </row>
    <row r="33" spans="2:13" x14ac:dyDescent="0.2">
      <c r="B33" s="87"/>
      <c r="C33" s="108"/>
      <c r="D33" s="157" t="s">
        <v>622</v>
      </c>
      <c r="E33" s="265"/>
      <c r="F33" s="747"/>
      <c r="G33" s="747"/>
      <c r="H33" s="747"/>
      <c r="I33" s="747"/>
      <c r="J33" s="747"/>
      <c r="K33" s="747"/>
      <c r="L33" s="188"/>
      <c r="M33" s="91"/>
    </row>
    <row r="34" spans="2:13" x14ac:dyDescent="0.2">
      <c r="B34" s="87"/>
      <c r="C34" s="108"/>
      <c r="D34" s="276"/>
      <c r="E34" s="265"/>
      <c r="F34" s="747"/>
      <c r="G34" s="747"/>
      <c r="H34" s="747"/>
      <c r="I34" s="747"/>
      <c r="J34" s="747"/>
      <c r="K34" s="747"/>
      <c r="L34" s="188"/>
      <c r="M34" s="91"/>
    </row>
    <row r="35" spans="2:13" x14ac:dyDescent="0.2">
      <c r="B35" s="87"/>
      <c r="C35" s="108"/>
      <c r="D35" s="109" t="s">
        <v>653</v>
      </c>
      <c r="E35" s="265"/>
      <c r="F35" s="964">
        <v>0</v>
      </c>
      <c r="G35" s="964">
        <v>0</v>
      </c>
      <c r="H35" s="964">
        <v>0</v>
      </c>
      <c r="I35" s="964">
        <f t="shared" ref="I35:K36" si="3">H35</f>
        <v>0</v>
      </c>
      <c r="J35" s="964">
        <f t="shared" si="3"/>
        <v>0</v>
      </c>
      <c r="K35" s="964">
        <f t="shared" si="3"/>
        <v>0</v>
      </c>
      <c r="L35" s="188"/>
      <c r="M35" s="91"/>
    </row>
    <row r="36" spans="2:13" x14ac:dyDescent="0.2">
      <c r="B36" s="87"/>
      <c r="C36" s="108"/>
      <c r="D36" s="109" t="s">
        <v>654</v>
      </c>
      <c r="E36" s="265"/>
      <c r="F36" s="964">
        <v>0</v>
      </c>
      <c r="G36" s="964">
        <v>0</v>
      </c>
      <c r="H36" s="964">
        <v>0</v>
      </c>
      <c r="I36" s="964">
        <f t="shared" si="3"/>
        <v>0</v>
      </c>
      <c r="J36" s="964">
        <f t="shared" si="3"/>
        <v>0</v>
      </c>
      <c r="K36" s="964">
        <f>J36</f>
        <v>0</v>
      </c>
      <c r="L36" s="188"/>
      <c r="M36" s="91"/>
    </row>
    <row r="37" spans="2:13" x14ac:dyDescent="0.2">
      <c r="B37" s="87"/>
      <c r="C37" s="108"/>
      <c r="D37" s="109"/>
      <c r="E37" s="265"/>
      <c r="F37" s="747"/>
      <c r="G37" s="747"/>
      <c r="H37" s="747"/>
      <c r="I37" s="747"/>
      <c r="J37" s="747"/>
      <c r="K37" s="747"/>
      <c r="L37" s="188"/>
      <c r="M37" s="91"/>
    </row>
    <row r="38" spans="2:13" s="213" customFormat="1" x14ac:dyDescent="0.2">
      <c r="B38" s="183"/>
      <c r="C38" s="191"/>
      <c r="D38" s="134" t="s">
        <v>358</v>
      </c>
      <c r="E38" s="147"/>
      <c r="F38" s="231">
        <f t="shared" ref="F38:K38" si="4">F35-F36</f>
        <v>0</v>
      </c>
      <c r="G38" s="231">
        <f t="shared" si="4"/>
        <v>0</v>
      </c>
      <c r="H38" s="231">
        <f t="shared" si="4"/>
        <v>0</v>
      </c>
      <c r="I38" s="231">
        <f t="shared" si="4"/>
        <v>0</v>
      </c>
      <c r="J38" s="231">
        <f t="shared" si="4"/>
        <v>0</v>
      </c>
      <c r="K38" s="231">
        <f t="shared" si="4"/>
        <v>0</v>
      </c>
      <c r="L38" s="282"/>
      <c r="M38" s="194"/>
    </row>
    <row r="39" spans="2:13" x14ac:dyDescent="0.2">
      <c r="B39" s="87"/>
      <c r="C39" s="108"/>
      <c r="D39" s="109"/>
      <c r="E39" s="265"/>
      <c r="F39" s="747"/>
      <c r="G39" s="747"/>
      <c r="H39" s="747"/>
      <c r="I39" s="747"/>
      <c r="J39" s="747"/>
      <c r="K39" s="747"/>
      <c r="L39" s="188"/>
      <c r="M39" s="91"/>
    </row>
    <row r="40" spans="2:13" x14ac:dyDescent="0.2">
      <c r="B40" s="87"/>
      <c r="C40" s="88"/>
      <c r="D40" s="902"/>
      <c r="E40" s="169"/>
      <c r="F40" s="961"/>
      <c r="G40" s="961"/>
      <c r="H40" s="961"/>
      <c r="I40" s="961"/>
      <c r="J40" s="961"/>
      <c r="K40" s="961"/>
      <c r="L40" s="88"/>
      <c r="M40" s="91"/>
    </row>
    <row r="41" spans="2:13" x14ac:dyDescent="0.2">
      <c r="B41" s="87"/>
      <c r="C41" s="108"/>
      <c r="D41" s="109"/>
      <c r="E41" s="265"/>
      <c r="F41" s="747"/>
      <c r="G41" s="747"/>
      <c r="H41" s="747"/>
      <c r="I41" s="747"/>
      <c r="J41" s="747"/>
      <c r="K41" s="747"/>
      <c r="L41" s="188"/>
      <c r="M41" s="91"/>
    </row>
    <row r="42" spans="2:13" s="213" customFormat="1" x14ac:dyDescent="0.2">
      <c r="B42" s="183"/>
      <c r="C42" s="191"/>
      <c r="D42" s="157" t="s">
        <v>610</v>
      </c>
      <c r="E42" s="147"/>
      <c r="F42" s="231">
        <f t="shared" ref="F42:K42" si="5">F29+F38</f>
        <v>0</v>
      </c>
      <c r="G42" s="231">
        <f t="shared" si="5"/>
        <v>-10000</v>
      </c>
      <c r="H42" s="231">
        <f t="shared" si="5"/>
        <v>796766.60333333339</v>
      </c>
      <c r="I42" s="231">
        <f t="shared" si="5"/>
        <v>743275.47666666668</v>
      </c>
      <c r="J42" s="231">
        <f t="shared" si="5"/>
        <v>751554.07666666678</v>
      </c>
      <c r="K42" s="231">
        <f t="shared" si="5"/>
        <v>759832.67666666664</v>
      </c>
      <c r="L42" s="282"/>
      <c r="M42" s="194"/>
    </row>
    <row r="43" spans="2:13" x14ac:dyDescent="0.2">
      <c r="B43" s="87"/>
      <c r="C43" s="108"/>
      <c r="D43" s="109"/>
      <c r="E43" s="265"/>
      <c r="F43" s="747"/>
      <c r="G43" s="747"/>
      <c r="H43" s="747"/>
      <c r="I43" s="747"/>
      <c r="J43" s="747"/>
      <c r="K43" s="747"/>
      <c r="L43" s="188"/>
      <c r="M43" s="91"/>
    </row>
    <row r="44" spans="2:13" x14ac:dyDescent="0.2">
      <c r="B44" s="87"/>
      <c r="C44" s="88"/>
      <c r="D44" s="902"/>
      <c r="E44" s="169"/>
      <c r="F44" s="961"/>
      <c r="G44" s="961"/>
      <c r="H44" s="961"/>
      <c r="I44" s="961"/>
      <c r="J44" s="961"/>
      <c r="K44" s="961"/>
      <c r="L44" s="88"/>
      <c r="M44" s="91"/>
    </row>
    <row r="45" spans="2:13" x14ac:dyDescent="0.2">
      <c r="B45" s="87"/>
      <c r="C45" s="88"/>
      <c r="D45" s="902"/>
      <c r="E45" s="169"/>
      <c r="F45" s="961"/>
      <c r="G45" s="961"/>
      <c r="H45" s="961"/>
      <c r="I45" s="961"/>
      <c r="J45" s="961"/>
      <c r="K45" s="961"/>
      <c r="L45" s="88"/>
      <c r="M45" s="91"/>
    </row>
    <row r="46" spans="2:13" x14ac:dyDescent="0.2">
      <c r="B46" s="87"/>
      <c r="C46" s="108"/>
      <c r="D46" s="110"/>
      <c r="E46" s="110"/>
      <c r="F46" s="965"/>
      <c r="G46" s="965"/>
      <c r="H46" s="965"/>
      <c r="I46" s="965"/>
      <c r="J46" s="965"/>
      <c r="K46" s="965"/>
      <c r="L46" s="966"/>
      <c r="M46" s="91"/>
    </row>
    <row r="47" spans="2:13" s="124" customFormat="1" x14ac:dyDescent="0.2">
      <c r="B47" s="120"/>
      <c r="C47" s="214"/>
      <c r="D47" s="126" t="s">
        <v>614</v>
      </c>
      <c r="E47" s="329"/>
      <c r="F47" s="967"/>
      <c r="G47" s="967"/>
      <c r="H47" s="967"/>
      <c r="I47" s="967"/>
      <c r="J47" s="967"/>
      <c r="K47" s="967"/>
      <c r="L47" s="968"/>
      <c r="M47" s="96"/>
    </row>
    <row r="48" spans="2:13" x14ac:dyDescent="0.2">
      <c r="B48" s="87"/>
      <c r="C48" s="108"/>
      <c r="D48" s="110"/>
      <c r="E48" s="110"/>
      <c r="F48" s="965"/>
      <c r="G48" s="965"/>
      <c r="H48" s="965"/>
      <c r="I48" s="965"/>
      <c r="J48" s="965"/>
      <c r="K48" s="965"/>
      <c r="L48" s="966"/>
      <c r="M48" s="91"/>
    </row>
    <row r="49" spans="2:13" x14ac:dyDescent="0.2">
      <c r="B49" s="87"/>
      <c r="C49" s="108"/>
      <c r="D49" s="110" t="s">
        <v>615</v>
      </c>
      <c r="E49" s="110"/>
      <c r="F49" s="967"/>
      <c r="G49" s="967"/>
      <c r="H49" s="929">
        <f>pers!I151</f>
        <v>6782.416666666667</v>
      </c>
      <c r="I49" s="929">
        <f>pers!J151</f>
        <v>0</v>
      </c>
      <c r="J49" s="929">
        <f>pers!K151</f>
        <v>0</v>
      </c>
      <c r="K49" s="929">
        <f>pers!L151</f>
        <v>0</v>
      </c>
      <c r="L49" s="966"/>
      <c r="M49" s="91"/>
    </row>
    <row r="50" spans="2:13" x14ac:dyDescent="0.2">
      <c r="B50" s="87"/>
      <c r="C50" s="108"/>
      <c r="D50" s="110" t="s">
        <v>616</v>
      </c>
      <c r="E50" s="110"/>
      <c r="F50" s="967"/>
      <c r="G50" s="967"/>
      <c r="H50" s="929">
        <f>mat!I44</f>
        <v>0</v>
      </c>
      <c r="I50" s="929">
        <f>mat!J44</f>
        <v>0</v>
      </c>
      <c r="J50" s="929">
        <f>mat!K44</f>
        <v>0</v>
      </c>
      <c r="K50" s="929">
        <f>mat!L44</f>
        <v>0</v>
      </c>
      <c r="L50" s="966"/>
      <c r="M50" s="91"/>
    </row>
    <row r="51" spans="2:13" x14ac:dyDescent="0.2">
      <c r="B51" s="87"/>
      <c r="C51" s="108"/>
      <c r="D51" s="147"/>
      <c r="E51" s="110"/>
      <c r="F51" s="967"/>
      <c r="G51" s="967"/>
      <c r="H51" s="529">
        <f t="shared" ref="H51:K51" si="6">SUM(H49:H50)</f>
        <v>6782.416666666667</v>
      </c>
      <c r="I51" s="529">
        <f t="shared" si="6"/>
        <v>0</v>
      </c>
      <c r="J51" s="529">
        <f t="shared" si="6"/>
        <v>0</v>
      </c>
      <c r="K51" s="529">
        <f t="shared" si="6"/>
        <v>0</v>
      </c>
      <c r="L51" s="966"/>
      <c r="M51" s="91"/>
    </row>
    <row r="52" spans="2:13" x14ac:dyDescent="0.2">
      <c r="B52" s="87"/>
      <c r="C52" s="116"/>
      <c r="D52" s="117"/>
      <c r="E52" s="117"/>
      <c r="F52" s="969"/>
      <c r="G52" s="969"/>
      <c r="H52" s="969"/>
      <c r="I52" s="969"/>
      <c r="J52" s="969"/>
      <c r="K52" s="969"/>
      <c r="L52" s="970"/>
      <c r="M52" s="91"/>
    </row>
    <row r="53" spans="2:13" x14ac:dyDescent="0.2">
      <c r="B53" s="87"/>
      <c r="C53" s="88"/>
      <c r="D53" s="849"/>
      <c r="E53" s="88"/>
      <c r="F53" s="791"/>
      <c r="G53" s="791"/>
      <c r="H53" s="791"/>
      <c r="I53" s="791"/>
      <c r="J53" s="791"/>
      <c r="K53" s="791"/>
      <c r="L53" s="88"/>
      <c r="M53" s="91"/>
    </row>
    <row r="54" spans="2:13" ht="15" x14ac:dyDescent="0.25">
      <c r="B54" s="199"/>
      <c r="C54" s="200"/>
      <c r="D54" s="971"/>
      <c r="E54" s="200"/>
      <c r="F54" s="670"/>
      <c r="G54" s="670"/>
      <c r="H54" s="670"/>
      <c r="I54" s="670"/>
      <c r="J54" s="670"/>
      <c r="K54" s="670"/>
      <c r="L54" s="176" t="s">
        <v>629</v>
      </c>
      <c r="M54" s="201"/>
    </row>
    <row r="55" spans="2:13" x14ac:dyDescent="0.2">
      <c r="D55" s="864"/>
      <c r="F55" s="573"/>
      <c r="G55" s="573"/>
      <c r="H55" s="573"/>
      <c r="I55" s="573"/>
      <c r="J55" s="573"/>
      <c r="K55" s="573"/>
    </row>
    <row r="56" spans="2:13" x14ac:dyDescent="0.2">
      <c r="J56" s="372"/>
    </row>
    <row r="57" spans="2:13" x14ac:dyDescent="0.2">
      <c r="J57" s="372"/>
    </row>
    <row r="58" spans="2:13" x14ac:dyDescent="0.2">
      <c r="J58" s="372"/>
    </row>
    <row r="59" spans="2:13" x14ac:dyDescent="0.2">
      <c r="J59" s="372"/>
    </row>
    <row r="60" spans="2:13" x14ac:dyDescent="0.2">
      <c r="J60" s="372"/>
    </row>
    <row r="61" spans="2:13" x14ac:dyDescent="0.2">
      <c r="J61" s="372"/>
    </row>
    <row r="62" spans="2:13" x14ac:dyDescent="0.2">
      <c r="J62" s="372"/>
    </row>
    <row r="63" spans="2:13" x14ac:dyDescent="0.2">
      <c r="J63" s="372"/>
    </row>
    <row r="64" spans="2:13" x14ac:dyDescent="0.2">
      <c r="J64" s="372"/>
    </row>
    <row r="65" spans="10:10" x14ac:dyDescent="0.2">
      <c r="J65" s="372"/>
    </row>
    <row r="66" spans="10:10" x14ac:dyDescent="0.2">
      <c r="J66" s="372"/>
    </row>
    <row r="67" spans="10:10" x14ac:dyDescent="0.2">
      <c r="J67" s="372"/>
    </row>
    <row r="68" spans="10:10" x14ac:dyDescent="0.2">
      <c r="J68" s="372"/>
    </row>
    <row r="69" spans="10:10" x14ac:dyDescent="0.2">
      <c r="J69" s="372"/>
    </row>
    <row r="70" spans="10:10" x14ac:dyDescent="0.2">
      <c r="J70" s="372"/>
    </row>
    <row r="71" spans="10:10" x14ac:dyDescent="0.2">
      <c r="J71" s="372"/>
    </row>
    <row r="72" spans="10:10" x14ac:dyDescent="0.2">
      <c r="J72" s="372"/>
    </row>
    <row r="73" spans="10:10" x14ac:dyDescent="0.2">
      <c r="J73" s="372"/>
    </row>
    <row r="74" spans="10:10" x14ac:dyDescent="0.2">
      <c r="J74" s="372"/>
    </row>
    <row r="75" spans="10:10" x14ac:dyDescent="0.2">
      <c r="J75" s="372"/>
    </row>
    <row r="76" spans="10:10" x14ac:dyDescent="0.2">
      <c r="J76" s="372"/>
    </row>
    <row r="77" spans="10:10" x14ac:dyDescent="0.2">
      <c r="J77" s="372"/>
    </row>
    <row r="78" spans="10:10" x14ac:dyDescent="0.2">
      <c r="J78" s="372"/>
    </row>
    <row r="79" spans="10:10" x14ac:dyDescent="0.2">
      <c r="J79" s="372"/>
    </row>
    <row r="80" spans="10:10" x14ac:dyDescent="0.2">
      <c r="J80" s="372"/>
    </row>
    <row r="81" spans="10:10" x14ac:dyDescent="0.2">
      <c r="J81" s="372"/>
    </row>
    <row r="82" spans="10:10" x14ac:dyDescent="0.2">
      <c r="J82" s="372"/>
    </row>
    <row r="83" spans="10:10" x14ac:dyDescent="0.2">
      <c r="J83" s="372"/>
    </row>
    <row r="84" spans="10:10" x14ac:dyDescent="0.2">
      <c r="J84" s="372"/>
    </row>
    <row r="85" spans="10:10" x14ac:dyDescent="0.2">
      <c r="J85" s="372"/>
    </row>
    <row r="86" spans="10:10" x14ac:dyDescent="0.2">
      <c r="J86" s="372"/>
    </row>
    <row r="87" spans="10:10" x14ac:dyDescent="0.2">
      <c r="J87" s="372"/>
    </row>
    <row r="88" spans="10:10" x14ac:dyDescent="0.2">
      <c r="J88" s="372"/>
    </row>
    <row r="89" spans="10:10" x14ac:dyDescent="0.2">
      <c r="J89" s="372"/>
    </row>
    <row r="90" spans="10:10" x14ac:dyDescent="0.2">
      <c r="J90" s="372"/>
    </row>
    <row r="91" spans="10:10" x14ac:dyDescent="0.2">
      <c r="J91" s="372"/>
    </row>
    <row r="92" spans="10:10" x14ac:dyDescent="0.2">
      <c r="J92" s="372"/>
    </row>
    <row r="93" spans="10:10" x14ac:dyDescent="0.2">
      <c r="J93" s="372"/>
    </row>
    <row r="94" spans="10:10" x14ac:dyDescent="0.2">
      <c r="J94" s="372"/>
    </row>
    <row r="95" spans="10:10" x14ac:dyDescent="0.2">
      <c r="J95" s="372"/>
    </row>
    <row r="96" spans="10:10" x14ac:dyDescent="0.2">
      <c r="J96" s="372"/>
    </row>
    <row r="97" spans="10:10" x14ac:dyDescent="0.2">
      <c r="J97" s="372"/>
    </row>
    <row r="98" spans="10:10" x14ac:dyDescent="0.2">
      <c r="J98" s="372"/>
    </row>
    <row r="99" spans="10:10" x14ac:dyDescent="0.2">
      <c r="J99" s="372"/>
    </row>
    <row r="100" spans="10:10" x14ac:dyDescent="0.2">
      <c r="J100" s="372"/>
    </row>
    <row r="101" spans="10:10" x14ac:dyDescent="0.2">
      <c r="J101" s="372"/>
    </row>
    <row r="102" spans="10:10" x14ac:dyDescent="0.2">
      <c r="J102" s="372"/>
    </row>
    <row r="103" spans="10:10" x14ac:dyDescent="0.2">
      <c r="J103" s="372"/>
    </row>
    <row r="104" spans="10:10" x14ac:dyDescent="0.2">
      <c r="J104" s="372"/>
    </row>
    <row r="105" spans="10:10" x14ac:dyDescent="0.2">
      <c r="J105" s="372"/>
    </row>
    <row r="106" spans="10:10" x14ac:dyDescent="0.2">
      <c r="J106" s="372"/>
    </row>
    <row r="107" spans="10:10" x14ac:dyDescent="0.2">
      <c r="J107" s="372"/>
    </row>
  </sheetData>
  <sheetProtection password="DFB1" sheet="1" objects="1" scenarios="1"/>
  <phoneticPr fontId="0" type="noConversion"/>
  <pageMargins left="0.74803149606299213" right="0.74803149606299213"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7">
    <pageSetUpPr fitToPage="1"/>
  </sheetPr>
  <dimension ref="B1:T59"/>
  <sheetViews>
    <sheetView showGridLines="0" zoomScale="85" zoomScaleNormal="85" zoomScaleSheetLayoutView="85" workbookViewId="0">
      <pane ySplit="9" topLeftCell="A10" activePane="bottomLeft" state="frozen"/>
      <selection activeCell="B2" sqref="B2"/>
      <selection pane="bottomLeft" activeCell="B2" sqref="B2"/>
    </sheetView>
  </sheetViews>
  <sheetFormatPr defaultColWidth="9.140625" defaultRowHeight="12.75" x14ac:dyDescent="0.2"/>
  <cols>
    <col min="1" max="1" width="3.7109375" style="86" customWidth="1"/>
    <col min="2" max="3" width="2.7109375" style="86" customWidth="1"/>
    <col min="4" max="4" width="45.7109375" style="86" customWidth="1"/>
    <col min="5" max="5" width="2.7109375" style="86" customWidth="1"/>
    <col min="6" max="6" width="14.85546875" style="86" customWidth="1"/>
    <col min="7" max="10" width="14.85546875" style="202" customWidth="1"/>
    <col min="11" max="11" width="2.7109375" style="202" customWidth="1"/>
    <col min="12" max="12" width="2.7109375" style="86" customWidth="1"/>
    <col min="13" max="13" width="11.42578125" style="371" customWidth="1"/>
    <col min="14" max="14" width="33.7109375" style="86" customWidth="1"/>
    <col min="15" max="15" width="2.5703125" style="86" customWidth="1"/>
    <col min="16" max="20" width="10.7109375" style="86" customWidth="1"/>
    <col min="21" max="21" width="2.7109375" style="86" customWidth="1"/>
    <col min="22" max="16384" width="9.140625" style="86"/>
  </cols>
  <sheetData>
    <row r="1" spans="2:16" ht="12.75" customHeight="1" x14ac:dyDescent="0.2"/>
    <row r="2" spans="2:16" x14ac:dyDescent="0.2">
      <c r="B2" s="81"/>
      <c r="C2" s="82"/>
      <c r="D2" s="82"/>
      <c r="E2" s="82"/>
      <c r="F2" s="82"/>
      <c r="G2" s="203"/>
      <c r="H2" s="203"/>
      <c r="I2" s="203"/>
      <c r="J2" s="203"/>
      <c r="K2" s="203"/>
      <c r="L2" s="85"/>
    </row>
    <row r="3" spans="2:16" x14ac:dyDescent="0.2">
      <c r="B3" s="87"/>
      <c r="C3" s="88"/>
      <c r="D3" s="88"/>
      <c r="E3" s="88"/>
      <c r="F3" s="88"/>
      <c r="G3" s="204"/>
      <c r="H3" s="204"/>
      <c r="I3" s="204"/>
      <c r="J3" s="204"/>
      <c r="K3" s="204"/>
      <c r="L3" s="91"/>
    </row>
    <row r="4" spans="2:16" s="205" customFormat="1" ht="18.75" x14ac:dyDescent="0.3">
      <c r="B4" s="972"/>
      <c r="C4" s="94" t="s">
        <v>320</v>
      </c>
      <c r="D4" s="95"/>
      <c r="E4" s="100"/>
      <c r="F4" s="100"/>
      <c r="G4" s="206"/>
      <c r="H4" s="206"/>
      <c r="I4" s="206"/>
      <c r="J4" s="206"/>
      <c r="K4" s="206"/>
      <c r="L4" s="130"/>
      <c r="M4" s="973"/>
    </row>
    <row r="5" spans="2:16" s="205" customFormat="1" ht="18.75" x14ac:dyDescent="0.3">
      <c r="B5" s="972"/>
      <c r="C5" s="99" t="str">
        <f>geg!G12</f>
        <v>Basisschool</v>
      </c>
      <c r="D5" s="100"/>
      <c r="E5" s="100"/>
      <c r="F5" s="100"/>
      <c r="G5" s="206"/>
      <c r="H5" s="206"/>
      <c r="I5" s="206"/>
      <c r="J5" s="206"/>
      <c r="K5" s="206"/>
      <c r="L5" s="130"/>
      <c r="M5" s="973"/>
    </row>
    <row r="6" spans="2:16" x14ac:dyDescent="0.2">
      <c r="B6" s="145"/>
      <c r="C6" s="169"/>
      <c r="D6" s="88"/>
      <c r="E6" s="88"/>
      <c r="F6" s="88"/>
      <c r="G6" s="204"/>
      <c r="H6" s="204"/>
      <c r="I6" s="204"/>
      <c r="J6" s="204"/>
      <c r="K6" s="204"/>
      <c r="L6" s="91"/>
    </row>
    <row r="7" spans="2:16" x14ac:dyDescent="0.2">
      <c r="B7" s="145"/>
      <c r="C7" s="169"/>
      <c r="D7" s="88"/>
      <c r="E7" s="88"/>
      <c r="F7" s="88"/>
      <c r="G7" s="204"/>
      <c r="H7" s="204"/>
      <c r="I7" s="204"/>
      <c r="J7" s="204"/>
      <c r="K7" s="204"/>
      <c r="L7" s="91"/>
    </row>
    <row r="8" spans="2:16" s="205" customFormat="1" x14ac:dyDescent="0.2">
      <c r="B8" s="768"/>
      <c r="C8" s="102"/>
      <c r="D8" s="923"/>
      <c r="E8" s="100"/>
      <c r="F8" s="123">
        <f>G8-1</f>
        <v>2013</v>
      </c>
      <c r="G8" s="123">
        <f>tab!E4</f>
        <v>2014</v>
      </c>
      <c r="H8" s="123">
        <f>begr!I8</f>
        <v>2015</v>
      </c>
      <c r="I8" s="123">
        <f>begr!J8</f>
        <v>2016</v>
      </c>
      <c r="J8" s="123">
        <f>begr!K8</f>
        <v>2017</v>
      </c>
      <c r="K8" s="891"/>
      <c r="L8" s="130"/>
      <c r="M8" s="973"/>
    </row>
    <row r="9" spans="2:16" x14ac:dyDescent="0.2">
      <c r="B9" s="183"/>
      <c r="C9" s="237"/>
      <c r="D9" s="169"/>
      <c r="E9" s="88"/>
      <c r="F9" s="88"/>
      <c r="G9" s="90"/>
      <c r="H9" s="90"/>
      <c r="I9" s="90"/>
      <c r="J9" s="90"/>
      <c r="K9" s="90"/>
      <c r="L9" s="91"/>
    </row>
    <row r="10" spans="2:16" x14ac:dyDescent="0.2">
      <c r="B10" s="183"/>
      <c r="C10" s="184"/>
      <c r="D10" s="962"/>
      <c r="E10" s="105"/>
      <c r="F10" s="105"/>
      <c r="G10" s="106"/>
      <c r="H10" s="106"/>
      <c r="I10" s="106"/>
      <c r="J10" s="106"/>
      <c r="K10" s="107"/>
      <c r="L10" s="91"/>
    </row>
    <row r="11" spans="2:16" x14ac:dyDescent="0.2">
      <c r="B11" s="87"/>
      <c r="C11" s="108"/>
      <c r="D11" s="126" t="s">
        <v>403</v>
      </c>
      <c r="E11" s="110"/>
      <c r="F11" s="110"/>
      <c r="G11" s="131"/>
      <c r="H11" s="131"/>
      <c r="I11" s="131"/>
      <c r="J11" s="131"/>
      <c r="K11" s="114"/>
      <c r="L11" s="91"/>
    </row>
    <row r="12" spans="2:16" x14ac:dyDescent="0.2">
      <c r="B12" s="87"/>
      <c r="C12" s="108"/>
      <c r="D12" s="110"/>
      <c r="E12" s="110"/>
      <c r="F12" s="110"/>
      <c r="G12" s="110"/>
      <c r="H12" s="110"/>
      <c r="I12" s="110"/>
      <c r="J12" s="110"/>
      <c r="K12" s="188"/>
      <c r="L12" s="195"/>
      <c r="M12" s="565"/>
      <c r="N12" s="202"/>
      <c r="O12" s="202"/>
      <c r="P12" s="202"/>
    </row>
    <row r="13" spans="2:16" x14ac:dyDescent="0.2">
      <c r="B13" s="87"/>
      <c r="C13" s="108"/>
      <c r="D13" s="260" t="s">
        <v>281</v>
      </c>
      <c r="E13" s="110"/>
      <c r="F13" s="110"/>
      <c r="G13" s="110"/>
      <c r="H13" s="110"/>
      <c r="I13" s="110"/>
      <c r="J13" s="110"/>
      <c r="K13" s="188"/>
      <c r="L13" s="91"/>
    </row>
    <row r="14" spans="2:16" x14ac:dyDescent="0.2">
      <c r="B14" s="87"/>
      <c r="C14" s="108"/>
      <c r="D14" s="110" t="s">
        <v>655</v>
      </c>
      <c r="E14" s="110"/>
      <c r="F14" s="286">
        <v>0</v>
      </c>
      <c r="G14" s="286">
        <f>F14</f>
        <v>0</v>
      </c>
      <c r="H14" s="286">
        <f t="shared" ref="H14:J16" si="0">G14</f>
        <v>0</v>
      </c>
      <c r="I14" s="286">
        <f t="shared" si="0"/>
        <v>0</v>
      </c>
      <c r="J14" s="286">
        <f t="shared" si="0"/>
        <v>0</v>
      </c>
      <c r="K14" s="268"/>
      <c r="L14" s="91"/>
    </row>
    <row r="15" spans="2:16" x14ac:dyDescent="0.2">
      <c r="B15" s="87"/>
      <c r="C15" s="108"/>
      <c r="D15" s="110" t="s">
        <v>656</v>
      </c>
      <c r="E15" s="110"/>
      <c r="F15" s="929">
        <f>act!F61</f>
        <v>40000</v>
      </c>
      <c r="G15" s="929">
        <f>act!G61</f>
        <v>30000</v>
      </c>
      <c r="H15" s="929">
        <f>act!H61</f>
        <v>20000</v>
      </c>
      <c r="I15" s="929">
        <f>act!I61</f>
        <v>10000</v>
      </c>
      <c r="J15" s="929">
        <f>act!J61</f>
        <v>0</v>
      </c>
      <c r="K15" s="268"/>
      <c r="L15" s="91"/>
    </row>
    <row r="16" spans="2:16" x14ac:dyDescent="0.2">
      <c r="B16" s="87"/>
      <c r="C16" s="108"/>
      <c r="D16" s="110" t="s">
        <v>657</v>
      </c>
      <c r="E16" s="110"/>
      <c r="F16" s="286">
        <v>0</v>
      </c>
      <c r="G16" s="286">
        <f>F16</f>
        <v>0</v>
      </c>
      <c r="H16" s="286">
        <f t="shared" si="0"/>
        <v>0</v>
      </c>
      <c r="I16" s="286">
        <f t="shared" si="0"/>
        <v>0</v>
      </c>
      <c r="J16" s="286">
        <f t="shared" si="0"/>
        <v>0</v>
      </c>
      <c r="K16" s="268"/>
      <c r="L16" s="91"/>
    </row>
    <row r="17" spans="2:20" x14ac:dyDescent="0.2">
      <c r="B17" s="87"/>
      <c r="C17" s="108"/>
      <c r="D17" s="134"/>
      <c r="E17" s="110"/>
      <c r="F17" s="288">
        <f>SUM(F14:F16)</f>
        <v>40000</v>
      </c>
      <c r="G17" s="288">
        <f>SUM(G14:G16)</f>
        <v>30000</v>
      </c>
      <c r="H17" s="288">
        <f>SUM(H14:H16)</f>
        <v>20000</v>
      </c>
      <c r="I17" s="288">
        <f>SUM(I14:I16)</f>
        <v>10000</v>
      </c>
      <c r="J17" s="288">
        <f>SUM(J14:J16)</f>
        <v>0</v>
      </c>
      <c r="K17" s="974"/>
      <c r="L17" s="91"/>
    </row>
    <row r="18" spans="2:20" x14ac:dyDescent="0.2">
      <c r="B18" s="87"/>
      <c r="C18" s="108"/>
      <c r="D18" s="260" t="s">
        <v>280</v>
      </c>
      <c r="E18" s="110"/>
      <c r="F18" s="110"/>
      <c r="G18" s="290"/>
      <c r="H18" s="290"/>
      <c r="I18" s="290"/>
      <c r="J18" s="290"/>
      <c r="K18" s="268"/>
      <c r="L18" s="91"/>
    </row>
    <row r="19" spans="2:20" x14ac:dyDescent="0.2">
      <c r="B19" s="87"/>
      <c r="C19" s="108"/>
      <c r="D19" s="110" t="s">
        <v>658</v>
      </c>
      <c r="E19" s="110"/>
      <c r="F19" s="286">
        <v>0</v>
      </c>
      <c r="G19" s="286">
        <f>F19</f>
        <v>0</v>
      </c>
      <c r="H19" s="286">
        <f t="shared" ref="H19:J21" si="1">G19</f>
        <v>0</v>
      </c>
      <c r="I19" s="286">
        <f t="shared" si="1"/>
        <v>0</v>
      </c>
      <c r="J19" s="286">
        <f t="shared" si="1"/>
        <v>0</v>
      </c>
      <c r="K19" s="268"/>
      <c r="L19" s="91"/>
    </row>
    <row r="20" spans="2:20" x14ac:dyDescent="0.2">
      <c r="B20" s="87"/>
      <c r="C20" s="108"/>
      <c r="D20" s="110" t="s">
        <v>659</v>
      </c>
      <c r="E20" s="110"/>
      <c r="F20" s="286">
        <v>0</v>
      </c>
      <c r="G20" s="286">
        <f>F20</f>
        <v>0</v>
      </c>
      <c r="H20" s="286">
        <f t="shared" si="1"/>
        <v>0</v>
      </c>
      <c r="I20" s="286">
        <f t="shared" si="1"/>
        <v>0</v>
      </c>
      <c r="J20" s="286">
        <f t="shared" si="1"/>
        <v>0</v>
      </c>
      <c r="K20" s="268"/>
      <c r="L20" s="91"/>
    </row>
    <row r="21" spans="2:20" x14ac:dyDescent="0.2">
      <c r="B21" s="87"/>
      <c r="C21" s="108"/>
      <c r="D21" s="110" t="s">
        <v>660</v>
      </c>
      <c r="E21" s="110"/>
      <c r="F21" s="286">
        <v>0</v>
      </c>
      <c r="G21" s="286">
        <f>F21</f>
        <v>0</v>
      </c>
      <c r="H21" s="286">
        <f t="shared" si="1"/>
        <v>0</v>
      </c>
      <c r="I21" s="286">
        <f t="shared" si="1"/>
        <v>0</v>
      </c>
      <c r="J21" s="286">
        <f t="shared" si="1"/>
        <v>0</v>
      </c>
      <c r="K21" s="268"/>
      <c r="L21" s="91"/>
    </row>
    <row r="22" spans="2:20" x14ac:dyDescent="0.2">
      <c r="B22" s="87"/>
      <c r="C22" s="108"/>
      <c r="D22" s="110" t="s">
        <v>661</v>
      </c>
      <c r="E22" s="110"/>
      <c r="F22" s="286">
        <v>0</v>
      </c>
      <c r="G22" s="278">
        <f>G56-(G17+(SUM(G19:G21)))</f>
        <v>806766.60333333339</v>
      </c>
      <c r="H22" s="278">
        <f>H56-(H17+(SUM(H19:H21)))</f>
        <v>1560042.08</v>
      </c>
      <c r="I22" s="278">
        <f>I56-(I17+(SUM(I19:I21)))</f>
        <v>2321596.1566666667</v>
      </c>
      <c r="J22" s="278">
        <f>J56-(J17+(SUM(J19:J21)))</f>
        <v>3091428.8333333335</v>
      </c>
      <c r="K22" s="268"/>
      <c r="L22" s="91"/>
    </row>
    <row r="23" spans="2:20" x14ac:dyDescent="0.2">
      <c r="B23" s="87"/>
      <c r="C23" s="108"/>
      <c r="D23" s="134"/>
      <c r="E23" s="110"/>
      <c r="F23" s="288">
        <f>SUM(F19:F22)</f>
        <v>0</v>
      </c>
      <c r="G23" s="288">
        <f>SUM(G19:G22)</f>
        <v>806766.60333333339</v>
      </c>
      <c r="H23" s="288">
        <f>SUM(H19:H22)</f>
        <v>1560042.08</v>
      </c>
      <c r="I23" s="288">
        <f>SUM(I19:I22)</f>
        <v>2321596.1566666667</v>
      </c>
      <c r="J23" s="288">
        <f>SUM(J19:J22)</f>
        <v>3091428.8333333335</v>
      </c>
      <c r="K23" s="974"/>
      <c r="L23" s="91"/>
    </row>
    <row r="24" spans="2:20" x14ac:dyDescent="0.2">
      <c r="B24" s="87"/>
      <c r="C24" s="108"/>
      <c r="D24" s="110"/>
      <c r="E24" s="110"/>
      <c r="F24" s="110"/>
      <c r="G24" s="110"/>
      <c r="H24" s="110"/>
      <c r="I24" s="110"/>
      <c r="J24" s="110"/>
      <c r="K24" s="188"/>
      <c r="L24" s="91"/>
    </row>
    <row r="25" spans="2:20" x14ac:dyDescent="0.2">
      <c r="B25" s="87"/>
      <c r="C25" s="108"/>
      <c r="D25" s="157" t="s">
        <v>402</v>
      </c>
      <c r="E25" s="965"/>
      <c r="F25" s="930">
        <f>F17+F23</f>
        <v>40000</v>
      </c>
      <c r="G25" s="930">
        <f>G17+G23</f>
        <v>836766.60333333339</v>
      </c>
      <c r="H25" s="930">
        <f>H17+H23</f>
        <v>1580042.08</v>
      </c>
      <c r="I25" s="930">
        <f>I17+I23</f>
        <v>2331596.1566666667</v>
      </c>
      <c r="J25" s="930">
        <f>J17+J23</f>
        <v>3091428.8333333335</v>
      </c>
      <c r="K25" s="974"/>
      <c r="L25" s="91"/>
    </row>
    <row r="26" spans="2:20" x14ac:dyDescent="0.2">
      <c r="B26" s="87"/>
      <c r="C26" s="116"/>
      <c r="D26" s="117"/>
      <c r="E26" s="969"/>
      <c r="F26" s="969"/>
      <c r="G26" s="235"/>
      <c r="H26" s="235"/>
      <c r="I26" s="235"/>
      <c r="J26" s="235"/>
      <c r="K26" s="236"/>
      <c r="L26" s="91"/>
      <c r="N26" s="864"/>
      <c r="P26" s="675"/>
      <c r="Q26" s="675"/>
      <c r="R26" s="675"/>
      <c r="S26" s="675"/>
      <c r="T26" s="675"/>
    </row>
    <row r="27" spans="2:20" x14ac:dyDescent="0.2">
      <c r="B27" s="87"/>
      <c r="C27" s="88"/>
      <c r="D27" s="88"/>
      <c r="E27" s="939"/>
      <c r="F27" s="939"/>
      <c r="G27" s="204"/>
      <c r="H27" s="204"/>
      <c r="I27" s="204"/>
      <c r="J27" s="204"/>
      <c r="K27" s="204"/>
      <c r="L27" s="91"/>
      <c r="N27" s="864"/>
      <c r="P27" s="675"/>
      <c r="Q27" s="675"/>
      <c r="R27" s="675"/>
      <c r="S27" s="675"/>
      <c r="T27" s="675"/>
    </row>
    <row r="28" spans="2:20" x14ac:dyDescent="0.2">
      <c r="B28" s="87"/>
      <c r="C28" s="104"/>
      <c r="D28" s="105"/>
      <c r="E28" s="720"/>
      <c r="F28" s="720"/>
      <c r="G28" s="720"/>
      <c r="H28" s="720"/>
      <c r="I28" s="720"/>
      <c r="J28" s="720"/>
      <c r="K28" s="975"/>
      <c r="L28" s="91"/>
      <c r="N28" s="864"/>
      <c r="P28" s="675"/>
      <c r="Q28" s="675"/>
      <c r="R28" s="675"/>
      <c r="S28" s="675"/>
      <c r="T28" s="675"/>
    </row>
    <row r="29" spans="2:20" x14ac:dyDescent="0.2">
      <c r="B29" s="87"/>
      <c r="C29" s="108"/>
      <c r="D29" s="126" t="s">
        <v>404</v>
      </c>
      <c r="E29" s="110"/>
      <c r="F29" s="965"/>
      <c r="G29" s="113"/>
      <c r="H29" s="113"/>
      <c r="I29" s="113"/>
      <c r="J29" s="113"/>
      <c r="K29" s="133"/>
      <c r="L29" s="91"/>
      <c r="N29" s="864"/>
      <c r="P29" s="675"/>
      <c r="Q29" s="675"/>
      <c r="R29" s="675"/>
      <c r="S29" s="675"/>
      <c r="T29" s="675"/>
    </row>
    <row r="30" spans="2:20" x14ac:dyDescent="0.2">
      <c r="B30" s="224"/>
      <c r="C30" s="225"/>
      <c r="D30" s="110"/>
      <c r="E30" s="965"/>
      <c r="F30" s="965"/>
      <c r="G30" s="113"/>
      <c r="H30" s="113"/>
      <c r="I30" s="113"/>
      <c r="J30" s="113"/>
      <c r="K30" s="133"/>
      <c r="L30" s="91"/>
      <c r="N30" s="864"/>
      <c r="P30" s="675"/>
      <c r="Q30" s="675"/>
      <c r="R30" s="675"/>
      <c r="S30" s="675"/>
      <c r="T30" s="675"/>
    </row>
    <row r="31" spans="2:20" x14ac:dyDescent="0.2">
      <c r="B31" s="224"/>
      <c r="C31" s="225"/>
      <c r="D31" s="110" t="s">
        <v>662</v>
      </c>
      <c r="E31" s="965"/>
      <c r="F31" s="965"/>
      <c r="G31" s="113"/>
      <c r="H31" s="113"/>
      <c r="I31" s="113"/>
      <c r="J31" s="113"/>
      <c r="K31" s="133"/>
      <c r="L31" s="91"/>
      <c r="N31" s="864"/>
      <c r="P31" s="675"/>
      <c r="Q31" s="675"/>
      <c r="R31" s="675"/>
      <c r="S31" s="675"/>
      <c r="T31" s="675"/>
    </row>
    <row r="32" spans="2:20" x14ac:dyDescent="0.2">
      <c r="B32" s="224"/>
      <c r="C32" s="225"/>
      <c r="D32" s="265" t="s">
        <v>398</v>
      </c>
      <c r="E32" s="965"/>
      <c r="F32" s="976">
        <f>F25-(F33+F34+F35+F41+F45+F54)</f>
        <v>40000</v>
      </c>
      <c r="G32" s="278">
        <f>F36+begr!H42-SUM(G33:G35)</f>
        <v>836766.60333333339</v>
      </c>
      <c r="H32" s="278">
        <f>G36+begr!I42-SUM(H33:H35)</f>
        <v>1580042.08</v>
      </c>
      <c r="I32" s="278">
        <f>H36+begr!J42-SUM(I33:I35)</f>
        <v>2331596.1566666667</v>
      </c>
      <c r="J32" s="278">
        <f>I36+begr!K42-SUM(J33:J35)</f>
        <v>3091428.8333333335</v>
      </c>
      <c r="K32" s="133"/>
      <c r="L32" s="91"/>
      <c r="N32" s="864"/>
      <c r="P32" s="675"/>
      <c r="Q32" s="675"/>
      <c r="R32" s="675"/>
      <c r="S32" s="675"/>
      <c r="T32" s="675"/>
    </row>
    <row r="33" spans="2:20" x14ac:dyDescent="0.2">
      <c r="B33" s="224"/>
      <c r="C33" s="225"/>
      <c r="D33" s="1172" t="s">
        <v>399</v>
      </c>
      <c r="E33" s="965"/>
      <c r="F33" s="286">
        <v>0</v>
      </c>
      <c r="G33" s="286">
        <f>F33</f>
        <v>0</v>
      </c>
      <c r="H33" s="286">
        <f t="shared" ref="H33:J35" si="2">G33</f>
        <v>0</v>
      </c>
      <c r="I33" s="286">
        <f t="shared" si="2"/>
        <v>0</v>
      </c>
      <c r="J33" s="286">
        <f t="shared" si="2"/>
        <v>0</v>
      </c>
      <c r="K33" s="133"/>
      <c r="L33" s="91"/>
      <c r="N33" s="864"/>
      <c r="P33" s="675"/>
      <c r="Q33" s="675"/>
      <c r="R33" s="675"/>
      <c r="S33" s="675"/>
      <c r="T33" s="675"/>
    </row>
    <row r="34" spans="2:20" x14ac:dyDescent="0.2">
      <c r="B34" s="224"/>
      <c r="C34" s="225"/>
      <c r="D34" s="1172" t="s">
        <v>400</v>
      </c>
      <c r="E34" s="965"/>
      <c r="F34" s="286">
        <v>0</v>
      </c>
      <c r="G34" s="286">
        <f>F34</f>
        <v>0</v>
      </c>
      <c r="H34" s="286">
        <f t="shared" si="2"/>
        <v>0</v>
      </c>
      <c r="I34" s="286">
        <f t="shared" si="2"/>
        <v>0</v>
      </c>
      <c r="J34" s="286">
        <f t="shared" si="2"/>
        <v>0</v>
      </c>
      <c r="K34" s="133"/>
      <c r="L34" s="91"/>
      <c r="N34" s="864"/>
      <c r="P34" s="675"/>
      <c r="Q34" s="675"/>
      <c r="R34" s="675"/>
      <c r="S34" s="675"/>
      <c r="T34" s="675"/>
    </row>
    <row r="35" spans="2:20" x14ac:dyDescent="0.2">
      <c r="B35" s="224"/>
      <c r="C35" s="225"/>
      <c r="D35" s="1172" t="s">
        <v>401</v>
      </c>
      <c r="E35" s="965"/>
      <c r="F35" s="286">
        <v>0</v>
      </c>
      <c r="G35" s="286">
        <f>F35</f>
        <v>0</v>
      </c>
      <c r="H35" s="286">
        <f t="shared" si="2"/>
        <v>0</v>
      </c>
      <c r="I35" s="286">
        <f t="shared" si="2"/>
        <v>0</v>
      </c>
      <c r="J35" s="286">
        <f t="shared" si="2"/>
        <v>0</v>
      </c>
      <c r="K35" s="133"/>
      <c r="L35" s="91"/>
      <c r="N35" s="864"/>
      <c r="P35" s="675"/>
      <c r="Q35" s="675"/>
      <c r="R35" s="675"/>
      <c r="S35" s="675"/>
      <c r="T35" s="675"/>
    </row>
    <row r="36" spans="2:20" x14ac:dyDescent="0.2">
      <c r="B36" s="87"/>
      <c r="C36" s="108"/>
      <c r="D36" s="147"/>
      <c r="E36" s="110"/>
      <c r="F36" s="288">
        <f>SUM(F32:F35)</f>
        <v>40000</v>
      </c>
      <c r="G36" s="288">
        <f>SUM(G32:G35)</f>
        <v>836766.60333333339</v>
      </c>
      <c r="H36" s="288">
        <f>SUM(H32:H35)</f>
        <v>1580042.08</v>
      </c>
      <c r="I36" s="288">
        <f>SUM(I32:I35)</f>
        <v>2331596.1566666667</v>
      </c>
      <c r="J36" s="288">
        <f>SUM(J32:J35)</f>
        <v>3091428.8333333335</v>
      </c>
      <c r="K36" s="974"/>
      <c r="L36" s="91"/>
    </row>
    <row r="37" spans="2:20" x14ac:dyDescent="0.2">
      <c r="B37" s="87"/>
      <c r="C37" s="108"/>
      <c r="D37" s="110" t="s">
        <v>663</v>
      </c>
      <c r="E37" s="110"/>
      <c r="F37" s="110"/>
      <c r="G37" s="110"/>
      <c r="H37" s="110"/>
      <c r="I37" s="110"/>
      <c r="J37" s="110"/>
      <c r="K37" s="188"/>
      <c r="L37" s="91"/>
    </row>
    <row r="38" spans="2:20" x14ac:dyDescent="0.2">
      <c r="B38" s="87"/>
      <c r="C38" s="108"/>
      <c r="D38" s="265" t="s">
        <v>529</v>
      </c>
      <c r="E38" s="110"/>
      <c r="F38" s="278">
        <f>mop!F19</f>
        <v>0</v>
      </c>
      <c r="G38" s="278">
        <f>mop!G19</f>
        <v>0</v>
      </c>
      <c r="H38" s="278">
        <f>mop!H19</f>
        <v>0</v>
      </c>
      <c r="I38" s="278">
        <f>mop!I19</f>
        <v>0</v>
      </c>
      <c r="J38" s="278">
        <f>mop!J19</f>
        <v>0</v>
      </c>
      <c r="K38" s="268"/>
      <c r="L38" s="91"/>
    </row>
    <row r="39" spans="2:20" s="205" customFormat="1" x14ac:dyDescent="0.2">
      <c r="B39" s="101"/>
      <c r="C39" s="125"/>
      <c r="D39" s="265" t="s">
        <v>79</v>
      </c>
      <c r="E39" s="110"/>
      <c r="F39" s="286">
        <v>0</v>
      </c>
      <c r="G39" s="286">
        <v>0</v>
      </c>
      <c r="H39" s="286">
        <v>0</v>
      </c>
      <c r="I39" s="286">
        <v>0</v>
      </c>
      <c r="J39" s="286">
        <v>0</v>
      </c>
      <c r="K39" s="268"/>
      <c r="L39" s="130"/>
      <c r="M39" s="973"/>
    </row>
    <row r="40" spans="2:20" s="205" customFormat="1" x14ac:dyDescent="0.2">
      <c r="B40" s="101"/>
      <c r="C40" s="125"/>
      <c r="D40" s="265" t="s">
        <v>632</v>
      </c>
      <c r="E40" s="110"/>
      <c r="F40" s="286">
        <v>0</v>
      </c>
      <c r="G40" s="286">
        <f>F40</f>
        <v>0</v>
      </c>
      <c r="H40" s="286">
        <f>G40</f>
        <v>0</v>
      </c>
      <c r="I40" s="286">
        <f>H40</f>
        <v>0</v>
      </c>
      <c r="J40" s="286">
        <f>I40</f>
        <v>0</v>
      </c>
      <c r="K40" s="268"/>
      <c r="L40" s="130"/>
      <c r="M40" s="973"/>
    </row>
    <row r="41" spans="2:20" x14ac:dyDescent="0.2">
      <c r="B41" s="87"/>
      <c r="C41" s="108"/>
      <c r="D41" s="147"/>
      <c r="E41" s="110"/>
      <c r="F41" s="288">
        <f>SUM(F38:F40)</f>
        <v>0</v>
      </c>
      <c r="G41" s="288">
        <f>SUM(G38:G40)</f>
        <v>0</v>
      </c>
      <c r="H41" s="288">
        <f>SUM(H38:H40)</f>
        <v>0</v>
      </c>
      <c r="I41" s="288">
        <f>SUM(I38:I40)</f>
        <v>0</v>
      </c>
      <c r="J41" s="288">
        <f>SUM(J38:J40)</f>
        <v>0</v>
      </c>
      <c r="K41" s="974"/>
      <c r="L41" s="91"/>
    </row>
    <row r="42" spans="2:20" x14ac:dyDescent="0.2">
      <c r="B42" s="87"/>
      <c r="C42" s="108"/>
      <c r="D42" s="110" t="s">
        <v>664</v>
      </c>
      <c r="E42" s="110"/>
      <c r="F42" s="110"/>
      <c r="G42" s="290"/>
      <c r="H42" s="290"/>
      <c r="I42" s="290"/>
      <c r="J42" s="290"/>
      <c r="K42" s="268"/>
      <c r="L42" s="91"/>
    </row>
    <row r="43" spans="2:20" x14ac:dyDescent="0.2">
      <c r="B43" s="87"/>
      <c r="C43" s="108"/>
      <c r="D43" s="265" t="s">
        <v>397</v>
      </c>
      <c r="E43" s="110"/>
      <c r="F43" s="286">
        <v>0</v>
      </c>
      <c r="G43" s="286">
        <f>F43</f>
        <v>0</v>
      </c>
      <c r="H43" s="286">
        <f t="shared" ref="H43:J44" si="3">G43</f>
        <v>0</v>
      </c>
      <c r="I43" s="286">
        <f t="shared" si="3"/>
        <v>0</v>
      </c>
      <c r="J43" s="286">
        <f t="shared" si="3"/>
        <v>0</v>
      </c>
      <c r="K43" s="268"/>
      <c r="L43" s="91"/>
    </row>
    <row r="44" spans="2:20" x14ac:dyDescent="0.2">
      <c r="B44" s="87"/>
      <c r="C44" s="108"/>
      <c r="D44" s="265" t="s">
        <v>412</v>
      </c>
      <c r="E44" s="110"/>
      <c r="F44" s="286">
        <v>0</v>
      </c>
      <c r="G44" s="286">
        <f>F44</f>
        <v>0</v>
      </c>
      <c r="H44" s="286">
        <f t="shared" si="3"/>
        <v>0</v>
      </c>
      <c r="I44" s="286">
        <f t="shared" si="3"/>
        <v>0</v>
      </c>
      <c r="J44" s="286">
        <f t="shared" si="3"/>
        <v>0</v>
      </c>
      <c r="K44" s="268"/>
      <c r="L44" s="91"/>
    </row>
    <row r="45" spans="2:20" x14ac:dyDescent="0.2">
      <c r="B45" s="87"/>
      <c r="C45" s="108"/>
      <c r="D45" s="134"/>
      <c r="E45" s="110"/>
      <c r="F45" s="288">
        <f>SUM(F43:F44)</f>
        <v>0</v>
      </c>
      <c r="G45" s="288">
        <f>SUM(G43:G44)</f>
        <v>0</v>
      </c>
      <c r="H45" s="288">
        <f>SUM(H43:H44)</f>
        <v>0</v>
      </c>
      <c r="I45" s="288">
        <f>SUM(I43:I44)</f>
        <v>0</v>
      </c>
      <c r="J45" s="288">
        <f>SUM(J43:J44)</f>
        <v>0</v>
      </c>
      <c r="K45" s="974"/>
      <c r="L45" s="91"/>
    </row>
    <row r="46" spans="2:20" x14ac:dyDescent="0.2">
      <c r="B46" s="87"/>
      <c r="C46" s="108"/>
      <c r="D46" s="110" t="s">
        <v>665</v>
      </c>
      <c r="E46" s="110"/>
      <c r="F46" s="110"/>
      <c r="G46" s="290"/>
      <c r="H46" s="290"/>
      <c r="I46" s="290"/>
      <c r="J46" s="290"/>
      <c r="K46" s="268"/>
      <c r="L46" s="91"/>
    </row>
    <row r="47" spans="2:20" x14ac:dyDescent="0.2">
      <c r="B47" s="87"/>
      <c r="C47" s="108"/>
      <c r="D47" s="265" t="s">
        <v>397</v>
      </c>
      <c r="E47" s="110"/>
      <c r="F47" s="286">
        <v>0</v>
      </c>
      <c r="G47" s="286">
        <f t="shared" ref="G47:G53" si="4">F47</f>
        <v>0</v>
      </c>
      <c r="H47" s="286">
        <f t="shared" ref="H47:H53" si="5">G47</f>
        <v>0</v>
      </c>
      <c r="I47" s="286">
        <f t="shared" ref="I47:I53" si="6">H47</f>
        <v>0</v>
      </c>
      <c r="J47" s="286">
        <f t="shared" ref="J47:J53" si="7">I47</f>
        <v>0</v>
      </c>
      <c r="K47" s="268"/>
      <c r="L47" s="91"/>
    </row>
    <row r="48" spans="2:20" x14ac:dyDescent="0.2">
      <c r="B48" s="87"/>
      <c r="C48" s="108"/>
      <c r="D48" s="265" t="s">
        <v>285</v>
      </c>
      <c r="E48" s="110"/>
      <c r="F48" s="286">
        <v>0</v>
      </c>
      <c r="G48" s="286">
        <f t="shared" si="4"/>
        <v>0</v>
      </c>
      <c r="H48" s="286">
        <f t="shared" si="5"/>
        <v>0</v>
      </c>
      <c r="I48" s="286">
        <f t="shared" si="6"/>
        <v>0</v>
      </c>
      <c r="J48" s="286">
        <f t="shared" si="7"/>
        <v>0</v>
      </c>
      <c r="K48" s="268"/>
      <c r="L48" s="91"/>
    </row>
    <row r="49" spans="2:12" x14ac:dyDescent="0.2">
      <c r="B49" s="87"/>
      <c r="C49" s="108"/>
      <c r="D49" s="265" t="s">
        <v>394</v>
      </c>
      <c r="E49" s="110"/>
      <c r="F49" s="286">
        <v>0</v>
      </c>
      <c r="G49" s="286">
        <f t="shared" si="4"/>
        <v>0</v>
      </c>
      <c r="H49" s="286">
        <f t="shared" si="5"/>
        <v>0</v>
      </c>
      <c r="I49" s="286">
        <f t="shared" si="6"/>
        <v>0</v>
      </c>
      <c r="J49" s="286">
        <f t="shared" si="7"/>
        <v>0</v>
      </c>
      <c r="K49" s="268"/>
      <c r="L49" s="91"/>
    </row>
    <row r="50" spans="2:12" x14ac:dyDescent="0.2">
      <c r="B50" s="87"/>
      <c r="C50" s="108"/>
      <c r="D50" s="265" t="s">
        <v>413</v>
      </c>
      <c r="E50" s="110"/>
      <c r="F50" s="286">
        <v>0</v>
      </c>
      <c r="G50" s="286">
        <f t="shared" si="4"/>
        <v>0</v>
      </c>
      <c r="H50" s="286">
        <f t="shared" si="5"/>
        <v>0</v>
      </c>
      <c r="I50" s="286">
        <f t="shared" si="6"/>
        <v>0</v>
      </c>
      <c r="J50" s="286">
        <f t="shared" si="7"/>
        <v>0</v>
      </c>
      <c r="K50" s="268"/>
      <c r="L50" s="91"/>
    </row>
    <row r="51" spans="2:12" x14ac:dyDescent="0.2">
      <c r="B51" s="87"/>
      <c r="C51" s="108"/>
      <c r="D51" s="265" t="s">
        <v>414</v>
      </c>
      <c r="E51" s="110"/>
      <c r="F51" s="286">
        <v>0</v>
      </c>
      <c r="G51" s="286">
        <f t="shared" si="4"/>
        <v>0</v>
      </c>
      <c r="H51" s="286">
        <f t="shared" si="5"/>
        <v>0</v>
      </c>
      <c r="I51" s="286">
        <f t="shared" si="6"/>
        <v>0</v>
      </c>
      <c r="J51" s="286">
        <f t="shared" si="7"/>
        <v>0</v>
      </c>
      <c r="K51" s="268"/>
      <c r="L51" s="91"/>
    </row>
    <row r="52" spans="2:12" x14ac:dyDescent="0.2">
      <c r="B52" s="87"/>
      <c r="C52" s="108"/>
      <c r="D52" s="265" t="s">
        <v>415</v>
      </c>
      <c r="E52" s="110"/>
      <c r="F52" s="286">
        <v>0</v>
      </c>
      <c r="G52" s="286">
        <f t="shared" si="4"/>
        <v>0</v>
      </c>
      <c r="H52" s="286">
        <f t="shared" si="5"/>
        <v>0</v>
      </c>
      <c r="I52" s="286">
        <f t="shared" si="6"/>
        <v>0</v>
      </c>
      <c r="J52" s="286">
        <f t="shared" si="7"/>
        <v>0</v>
      </c>
      <c r="K52" s="268"/>
      <c r="L52" s="91"/>
    </row>
    <row r="53" spans="2:12" x14ac:dyDescent="0.2">
      <c r="B53" s="87"/>
      <c r="C53" s="108"/>
      <c r="D53" s="265" t="s">
        <v>416</v>
      </c>
      <c r="E53" s="110"/>
      <c r="F53" s="286">
        <v>0</v>
      </c>
      <c r="G53" s="286">
        <f t="shared" si="4"/>
        <v>0</v>
      </c>
      <c r="H53" s="286">
        <f t="shared" si="5"/>
        <v>0</v>
      </c>
      <c r="I53" s="286">
        <f t="shared" si="6"/>
        <v>0</v>
      </c>
      <c r="J53" s="286">
        <f t="shared" si="7"/>
        <v>0</v>
      </c>
      <c r="K53" s="268"/>
      <c r="L53" s="91"/>
    </row>
    <row r="54" spans="2:12" x14ac:dyDescent="0.2">
      <c r="B54" s="87"/>
      <c r="C54" s="108"/>
      <c r="D54" s="134"/>
      <c r="E54" s="110"/>
      <c r="F54" s="288">
        <f>SUM(F47:F53)</f>
        <v>0</v>
      </c>
      <c r="G54" s="288">
        <f>SUM(G47:G53)</f>
        <v>0</v>
      </c>
      <c r="H54" s="288">
        <f>SUM(H47:H53)</f>
        <v>0</v>
      </c>
      <c r="I54" s="288">
        <f>SUM(I47:I53)</f>
        <v>0</v>
      </c>
      <c r="J54" s="288">
        <f>SUM(J47:J53)</f>
        <v>0</v>
      </c>
      <c r="K54" s="974"/>
      <c r="L54" s="91"/>
    </row>
    <row r="55" spans="2:12" x14ac:dyDescent="0.2">
      <c r="B55" s="87"/>
      <c r="C55" s="108"/>
      <c r="D55" s="110"/>
      <c r="E55" s="110"/>
      <c r="F55" s="110"/>
      <c r="G55" s="110"/>
      <c r="H55" s="110"/>
      <c r="I55" s="110"/>
      <c r="J55" s="110"/>
      <c r="K55" s="188"/>
      <c r="L55" s="91"/>
    </row>
    <row r="56" spans="2:12" x14ac:dyDescent="0.2">
      <c r="B56" s="87"/>
      <c r="C56" s="108"/>
      <c r="D56" s="157" t="s">
        <v>405</v>
      </c>
      <c r="E56" s="110"/>
      <c r="F56" s="930">
        <f>F36+F41+F45+F54</f>
        <v>40000</v>
      </c>
      <c r="G56" s="930">
        <f>G36+G41+G45+G54</f>
        <v>836766.60333333339</v>
      </c>
      <c r="H56" s="930">
        <f>H36+H41+H45+H54</f>
        <v>1580042.08</v>
      </c>
      <c r="I56" s="930">
        <f>I36+I41+I45+I54</f>
        <v>2331596.1566666667</v>
      </c>
      <c r="J56" s="930">
        <f>J36+J41+J45+J54</f>
        <v>3091428.8333333335</v>
      </c>
      <c r="K56" s="974"/>
      <c r="L56" s="91"/>
    </row>
    <row r="57" spans="2:12" x14ac:dyDescent="0.2">
      <c r="B57" s="87"/>
      <c r="C57" s="116"/>
      <c r="D57" s="296"/>
      <c r="E57" s="117"/>
      <c r="F57" s="977"/>
      <c r="G57" s="977"/>
      <c r="H57" s="977"/>
      <c r="I57" s="977"/>
      <c r="J57" s="977"/>
      <c r="K57" s="978"/>
      <c r="L57" s="91"/>
    </row>
    <row r="58" spans="2:12" x14ac:dyDescent="0.2">
      <c r="B58" s="87"/>
      <c r="C58" s="88"/>
      <c r="D58" s="541"/>
      <c r="E58" s="88"/>
      <c r="F58" s="979"/>
      <c r="G58" s="979"/>
      <c r="H58" s="979"/>
      <c r="I58" s="979"/>
      <c r="J58" s="979"/>
      <c r="K58" s="979"/>
      <c r="L58" s="91"/>
    </row>
    <row r="59" spans="2:12" ht="15" x14ac:dyDescent="0.25">
      <c r="B59" s="199"/>
      <c r="C59" s="200"/>
      <c r="D59" s="980"/>
      <c r="E59" s="200"/>
      <c r="F59" s="200"/>
      <c r="G59" s="981"/>
      <c r="H59" s="981"/>
      <c r="I59" s="981"/>
      <c r="J59" s="981"/>
      <c r="K59" s="176" t="s">
        <v>629</v>
      </c>
      <c r="L59" s="201"/>
    </row>
  </sheetData>
  <sheetProtection password="DFB1" sheet="1" objects="1" scenarios="1"/>
  <phoneticPr fontId="0" type="noConversion"/>
  <pageMargins left="0.74803149606299213" right="0.74803149606299213" top="0.98425196850393704" bottom="0.98425196850393704" header="0.51181102362204722" footer="0.51181102362204722"/>
  <pageSetup paperSize="9" scale="65" orientation="portrait" r:id="rId1"/>
  <headerFooter alignWithMargins="0">
    <oddHeader>&amp;L&amp;"Arial,Vet"&amp;F&amp;R&amp;"Arial,Vet"&amp;A</oddHeader>
    <oddFooter>&amp;L&amp;"Arial,Vet"PO-Raad&amp;C&amp;"Arial,Vet"&amp;D&amp;R&amp;"Arial,Vet"pagina &amp;P</oddFooter>
  </headerFooter>
  <colBreaks count="1" manualBreakCount="1">
    <brk id="21" min="3" max="63" man="1"/>
  </colBreak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B1:L56"/>
  <sheetViews>
    <sheetView showGridLines="0" zoomScale="85" zoomScaleNormal="85" zoomScaleSheetLayoutView="85" workbookViewId="0">
      <pane ySplit="10" topLeftCell="A11" activePane="bottomLeft" state="frozen"/>
      <selection activeCell="B2" sqref="B2"/>
      <selection pane="bottomLeft" activeCell="B2" sqref="B2"/>
    </sheetView>
  </sheetViews>
  <sheetFormatPr defaultColWidth="9.140625" defaultRowHeight="12.75" x14ac:dyDescent="0.2"/>
  <cols>
    <col min="1" max="1" width="3.7109375" style="982" customWidth="1"/>
    <col min="2" max="3" width="2.7109375" style="982" customWidth="1"/>
    <col min="4" max="4" width="45.7109375" style="982" customWidth="1"/>
    <col min="5" max="5" width="2.7109375" style="983" customWidth="1"/>
    <col min="6" max="9" width="16.85546875" style="983" customWidth="1"/>
    <col min="10" max="10" width="2.7109375" style="983" customWidth="1"/>
    <col min="11" max="11" width="2.7109375" style="982" customWidth="1"/>
    <col min="12" max="12" width="2.7109375" style="984" customWidth="1"/>
    <col min="13" max="13" width="2.7109375" style="982" customWidth="1"/>
    <col min="14" max="14" width="2.5703125" style="982" customWidth="1"/>
    <col min="15" max="19" width="10.7109375" style="982" customWidth="1"/>
    <col min="20" max="20" width="2.7109375" style="982" customWidth="1"/>
    <col min="21" max="16384" width="9.140625" style="982"/>
  </cols>
  <sheetData>
    <row r="1" spans="2:12" ht="12.75" customHeight="1" x14ac:dyDescent="0.2"/>
    <row r="2" spans="2:12" x14ac:dyDescent="0.2">
      <c r="B2" s="81"/>
      <c r="C2" s="82"/>
      <c r="D2" s="82"/>
      <c r="E2" s="203"/>
      <c r="F2" s="203"/>
      <c r="G2" s="203"/>
      <c r="H2" s="203"/>
      <c r="I2" s="203"/>
      <c r="J2" s="203"/>
      <c r="K2" s="85"/>
    </row>
    <row r="3" spans="2:12" x14ac:dyDescent="0.2">
      <c r="B3" s="87"/>
      <c r="C3" s="88"/>
      <c r="D3" s="88"/>
      <c r="E3" s="204"/>
      <c r="F3" s="204"/>
      <c r="G3" s="204"/>
      <c r="H3" s="204"/>
      <c r="I3" s="204"/>
      <c r="J3" s="204"/>
      <c r="K3" s="91"/>
    </row>
    <row r="4" spans="2:12" s="985" customFormat="1" ht="18.75" x14ac:dyDescent="0.3">
      <c r="B4" s="972"/>
      <c r="C4" s="179" t="s">
        <v>625</v>
      </c>
      <c r="D4" s="100"/>
      <c r="E4" s="206"/>
      <c r="F4" s="893"/>
      <c r="G4" s="206"/>
      <c r="H4" s="206"/>
      <c r="I4" s="206"/>
      <c r="J4" s="206"/>
      <c r="K4" s="130"/>
      <c r="L4" s="986"/>
    </row>
    <row r="5" spans="2:12" s="987" customFormat="1" ht="18.75" x14ac:dyDescent="0.3">
      <c r="B5" s="988"/>
      <c r="C5" s="414" t="str">
        <f>geg!G12</f>
        <v>Basisschool</v>
      </c>
      <c r="D5" s="878"/>
      <c r="E5" s="989"/>
      <c r="F5" s="990"/>
      <c r="G5" s="989"/>
      <c r="H5" s="989"/>
      <c r="I5" s="989"/>
      <c r="J5" s="989"/>
      <c r="K5" s="991"/>
      <c r="L5" s="992"/>
    </row>
    <row r="6" spans="2:12" x14ac:dyDescent="0.2">
      <c r="B6" s="224"/>
      <c r="C6" s="716"/>
      <c r="D6" s="88"/>
      <c r="E6" s="204"/>
      <c r="F6" s="204"/>
      <c r="G6" s="204"/>
      <c r="H6" s="204"/>
      <c r="I6" s="204"/>
      <c r="J6" s="204"/>
      <c r="K6" s="91"/>
    </row>
    <row r="7" spans="2:12" x14ac:dyDescent="0.2">
      <c r="B7" s="224"/>
      <c r="C7" s="716"/>
      <c r="D7" s="88"/>
      <c r="E7" s="204"/>
      <c r="F7" s="204"/>
      <c r="G7" s="204"/>
      <c r="H7" s="204"/>
      <c r="I7" s="204"/>
      <c r="J7" s="204"/>
      <c r="K7" s="91"/>
    </row>
    <row r="8" spans="2:12" x14ac:dyDescent="0.2">
      <c r="B8" s="224"/>
      <c r="C8" s="716"/>
      <c r="D8" s="88"/>
      <c r="E8" s="204"/>
      <c r="F8" s="204"/>
      <c r="G8" s="204"/>
      <c r="H8" s="204"/>
      <c r="I8" s="204"/>
      <c r="J8" s="204"/>
      <c r="K8" s="91"/>
    </row>
    <row r="9" spans="2:12" s="985" customFormat="1" x14ac:dyDescent="0.2">
      <c r="B9" s="768"/>
      <c r="C9" s="102"/>
      <c r="D9" s="922"/>
      <c r="E9" s="891"/>
      <c r="F9" s="123">
        <f>begr!H8</f>
        <v>2014</v>
      </c>
      <c r="G9" s="123">
        <f>begr!I8</f>
        <v>2015</v>
      </c>
      <c r="H9" s="123">
        <f>begr!J8</f>
        <v>2016</v>
      </c>
      <c r="I9" s="123">
        <f>begr!K8</f>
        <v>2017</v>
      </c>
      <c r="J9" s="891"/>
      <c r="K9" s="130"/>
      <c r="L9" s="986"/>
    </row>
    <row r="10" spans="2:12" x14ac:dyDescent="0.2">
      <c r="B10" s="183"/>
      <c r="C10" s="237"/>
      <c r="D10" s="169"/>
      <c r="E10" s="90"/>
      <c r="F10" s="90"/>
      <c r="G10" s="90"/>
      <c r="H10" s="90"/>
      <c r="I10" s="90"/>
      <c r="J10" s="90"/>
      <c r="K10" s="91"/>
    </row>
    <row r="11" spans="2:12" x14ac:dyDescent="0.2">
      <c r="B11" s="87"/>
      <c r="C11" s="104"/>
      <c r="D11" s="105"/>
      <c r="E11" s="210"/>
      <c r="F11" s="210"/>
      <c r="G11" s="210"/>
      <c r="H11" s="210"/>
      <c r="I11" s="210"/>
      <c r="J11" s="212"/>
      <c r="K11" s="91"/>
    </row>
    <row r="12" spans="2:12" s="993" customFormat="1" x14ac:dyDescent="0.2">
      <c r="B12" s="183"/>
      <c r="C12" s="191"/>
      <c r="D12" s="126" t="s">
        <v>735</v>
      </c>
      <c r="E12" s="149"/>
      <c r="F12" s="930">
        <f>bal!F22</f>
        <v>0</v>
      </c>
      <c r="G12" s="930">
        <f>F52</f>
        <v>806767</v>
      </c>
      <c r="H12" s="930">
        <f>G52</f>
        <v>1560042</v>
      </c>
      <c r="I12" s="930">
        <f>H52</f>
        <v>2321596</v>
      </c>
      <c r="J12" s="136"/>
      <c r="K12" s="194"/>
      <c r="L12" s="994"/>
    </row>
    <row r="13" spans="2:12" x14ac:dyDescent="0.2">
      <c r="B13" s="87"/>
      <c r="C13" s="116"/>
      <c r="D13" s="995"/>
      <c r="E13" s="235"/>
      <c r="F13" s="235"/>
      <c r="G13" s="235"/>
      <c r="H13" s="235"/>
      <c r="I13" s="235"/>
      <c r="J13" s="236"/>
      <c r="K13" s="91"/>
    </row>
    <row r="14" spans="2:12" x14ac:dyDescent="0.2">
      <c r="B14" s="87"/>
      <c r="C14" s="88"/>
      <c r="D14" s="88"/>
      <c r="E14" s="204"/>
      <c r="F14" s="204"/>
      <c r="G14" s="204"/>
      <c r="H14" s="204"/>
      <c r="I14" s="204"/>
      <c r="J14" s="204"/>
      <c r="K14" s="91"/>
    </row>
    <row r="15" spans="2:12" x14ac:dyDescent="0.2">
      <c r="B15" s="87"/>
      <c r="C15" s="104"/>
      <c r="D15" s="105"/>
      <c r="E15" s="210"/>
      <c r="F15" s="210"/>
      <c r="G15" s="210"/>
      <c r="H15" s="210"/>
      <c r="I15" s="210"/>
      <c r="J15" s="212"/>
      <c r="K15" s="91"/>
    </row>
    <row r="16" spans="2:12" x14ac:dyDescent="0.2">
      <c r="B16" s="87"/>
      <c r="C16" s="108"/>
      <c r="D16" s="126" t="s">
        <v>461</v>
      </c>
      <c r="E16" s="113"/>
      <c r="F16" s="113"/>
      <c r="G16" s="113"/>
      <c r="H16" s="113"/>
      <c r="I16" s="113"/>
      <c r="J16" s="133"/>
      <c r="K16" s="91"/>
    </row>
    <row r="17" spans="2:11" x14ac:dyDescent="0.2">
      <c r="B17" s="87"/>
      <c r="C17" s="108"/>
      <c r="D17" s="147"/>
      <c r="E17" s="113"/>
      <c r="F17" s="113"/>
      <c r="G17" s="113"/>
      <c r="H17" s="113"/>
      <c r="I17" s="113"/>
      <c r="J17" s="133"/>
      <c r="K17" s="91"/>
    </row>
    <row r="18" spans="2:11" x14ac:dyDescent="0.2">
      <c r="B18" s="87"/>
      <c r="C18" s="108"/>
      <c r="D18" s="110" t="s">
        <v>610</v>
      </c>
      <c r="E18" s="113"/>
      <c r="F18" s="950">
        <f>begr!H42</f>
        <v>796766.60333333339</v>
      </c>
      <c r="G18" s="950">
        <f>begr!I42</f>
        <v>743275.47666666668</v>
      </c>
      <c r="H18" s="950">
        <f>begr!J42</f>
        <v>751554.07666666678</v>
      </c>
      <c r="I18" s="950">
        <f>begr!K42</f>
        <v>759832.67666666664</v>
      </c>
      <c r="J18" s="133"/>
      <c r="K18" s="91"/>
    </row>
    <row r="19" spans="2:11" x14ac:dyDescent="0.2">
      <c r="B19" s="87"/>
      <c r="C19" s="108"/>
      <c r="D19" s="110"/>
      <c r="E19" s="113"/>
      <c r="F19" s="113"/>
      <c r="G19" s="113"/>
      <c r="H19" s="113"/>
      <c r="I19" s="113"/>
      <c r="J19" s="133"/>
      <c r="K19" s="91"/>
    </row>
    <row r="20" spans="2:11" x14ac:dyDescent="0.2">
      <c r="B20" s="87"/>
      <c r="C20" s="108"/>
      <c r="D20" s="110" t="s">
        <v>391</v>
      </c>
      <c r="E20" s="113"/>
      <c r="F20" s="278">
        <f>mat!I96</f>
        <v>10000</v>
      </c>
      <c r="G20" s="278">
        <f>mat!J96</f>
        <v>10000</v>
      </c>
      <c r="H20" s="278">
        <f>mat!K96</f>
        <v>10000</v>
      </c>
      <c r="I20" s="278">
        <f>mat!L96</f>
        <v>10000</v>
      </c>
      <c r="J20" s="133"/>
      <c r="K20" s="91"/>
    </row>
    <row r="21" spans="2:11" x14ac:dyDescent="0.2">
      <c r="B21" s="87"/>
      <c r="C21" s="108"/>
      <c r="D21" s="110"/>
      <c r="E21" s="113"/>
      <c r="F21" s="290"/>
      <c r="G21" s="290"/>
      <c r="H21" s="290"/>
      <c r="I21" s="290"/>
      <c r="J21" s="133"/>
      <c r="K21" s="91"/>
    </row>
    <row r="22" spans="2:11" x14ac:dyDescent="0.2">
      <c r="B22" s="87"/>
      <c r="C22" s="108"/>
      <c r="D22" s="996" t="s">
        <v>462</v>
      </c>
      <c r="E22" s="113"/>
      <c r="F22" s="290"/>
      <c r="G22" s="290"/>
      <c r="H22" s="290"/>
      <c r="I22" s="290"/>
      <c r="J22" s="133"/>
      <c r="K22" s="91"/>
    </row>
    <row r="23" spans="2:11" x14ac:dyDescent="0.2">
      <c r="B23" s="87"/>
      <c r="C23" s="108"/>
      <c r="D23" s="110" t="s">
        <v>148</v>
      </c>
      <c r="E23" s="113"/>
      <c r="F23" s="278">
        <f>(bal!F19)-(bal!G19)</f>
        <v>0</v>
      </c>
      <c r="G23" s="278">
        <f>(bal!G19)-(bal!H19)</f>
        <v>0</v>
      </c>
      <c r="H23" s="278">
        <f>(bal!H19)-(bal!I19)</f>
        <v>0</v>
      </c>
      <c r="I23" s="278">
        <f>(bal!I19)-(bal!J19)</f>
        <v>0</v>
      </c>
      <c r="J23" s="133"/>
      <c r="K23" s="91"/>
    </row>
    <row r="24" spans="2:11" x14ac:dyDescent="0.2">
      <c r="B24" s="87"/>
      <c r="C24" s="108"/>
      <c r="D24" s="110" t="s">
        <v>150</v>
      </c>
      <c r="E24" s="113"/>
      <c r="F24" s="278">
        <f>(bal!F20)-(bal!G20)</f>
        <v>0</v>
      </c>
      <c r="G24" s="278">
        <f>(bal!G20)-(bal!H20)</f>
        <v>0</v>
      </c>
      <c r="H24" s="278">
        <f>(bal!H20)-(bal!I20)</f>
        <v>0</v>
      </c>
      <c r="I24" s="278">
        <f>(bal!I20)-(bal!J20)</f>
        <v>0</v>
      </c>
      <c r="J24" s="133"/>
      <c r="K24" s="91"/>
    </row>
    <row r="25" spans="2:11" x14ac:dyDescent="0.2">
      <c r="B25" s="87"/>
      <c r="C25" s="108"/>
      <c r="D25" s="110" t="s">
        <v>149</v>
      </c>
      <c r="E25" s="113"/>
      <c r="F25" s="278">
        <f>(bal!F21)-(bal!G21)</f>
        <v>0</v>
      </c>
      <c r="G25" s="278">
        <f>(bal!G21)-(bal!H21)</f>
        <v>0</v>
      </c>
      <c r="H25" s="278">
        <f>(bal!H21)-(bal!I21)</f>
        <v>0</v>
      </c>
      <c r="I25" s="278">
        <f>(bal!I21)-(bal!J21)</f>
        <v>0</v>
      </c>
      <c r="J25" s="133"/>
      <c r="K25" s="91"/>
    </row>
    <row r="26" spans="2:11" x14ac:dyDescent="0.2">
      <c r="B26" s="87"/>
      <c r="C26" s="108"/>
      <c r="D26" s="110" t="s">
        <v>448</v>
      </c>
      <c r="E26" s="113"/>
      <c r="F26" s="278">
        <f>(bal!G54)-(bal!F54)</f>
        <v>0</v>
      </c>
      <c r="G26" s="278">
        <f>(bal!H54)-(bal!G54)</f>
        <v>0</v>
      </c>
      <c r="H26" s="278">
        <f>(bal!I54)-(bal!H54)</f>
        <v>0</v>
      </c>
      <c r="I26" s="278">
        <f>(bal!J54)-(bal!I54)</f>
        <v>0</v>
      </c>
      <c r="J26" s="133"/>
      <c r="K26" s="91"/>
    </row>
    <row r="27" spans="2:11" x14ac:dyDescent="0.2">
      <c r="B27" s="87"/>
      <c r="C27" s="108"/>
      <c r="D27" s="110"/>
      <c r="E27" s="113"/>
      <c r="F27" s="288">
        <f>SUM(F23:F26)</f>
        <v>0</v>
      </c>
      <c r="G27" s="288">
        <f>SUM(G23:G26)</f>
        <v>0</v>
      </c>
      <c r="H27" s="288">
        <f>SUM(H23:H26)</f>
        <v>0</v>
      </c>
      <c r="I27" s="288">
        <f>SUM(I23:I26)</f>
        <v>0</v>
      </c>
      <c r="J27" s="133"/>
      <c r="K27" s="91"/>
    </row>
    <row r="28" spans="2:11" x14ac:dyDescent="0.2">
      <c r="B28" s="87"/>
      <c r="C28" s="108"/>
      <c r="D28" s="291"/>
      <c r="E28" s="113"/>
      <c r="F28" s="290"/>
      <c r="G28" s="290"/>
      <c r="H28" s="290"/>
      <c r="I28" s="290"/>
      <c r="J28" s="133"/>
      <c r="K28" s="91"/>
    </row>
    <row r="29" spans="2:11" x14ac:dyDescent="0.2">
      <c r="B29" s="87"/>
      <c r="C29" s="108"/>
      <c r="D29" s="110" t="s">
        <v>464</v>
      </c>
      <c r="E29" s="113"/>
      <c r="F29" s="278">
        <f>(bal!G41)-(bal!F41)</f>
        <v>0</v>
      </c>
      <c r="G29" s="278">
        <f>(bal!H41)-(bal!G41)</f>
        <v>0</v>
      </c>
      <c r="H29" s="278">
        <f>(bal!I41)-(bal!H41)</f>
        <v>0</v>
      </c>
      <c r="I29" s="278">
        <f>(bal!J41)-(bal!I41)</f>
        <v>0</v>
      </c>
      <c r="J29" s="133"/>
      <c r="K29" s="91"/>
    </row>
    <row r="30" spans="2:11" x14ac:dyDescent="0.2">
      <c r="B30" s="87"/>
      <c r="C30" s="108"/>
      <c r="D30" s="110"/>
      <c r="E30" s="113"/>
      <c r="F30" s="290"/>
      <c r="G30" s="290"/>
      <c r="H30" s="290"/>
      <c r="I30" s="290"/>
      <c r="J30" s="133"/>
      <c r="K30" s="91"/>
    </row>
    <row r="31" spans="2:11" x14ac:dyDescent="0.2">
      <c r="B31" s="87"/>
      <c r="C31" s="108"/>
      <c r="D31" s="147" t="s">
        <v>434</v>
      </c>
      <c r="E31" s="113"/>
      <c r="F31" s="930">
        <f>F18+F20+F27+F29</f>
        <v>806766.60333333339</v>
      </c>
      <c r="G31" s="930">
        <f>G18+G20+G27+G29</f>
        <v>753275.47666666668</v>
      </c>
      <c r="H31" s="930">
        <f>H18+H20+H27+H29</f>
        <v>761554.07666666678</v>
      </c>
      <c r="I31" s="930">
        <f>I18+I20+I27+I29</f>
        <v>769832.67666666664</v>
      </c>
      <c r="J31" s="133"/>
      <c r="K31" s="91"/>
    </row>
    <row r="32" spans="2:11" x14ac:dyDescent="0.2">
      <c r="B32" s="87"/>
      <c r="C32" s="108"/>
      <c r="D32" s="110"/>
      <c r="E32" s="113"/>
      <c r="F32" s="290"/>
      <c r="G32" s="290"/>
      <c r="H32" s="290"/>
      <c r="I32" s="290"/>
      <c r="J32" s="133"/>
      <c r="K32" s="91"/>
    </row>
    <row r="33" spans="2:11" x14ac:dyDescent="0.2">
      <c r="B33" s="87"/>
      <c r="C33" s="88"/>
      <c r="D33" s="88"/>
      <c r="E33" s="204"/>
      <c r="F33" s="204"/>
      <c r="G33" s="204"/>
      <c r="H33" s="204"/>
      <c r="I33" s="204"/>
      <c r="J33" s="204"/>
      <c r="K33" s="91"/>
    </row>
    <row r="34" spans="2:11" x14ac:dyDescent="0.2">
      <c r="B34" s="87"/>
      <c r="C34" s="108"/>
      <c r="D34" s="110"/>
      <c r="E34" s="113"/>
      <c r="F34" s="290"/>
      <c r="G34" s="290"/>
      <c r="H34" s="290"/>
      <c r="I34" s="290"/>
      <c r="J34" s="133"/>
      <c r="K34" s="91"/>
    </row>
    <row r="35" spans="2:11" x14ac:dyDescent="0.2">
      <c r="B35" s="87"/>
      <c r="C35" s="108"/>
      <c r="D35" s="126" t="s">
        <v>463</v>
      </c>
      <c r="E35" s="113"/>
      <c r="F35" s="290"/>
      <c r="G35" s="290"/>
      <c r="H35" s="290"/>
      <c r="I35" s="290"/>
      <c r="J35" s="133"/>
      <c r="K35" s="91"/>
    </row>
    <row r="36" spans="2:11" x14ac:dyDescent="0.2">
      <c r="B36" s="87"/>
      <c r="C36" s="108"/>
      <c r="D36" s="147"/>
      <c r="E36" s="113"/>
      <c r="F36" s="290"/>
      <c r="G36" s="290"/>
      <c r="H36" s="290"/>
      <c r="I36" s="290"/>
      <c r="J36" s="133"/>
      <c r="K36" s="91"/>
    </row>
    <row r="37" spans="2:11" x14ac:dyDescent="0.2">
      <c r="B37" s="87"/>
      <c r="C37" s="108"/>
      <c r="D37" s="110" t="s">
        <v>736</v>
      </c>
      <c r="E37" s="113"/>
      <c r="F37" s="278">
        <f>act!G29</f>
        <v>0</v>
      </c>
      <c r="G37" s="278">
        <f>act!H29</f>
        <v>0</v>
      </c>
      <c r="H37" s="278">
        <f>act!I29</f>
        <v>0</v>
      </c>
      <c r="I37" s="278">
        <f>act!J29</f>
        <v>0</v>
      </c>
      <c r="J37" s="133"/>
      <c r="K37" s="91"/>
    </row>
    <row r="38" spans="2:11" x14ac:dyDescent="0.2">
      <c r="B38" s="87"/>
      <c r="C38" s="108"/>
      <c r="D38" s="110" t="s">
        <v>737</v>
      </c>
      <c r="E38" s="113"/>
      <c r="F38" s="278">
        <f>(bal!G14)-(bal!F14)</f>
        <v>0</v>
      </c>
      <c r="G38" s="278">
        <f>(bal!H14)-(bal!G14)</f>
        <v>0</v>
      </c>
      <c r="H38" s="278">
        <f>(bal!I14)-(bal!H14)</f>
        <v>0</v>
      </c>
      <c r="I38" s="278">
        <f>(bal!J14)-(bal!I14)</f>
        <v>0</v>
      </c>
      <c r="J38" s="133"/>
      <c r="K38" s="91"/>
    </row>
    <row r="39" spans="2:11" x14ac:dyDescent="0.2">
      <c r="B39" s="87"/>
      <c r="C39" s="108"/>
      <c r="D39" s="110" t="s">
        <v>738</v>
      </c>
      <c r="E39" s="113"/>
      <c r="F39" s="278">
        <f>(bal!G16)-(bal!F16)</f>
        <v>0</v>
      </c>
      <c r="G39" s="278">
        <f>(bal!H16)-(bal!G16)</f>
        <v>0</v>
      </c>
      <c r="H39" s="278">
        <f>(bal!I16)-(bal!H16)</f>
        <v>0</v>
      </c>
      <c r="I39" s="278">
        <f>(bal!J16)-(bal!I16)</f>
        <v>0</v>
      </c>
      <c r="J39" s="133"/>
      <c r="K39" s="91"/>
    </row>
    <row r="40" spans="2:11" x14ac:dyDescent="0.2">
      <c r="B40" s="87"/>
      <c r="C40" s="108"/>
      <c r="D40" s="110"/>
      <c r="E40" s="113"/>
      <c r="F40" s="290"/>
      <c r="G40" s="290"/>
      <c r="H40" s="290"/>
      <c r="I40" s="290"/>
      <c r="J40" s="133"/>
      <c r="K40" s="91"/>
    </row>
    <row r="41" spans="2:11" x14ac:dyDescent="0.2">
      <c r="B41" s="87"/>
      <c r="C41" s="108"/>
      <c r="D41" s="147" t="s">
        <v>288</v>
      </c>
      <c r="E41" s="113"/>
      <c r="F41" s="281">
        <f>SUM(F37:F39)</f>
        <v>0</v>
      </c>
      <c r="G41" s="281">
        <f>SUM(G37:G39)</f>
        <v>0</v>
      </c>
      <c r="H41" s="281">
        <f>SUM(H37:H39)</f>
        <v>0</v>
      </c>
      <c r="I41" s="281">
        <f>SUM(I37:I39)</f>
        <v>0</v>
      </c>
      <c r="J41" s="133"/>
      <c r="K41" s="91"/>
    </row>
    <row r="42" spans="2:11" x14ac:dyDescent="0.2">
      <c r="B42" s="87"/>
      <c r="C42" s="108"/>
      <c r="D42" s="110"/>
      <c r="E42" s="113"/>
      <c r="F42" s="290"/>
      <c r="G42" s="290"/>
      <c r="H42" s="290"/>
      <c r="I42" s="290"/>
      <c r="J42" s="133"/>
      <c r="K42" s="91"/>
    </row>
    <row r="43" spans="2:11" x14ac:dyDescent="0.2">
      <c r="B43" s="87"/>
      <c r="C43" s="88"/>
      <c r="D43" s="88"/>
      <c r="E43" s="204"/>
      <c r="F43" s="204"/>
      <c r="G43" s="204"/>
      <c r="H43" s="204"/>
      <c r="I43" s="204"/>
      <c r="J43" s="204"/>
      <c r="K43" s="91"/>
    </row>
    <row r="44" spans="2:11" x14ac:dyDescent="0.2">
      <c r="B44" s="87"/>
      <c r="C44" s="108"/>
      <c r="D44" s="110"/>
      <c r="E44" s="113"/>
      <c r="F44" s="290"/>
      <c r="G44" s="290"/>
      <c r="H44" s="290"/>
      <c r="I44" s="290"/>
      <c r="J44" s="133"/>
      <c r="K44" s="91"/>
    </row>
    <row r="45" spans="2:11" x14ac:dyDescent="0.2">
      <c r="B45" s="87"/>
      <c r="C45" s="108"/>
      <c r="D45" s="126" t="s">
        <v>465</v>
      </c>
      <c r="E45" s="113"/>
      <c r="F45" s="930">
        <f>(bal!G45)-(bal!F45)</f>
        <v>0</v>
      </c>
      <c r="G45" s="930">
        <f>(bal!H45)-(bal!G45)</f>
        <v>0</v>
      </c>
      <c r="H45" s="930">
        <f>(bal!I45)-(bal!H45)</f>
        <v>0</v>
      </c>
      <c r="I45" s="930">
        <f>(bal!J45)-(bal!I45)</f>
        <v>0</v>
      </c>
      <c r="J45" s="133"/>
      <c r="K45" s="91"/>
    </row>
    <row r="46" spans="2:11" x14ac:dyDescent="0.2">
      <c r="B46" s="87"/>
      <c r="C46" s="108"/>
      <c r="D46" s="147"/>
      <c r="E46" s="113"/>
      <c r="F46" s="290"/>
      <c r="G46" s="290"/>
      <c r="H46" s="290"/>
      <c r="I46" s="290"/>
      <c r="J46" s="133"/>
      <c r="K46" s="91"/>
    </row>
    <row r="47" spans="2:11" x14ac:dyDescent="0.2">
      <c r="B47" s="87"/>
      <c r="C47" s="88"/>
      <c r="D47" s="88"/>
      <c r="E47" s="204"/>
      <c r="F47" s="204"/>
      <c r="G47" s="204"/>
      <c r="H47" s="204"/>
      <c r="I47" s="204"/>
      <c r="J47" s="204"/>
      <c r="K47" s="91"/>
    </row>
    <row r="48" spans="2:11" x14ac:dyDescent="0.2">
      <c r="B48" s="87"/>
      <c r="C48" s="108"/>
      <c r="D48" s="110"/>
      <c r="E48" s="113"/>
      <c r="F48" s="290"/>
      <c r="G48" s="290"/>
      <c r="H48" s="290"/>
      <c r="I48" s="290"/>
      <c r="J48" s="133"/>
      <c r="K48" s="91"/>
    </row>
    <row r="49" spans="2:12" x14ac:dyDescent="0.2">
      <c r="B49" s="87"/>
      <c r="C49" s="108"/>
      <c r="D49" s="157" t="s">
        <v>460</v>
      </c>
      <c r="E49" s="113"/>
      <c r="F49" s="930">
        <f>ROUND((F31-F41+F45),0)</f>
        <v>806767</v>
      </c>
      <c r="G49" s="930">
        <f>ROUND((G31-G41+G45),0)</f>
        <v>753275</v>
      </c>
      <c r="H49" s="930">
        <f>ROUND((H31-H41+H45),0)</f>
        <v>761554</v>
      </c>
      <c r="I49" s="930">
        <f>ROUND((I31-I41+I45),0)</f>
        <v>769833</v>
      </c>
      <c r="J49" s="133"/>
      <c r="K49" s="91"/>
    </row>
    <row r="50" spans="2:12" x14ac:dyDescent="0.2">
      <c r="B50" s="87"/>
      <c r="C50" s="108"/>
      <c r="D50" s="997" t="s">
        <v>107</v>
      </c>
      <c r="E50" s="998"/>
      <c r="F50" s="999">
        <f>ROUND((bal!G22-bal!F22),0)</f>
        <v>806767</v>
      </c>
      <c r="G50" s="999">
        <f>ROUND((bal!H22-bal!G22),0)</f>
        <v>753275</v>
      </c>
      <c r="H50" s="999">
        <f>ROUND((bal!I22-bal!H22),0)</f>
        <v>761554</v>
      </c>
      <c r="I50" s="999">
        <f>ROUND((bal!J22-bal!I22),0)</f>
        <v>769833</v>
      </c>
      <c r="J50" s="133"/>
      <c r="K50" s="91"/>
    </row>
    <row r="51" spans="2:12" x14ac:dyDescent="0.2">
      <c r="B51" s="87"/>
      <c r="C51" s="108"/>
      <c r="D51" s="110"/>
      <c r="E51" s="113"/>
      <c r="F51" s="290"/>
      <c r="G51" s="290"/>
      <c r="H51" s="290"/>
      <c r="I51" s="290"/>
      <c r="J51" s="133"/>
      <c r="K51" s="91"/>
    </row>
    <row r="52" spans="2:12" s="993" customFormat="1" x14ac:dyDescent="0.2">
      <c r="B52" s="183"/>
      <c r="C52" s="191"/>
      <c r="D52" s="126" t="s">
        <v>153</v>
      </c>
      <c r="E52" s="149"/>
      <c r="F52" s="529">
        <f>F12+F49</f>
        <v>806767</v>
      </c>
      <c r="G52" s="930">
        <f>G49+F52</f>
        <v>1560042</v>
      </c>
      <c r="H52" s="930">
        <f>H49+G52</f>
        <v>2321596</v>
      </c>
      <c r="I52" s="930">
        <f>I49+H52</f>
        <v>3091429</v>
      </c>
      <c r="J52" s="136"/>
      <c r="K52" s="194"/>
      <c r="L52" s="994"/>
    </row>
    <row r="53" spans="2:12" s="993" customFormat="1" x14ac:dyDescent="0.2">
      <c r="B53" s="183"/>
      <c r="C53" s="191"/>
      <c r="D53" s="1000" t="s">
        <v>580</v>
      </c>
      <c r="E53" s="1001"/>
      <c r="F53" s="1002" t="str">
        <f>ken!F126</f>
        <v>-</v>
      </c>
      <c r="G53" s="1003" t="str">
        <f>ken!G126</f>
        <v>-</v>
      </c>
      <c r="H53" s="1003" t="str">
        <f>ken!H126</f>
        <v>-</v>
      </c>
      <c r="I53" s="1003" t="str">
        <f>ken!I126</f>
        <v>-</v>
      </c>
      <c r="J53" s="136"/>
      <c r="K53" s="194"/>
      <c r="L53" s="994"/>
    </row>
    <row r="54" spans="2:12" x14ac:dyDescent="0.2">
      <c r="B54" s="87"/>
      <c r="C54" s="116"/>
      <c r="D54" s="117"/>
      <c r="E54" s="235"/>
      <c r="F54" s="1004"/>
      <c r="G54" s="1004"/>
      <c r="H54" s="1004"/>
      <c r="I54" s="1004"/>
      <c r="J54" s="236"/>
      <c r="K54" s="91"/>
    </row>
    <row r="55" spans="2:12" x14ac:dyDescent="0.2">
      <c r="B55" s="87"/>
      <c r="C55" s="88"/>
      <c r="D55" s="88"/>
      <c r="E55" s="204"/>
      <c r="F55" s="669"/>
      <c r="G55" s="669"/>
      <c r="H55" s="669"/>
      <c r="I55" s="669"/>
      <c r="J55" s="204"/>
      <c r="K55" s="91"/>
    </row>
    <row r="56" spans="2:12" ht="15" x14ac:dyDescent="0.25">
      <c r="B56" s="199"/>
      <c r="C56" s="200"/>
      <c r="D56" s="200"/>
      <c r="E56" s="555"/>
      <c r="F56" s="563"/>
      <c r="G56" s="563"/>
      <c r="H56" s="563"/>
      <c r="I56" s="563"/>
      <c r="J56" s="176" t="s">
        <v>629</v>
      </c>
      <c r="K56" s="201"/>
    </row>
  </sheetData>
  <sheetProtection password="DFB1" sheet="1" objects="1" scenarios="1"/>
  <phoneticPr fontId="0" type="noConversion"/>
  <pageMargins left="0.74803149606299213" right="0.74803149606299213"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colBreaks count="1" manualBreakCount="1">
    <brk id="20" min="3" max="63" man="1"/>
  </col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8"/>
  <dimension ref="B1:K222"/>
  <sheetViews>
    <sheetView showGridLines="0" zoomScale="85" zoomScaleNormal="85" zoomScaleSheetLayoutView="70" workbookViewId="0">
      <pane ySplit="9" topLeftCell="A10" activePane="bottomLeft" state="frozen"/>
      <selection activeCell="B2" sqref="B2"/>
      <selection pane="bottomLeft" activeCell="B2" sqref="B2"/>
    </sheetView>
  </sheetViews>
  <sheetFormatPr defaultColWidth="9.140625" defaultRowHeight="12.75" x14ac:dyDescent="0.2"/>
  <cols>
    <col min="1" max="1" width="3.7109375" style="86" customWidth="1"/>
    <col min="2" max="3" width="2.7109375" style="86" customWidth="1"/>
    <col min="4" max="4" width="45.7109375" style="362" customWidth="1"/>
    <col min="5" max="5" width="2.7109375" style="86" customWidth="1"/>
    <col min="6" max="6" width="14.85546875" style="202" customWidth="1"/>
    <col min="7" max="9" width="14.85546875" style="565" customWidth="1"/>
    <col min="10" max="10" width="2.7109375" style="371" customWidth="1"/>
    <col min="11" max="11" width="2.7109375" style="86" customWidth="1"/>
    <col min="12" max="13" width="14.7109375" style="86" customWidth="1"/>
    <col min="14" max="16384" width="9.140625" style="86"/>
  </cols>
  <sheetData>
    <row r="1" spans="2:11" ht="12.75" customHeight="1" x14ac:dyDescent="0.2"/>
    <row r="2" spans="2:11" x14ac:dyDescent="0.2">
      <c r="B2" s="81"/>
      <c r="C2" s="82"/>
      <c r="D2" s="373"/>
      <c r="E2" s="82"/>
      <c r="F2" s="203"/>
      <c r="G2" s="663"/>
      <c r="H2" s="663"/>
      <c r="I2" s="663"/>
      <c r="J2" s="382"/>
      <c r="K2" s="85"/>
    </row>
    <row r="3" spans="2:11" x14ac:dyDescent="0.2">
      <c r="B3" s="87"/>
      <c r="C3" s="88"/>
      <c r="D3" s="383"/>
      <c r="E3" s="88"/>
      <c r="F3" s="204"/>
      <c r="G3" s="669"/>
      <c r="H3" s="669"/>
      <c r="I3" s="669"/>
      <c r="J3" s="391"/>
      <c r="K3" s="91"/>
    </row>
    <row r="4" spans="2:11" s="868" customFormat="1" ht="18.75" x14ac:dyDescent="0.3">
      <c r="B4" s="98"/>
      <c r="C4" s="94" t="s">
        <v>278</v>
      </c>
      <c r="D4" s="1005"/>
      <c r="E4" s="869"/>
      <c r="F4" s="1006"/>
      <c r="G4" s="1007"/>
      <c r="H4" s="1007"/>
      <c r="I4" s="1007"/>
      <c r="J4" s="1008"/>
      <c r="K4" s="870"/>
    </row>
    <row r="5" spans="2:11" s="871" customFormat="1" ht="18.75" x14ac:dyDescent="0.3">
      <c r="B5" s="1009"/>
      <c r="C5" s="99" t="str">
        <f>geg!G12</f>
        <v>Basisschool</v>
      </c>
      <c r="D5" s="1010"/>
      <c r="E5" s="99"/>
      <c r="F5" s="1011"/>
      <c r="G5" s="1012"/>
      <c r="H5" s="1012"/>
      <c r="I5" s="1012"/>
      <c r="J5" s="1013"/>
      <c r="K5" s="874"/>
    </row>
    <row r="6" spans="2:11" s="205" customFormat="1" x14ac:dyDescent="0.2">
      <c r="B6" s="101"/>
      <c r="C6" s="100"/>
      <c r="D6" s="1014"/>
      <c r="E6" s="100"/>
      <c r="F6" s="206"/>
      <c r="G6" s="1015"/>
      <c r="H6" s="1015"/>
      <c r="I6" s="1015"/>
      <c r="J6" s="1016"/>
      <c r="K6" s="130"/>
    </row>
    <row r="7" spans="2:11" s="205" customFormat="1" x14ac:dyDescent="0.2">
      <c r="B7" s="101"/>
      <c r="C7" s="100"/>
      <c r="D7" s="1014"/>
      <c r="E7" s="100"/>
      <c r="F7" s="206"/>
      <c r="G7" s="1015"/>
      <c r="H7" s="1015"/>
      <c r="I7" s="1015"/>
      <c r="J7" s="1016"/>
      <c r="K7" s="130"/>
    </row>
    <row r="8" spans="2:11" s="205" customFormat="1" x14ac:dyDescent="0.2">
      <c r="B8" s="101"/>
      <c r="C8" s="100"/>
      <c r="D8" s="1017"/>
      <c r="E8" s="100"/>
      <c r="F8" s="123">
        <f>bal!G8</f>
        <v>2014</v>
      </c>
      <c r="G8" s="123">
        <f>bal!H8</f>
        <v>2015</v>
      </c>
      <c r="H8" s="123">
        <f>bal!I8</f>
        <v>2016</v>
      </c>
      <c r="I8" s="123">
        <f>bal!J8</f>
        <v>2017</v>
      </c>
      <c r="J8" s="1016"/>
      <c r="K8" s="130"/>
    </row>
    <row r="9" spans="2:11" s="205" customFormat="1" x14ac:dyDescent="0.2">
      <c r="B9" s="101"/>
      <c r="C9" s="100"/>
      <c r="D9" s="1017"/>
      <c r="E9" s="100"/>
      <c r="F9" s="891"/>
      <c r="G9" s="891"/>
      <c r="H9" s="891"/>
      <c r="I9" s="891"/>
      <c r="J9" s="1016"/>
      <c r="K9" s="130"/>
    </row>
    <row r="10" spans="2:11" x14ac:dyDescent="0.2">
      <c r="B10" s="224"/>
      <c r="C10" s="104"/>
      <c r="D10" s="105"/>
      <c r="E10" s="105"/>
      <c r="F10" s="210"/>
      <c r="G10" s="210"/>
      <c r="H10" s="210"/>
      <c r="I10" s="210"/>
      <c r="J10" s="186"/>
      <c r="K10" s="91"/>
    </row>
    <row r="11" spans="2:11" x14ac:dyDescent="0.2">
      <c r="B11" s="224"/>
      <c r="C11" s="108"/>
      <c r="D11" s="126" t="s">
        <v>50</v>
      </c>
      <c r="E11" s="110"/>
      <c r="F11" s="113"/>
      <c r="G11" s="113"/>
      <c r="H11" s="113"/>
      <c r="I11" s="113"/>
      <c r="J11" s="188"/>
      <c r="K11" s="91"/>
    </row>
    <row r="12" spans="2:11" x14ac:dyDescent="0.2">
      <c r="B12" s="224"/>
      <c r="C12" s="108"/>
      <c r="D12" s="110"/>
      <c r="E12" s="110"/>
      <c r="F12" s="113"/>
      <c r="G12" s="113"/>
      <c r="H12" s="113"/>
      <c r="I12" s="113"/>
      <c r="J12" s="188"/>
      <c r="K12" s="91"/>
    </row>
    <row r="13" spans="2:11" x14ac:dyDescent="0.2">
      <c r="B13" s="224"/>
      <c r="C13" s="108"/>
      <c r="D13" s="260" t="s">
        <v>542</v>
      </c>
      <c r="E13" s="110"/>
      <c r="F13" s="113"/>
      <c r="G13" s="113"/>
      <c r="H13" s="113"/>
      <c r="I13" s="113"/>
      <c r="J13" s="188"/>
      <c r="K13" s="91"/>
    </row>
    <row r="14" spans="2:11" x14ac:dyDescent="0.2">
      <c r="B14" s="224"/>
      <c r="C14" s="108"/>
      <c r="D14" s="110" t="s">
        <v>487</v>
      </c>
      <c r="E14" s="110"/>
      <c r="F14" s="278">
        <f>begr!H19</f>
        <v>991438.47333333339</v>
      </c>
      <c r="G14" s="278">
        <f>begr!I19</f>
        <v>937947.34666666668</v>
      </c>
      <c r="H14" s="278">
        <f>begr!J19</f>
        <v>946225.94666666677</v>
      </c>
      <c r="I14" s="278">
        <f>begr!K19</f>
        <v>954504.54666666663</v>
      </c>
      <c r="J14" s="188"/>
      <c r="K14" s="91"/>
    </row>
    <row r="15" spans="2:11" x14ac:dyDescent="0.2">
      <c r="B15" s="224"/>
      <c r="C15" s="108"/>
      <c r="D15" s="110" t="s">
        <v>564</v>
      </c>
      <c r="E15" s="110"/>
      <c r="F15" s="278">
        <f>begr!H35</f>
        <v>0</v>
      </c>
      <c r="G15" s="278">
        <f>begr!I35</f>
        <v>0</v>
      </c>
      <c r="H15" s="278">
        <f>begr!J35</f>
        <v>0</v>
      </c>
      <c r="I15" s="278">
        <f>begr!K35</f>
        <v>0</v>
      </c>
      <c r="J15" s="188"/>
      <c r="K15" s="91"/>
    </row>
    <row r="16" spans="2:11" x14ac:dyDescent="0.2">
      <c r="B16" s="183"/>
      <c r="C16" s="108"/>
      <c r="D16" s="134" t="s">
        <v>434</v>
      </c>
      <c r="E16" s="110"/>
      <c r="F16" s="930">
        <f>SUM(F14:F15)</f>
        <v>991438.47333333339</v>
      </c>
      <c r="G16" s="930">
        <f>SUM(G14:G15)</f>
        <v>937947.34666666668</v>
      </c>
      <c r="H16" s="930">
        <f>SUM(H14:H15)</f>
        <v>946225.94666666677</v>
      </c>
      <c r="I16" s="930">
        <f>SUM(I14:I15)</f>
        <v>954504.54666666663</v>
      </c>
      <c r="J16" s="188"/>
      <c r="K16" s="91"/>
    </row>
    <row r="17" spans="2:11" s="1018" customFormat="1" x14ac:dyDescent="0.2">
      <c r="B17" s="1019"/>
      <c r="C17" s="1020"/>
      <c r="D17" s="1021" t="s">
        <v>544</v>
      </c>
      <c r="E17" s="1022"/>
      <c r="F17" s="1023">
        <f>F16/geg!H$27</f>
        <v>4506.5385151515156</v>
      </c>
      <c r="G17" s="1023">
        <f>G16/geg!I$27</f>
        <v>4263.3970303030301</v>
      </c>
      <c r="H17" s="1023">
        <f>H16/geg!J$27</f>
        <v>4301.0270303030311</v>
      </c>
      <c r="I17" s="1023">
        <f>I16/geg!K$27</f>
        <v>4338.6570303030303</v>
      </c>
      <c r="J17" s="1024"/>
      <c r="K17" s="1025"/>
    </row>
    <row r="18" spans="2:11" x14ac:dyDescent="0.2">
      <c r="B18" s="224"/>
      <c r="C18" s="108"/>
      <c r="D18" s="147"/>
      <c r="E18" s="110"/>
      <c r="F18" s="290"/>
      <c r="G18" s="290"/>
      <c r="H18" s="290"/>
      <c r="I18" s="290"/>
      <c r="J18" s="188"/>
      <c r="K18" s="91"/>
    </row>
    <row r="19" spans="2:11" x14ac:dyDescent="0.2">
      <c r="B19" s="224"/>
      <c r="C19" s="108"/>
      <c r="D19" s="260" t="s">
        <v>482</v>
      </c>
      <c r="E19" s="110"/>
      <c r="F19" s="930">
        <f>pers!I148+mat!I66</f>
        <v>0</v>
      </c>
      <c r="G19" s="930">
        <f>pers!J148+mat!J66</f>
        <v>0</v>
      </c>
      <c r="H19" s="930">
        <f>pers!K148+mat!K66</f>
        <v>0</v>
      </c>
      <c r="I19" s="930">
        <f>pers!L148+mat!L66</f>
        <v>0</v>
      </c>
      <c r="J19" s="188"/>
      <c r="K19" s="91"/>
    </row>
    <row r="20" spans="2:11" s="1018" customFormat="1" x14ac:dyDescent="0.2">
      <c r="B20" s="1019"/>
      <c r="C20" s="1026"/>
      <c r="D20" s="1021" t="s">
        <v>544</v>
      </c>
      <c r="E20" s="1027"/>
      <c r="F20" s="1023">
        <f>F19/geg!H$27</f>
        <v>0</v>
      </c>
      <c r="G20" s="1023">
        <f>G19/geg!I$27</f>
        <v>0</v>
      </c>
      <c r="H20" s="1023">
        <f>H19/geg!J$27</f>
        <v>0</v>
      </c>
      <c r="I20" s="1023">
        <f>I19/geg!K$27</f>
        <v>0</v>
      </c>
      <c r="J20" s="1024"/>
      <c r="K20" s="1025"/>
    </row>
    <row r="21" spans="2:11" x14ac:dyDescent="0.2">
      <c r="B21" s="224"/>
      <c r="C21" s="108"/>
      <c r="D21" s="147"/>
      <c r="E21" s="110"/>
      <c r="F21" s="290"/>
      <c r="G21" s="290"/>
      <c r="H21" s="290"/>
      <c r="I21" s="290"/>
      <c r="J21" s="188"/>
      <c r="K21" s="91"/>
    </row>
    <row r="22" spans="2:11" x14ac:dyDescent="0.2">
      <c r="B22" s="224"/>
      <c r="C22" s="108"/>
      <c r="D22" s="260" t="s">
        <v>483</v>
      </c>
      <c r="E22" s="110"/>
      <c r="F22" s="930">
        <f>pers!I149+mat!I67</f>
        <v>0</v>
      </c>
      <c r="G22" s="930">
        <f>pers!J149+mat!J67</f>
        <v>0</v>
      </c>
      <c r="H22" s="930">
        <f>pers!K149+mat!K67</f>
        <v>0</v>
      </c>
      <c r="I22" s="930">
        <f>pers!L149+mat!L67</f>
        <v>0</v>
      </c>
      <c r="J22" s="188"/>
      <c r="K22" s="91"/>
    </row>
    <row r="23" spans="2:11" s="1018" customFormat="1" x14ac:dyDescent="0.2">
      <c r="B23" s="1019"/>
      <c r="C23" s="1026"/>
      <c r="D23" s="1021" t="s">
        <v>544</v>
      </c>
      <c r="E23" s="1027"/>
      <c r="F23" s="1023">
        <f>F22/geg!H$27</f>
        <v>0</v>
      </c>
      <c r="G23" s="1023">
        <f>G22/geg!I$27</f>
        <v>0</v>
      </c>
      <c r="H23" s="1023">
        <f>H22/geg!J$27</f>
        <v>0</v>
      </c>
      <c r="I23" s="1023">
        <f>I22/geg!K$27</f>
        <v>0</v>
      </c>
      <c r="J23" s="1024"/>
      <c r="K23" s="1025"/>
    </row>
    <row r="24" spans="2:11" x14ac:dyDescent="0.2">
      <c r="B24" s="224"/>
      <c r="C24" s="108"/>
      <c r="D24" s="147"/>
      <c r="E24" s="110"/>
      <c r="F24" s="290"/>
      <c r="G24" s="290"/>
      <c r="H24" s="290"/>
      <c r="I24" s="290"/>
      <c r="J24" s="188"/>
      <c r="K24" s="91"/>
    </row>
    <row r="25" spans="2:11" x14ac:dyDescent="0.2">
      <c r="B25" s="224"/>
      <c r="C25" s="108"/>
      <c r="D25" s="260" t="s">
        <v>543</v>
      </c>
      <c r="E25" s="110"/>
      <c r="F25" s="1028"/>
      <c r="G25" s="1028"/>
      <c r="H25" s="1028"/>
      <c r="I25" s="1028"/>
      <c r="J25" s="282"/>
      <c r="K25" s="91"/>
    </row>
    <row r="26" spans="2:11" x14ac:dyDescent="0.2">
      <c r="B26" s="224"/>
      <c r="C26" s="108"/>
      <c r="D26" s="110" t="s">
        <v>488</v>
      </c>
      <c r="E26" s="110"/>
      <c r="F26" s="278">
        <f>begr!H27</f>
        <v>194671.87</v>
      </c>
      <c r="G26" s="278">
        <f>begr!I27</f>
        <v>194671.87</v>
      </c>
      <c r="H26" s="278">
        <f>begr!J27</f>
        <v>194671.87</v>
      </c>
      <c r="I26" s="278">
        <f>begr!K27</f>
        <v>194671.87</v>
      </c>
      <c r="J26" s="188"/>
      <c r="K26" s="91"/>
    </row>
    <row r="27" spans="2:11" x14ac:dyDescent="0.2">
      <c r="B27" s="224"/>
      <c r="C27" s="108"/>
      <c r="D27" s="110" t="s">
        <v>565</v>
      </c>
      <c r="E27" s="110"/>
      <c r="F27" s="278">
        <f>begr!H36</f>
        <v>0</v>
      </c>
      <c r="G27" s="278">
        <f>begr!I36</f>
        <v>0</v>
      </c>
      <c r="H27" s="278">
        <f>begr!J36</f>
        <v>0</v>
      </c>
      <c r="I27" s="278">
        <f>begr!K36</f>
        <v>0</v>
      </c>
      <c r="J27" s="188"/>
      <c r="K27" s="91"/>
    </row>
    <row r="28" spans="2:11" x14ac:dyDescent="0.2">
      <c r="B28" s="183"/>
      <c r="C28" s="108"/>
      <c r="D28" s="134" t="s">
        <v>434</v>
      </c>
      <c r="E28" s="110"/>
      <c r="F28" s="930">
        <f>SUM(F26:F27)</f>
        <v>194671.87</v>
      </c>
      <c r="G28" s="930">
        <f>SUM(G26:G27)</f>
        <v>194671.87</v>
      </c>
      <c r="H28" s="930">
        <f>SUM(H26:H27)</f>
        <v>194671.87</v>
      </c>
      <c r="I28" s="930">
        <f>SUM(I26:I27)</f>
        <v>194671.87</v>
      </c>
      <c r="J28" s="188"/>
      <c r="K28" s="91"/>
    </row>
    <row r="29" spans="2:11" s="1018" customFormat="1" x14ac:dyDescent="0.2">
      <c r="B29" s="1019"/>
      <c r="C29" s="1020"/>
      <c r="D29" s="1021" t="s">
        <v>544</v>
      </c>
      <c r="E29" s="1022"/>
      <c r="F29" s="1023">
        <f>F28/geg!H$27</f>
        <v>884.87213636363629</v>
      </c>
      <c r="G29" s="1023">
        <f>G28/geg!I$27</f>
        <v>884.87213636363629</v>
      </c>
      <c r="H29" s="1023">
        <f>H28/geg!J$27</f>
        <v>884.87213636363629</v>
      </c>
      <c r="I29" s="1023">
        <f>I28/geg!K$27</f>
        <v>884.87213636363629</v>
      </c>
      <c r="J29" s="1024"/>
      <c r="K29" s="1025"/>
    </row>
    <row r="30" spans="2:11" x14ac:dyDescent="0.2">
      <c r="B30" s="224"/>
      <c r="C30" s="108"/>
      <c r="D30" s="110"/>
      <c r="E30" s="110"/>
      <c r="F30" s="113"/>
      <c r="G30" s="113"/>
      <c r="H30" s="113"/>
      <c r="I30" s="113"/>
      <c r="J30" s="188"/>
      <c r="K30" s="91"/>
    </row>
    <row r="31" spans="2:11" x14ac:dyDescent="0.2">
      <c r="B31" s="224"/>
      <c r="C31" s="108"/>
      <c r="D31" s="260" t="s">
        <v>390</v>
      </c>
      <c r="E31" s="110"/>
      <c r="F31" s="113"/>
      <c r="G31" s="113"/>
      <c r="H31" s="113"/>
      <c r="I31" s="113"/>
      <c r="J31" s="188"/>
      <c r="K31" s="91"/>
    </row>
    <row r="32" spans="2:11" x14ac:dyDescent="0.2">
      <c r="B32" s="224"/>
      <c r="C32" s="108"/>
      <c r="D32" s="110" t="s">
        <v>276</v>
      </c>
      <c r="E32" s="110"/>
      <c r="F32" s="278">
        <f>pers!I152</f>
        <v>0</v>
      </c>
      <c r="G32" s="278">
        <f>pers!J152</f>
        <v>0</v>
      </c>
      <c r="H32" s="278">
        <f>pers!K152</f>
        <v>0</v>
      </c>
      <c r="I32" s="278">
        <f>pers!L152</f>
        <v>0</v>
      </c>
      <c r="J32" s="188"/>
      <c r="K32" s="91"/>
    </row>
    <row r="33" spans="2:11" x14ac:dyDescent="0.2">
      <c r="B33" s="224"/>
      <c r="C33" s="108"/>
      <c r="D33" s="110" t="s">
        <v>545</v>
      </c>
      <c r="E33" s="110"/>
      <c r="F33" s="278">
        <f>pers!I153</f>
        <v>61927.710000000006</v>
      </c>
      <c r="G33" s="278">
        <f>pers!J153</f>
        <v>61927.710000000006</v>
      </c>
      <c r="H33" s="278">
        <f>pers!K153</f>
        <v>61927.710000000006</v>
      </c>
      <c r="I33" s="278">
        <f>pers!L153</f>
        <v>61927.710000000006</v>
      </c>
      <c r="J33" s="188"/>
      <c r="K33" s="91"/>
    </row>
    <row r="34" spans="2:11" x14ac:dyDescent="0.2">
      <c r="B34" s="224"/>
      <c r="C34" s="108"/>
      <c r="D34" s="110" t="s">
        <v>752</v>
      </c>
      <c r="E34" s="110"/>
      <c r="F34" s="278">
        <f>pers!I154</f>
        <v>122744.16</v>
      </c>
      <c r="G34" s="278">
        <f>pers!J154</f>
        <v>122744.16</v>
      </c>
      <c r="H34" s="278">
        <f>pers!K154</f>
        <v>122744.16</v>
      </c>
      <c r="I34" s="278">
        <f>pers!L154</f>
        <v>122744.16</v>
      </c>
      <c r="J34" s="188"/>
      <c r="K34" s="91"/>
    </row>
    <row r="35" spans="2:11" x14ac:dyDescent="0.2">
      <c r="B35" s="183"/>
      <c r="C35" s="108"/>
      <c r="D35" s="134" t="s">
        <v>434</v>
      </c>
      <c r="E35" s="147"/>
      <c r="F35" s="930">
        <f>SUM(F32:F34)</f>
        <v>184671.87</v>
      </c>
      <c r="G35" s="930">
        <f>SUM(G32:G34)</f>
        <v>184671.87</v>
      </c>
      <c r="H35" s="930">
        <f>SUM(H32:H34)</f>
        <v>184671.87</v>
      </c>
      <c r="I35" s="930">
        <f>SUM(I32:I34)</f>
        <v>184671.87</v>
      </c>
      <c r="J35" s="188"/>
      <c r="K35" s="91"/>
    </row>
    <row r="36" spans="2:11" s="1018" customFormat="1" x14ac:dyDescent="0.2">
      <c r="B36" s="1019"/>
      <c r="C36" s="1020"/>
      <c r="D36" s="1021" t="s">
        <v>544</v>
      </c>
      <c r="E36" s="1022"/>
      <c r="F36" s="1023">
        <f>F35/geg!H$27</f>
        <v>839.4175909090909</v>
      </c>
      <c r="G36" s="1023">
        <f>G35/geg!I$27</f>
        <v>839.4175909090909</v>
      </c>
      <c r="H36" s="1023">
        <f>H35/geg!J$27</f>
        <v>839.4175909090909</v>
      </c>
      <c r="I36" s="1023">
        <f>I35/geg!K$27</f>
        <v>839.4175909090909</v>
      </c>
      <c r="J36" s="1024"/>
      <c r="K36" s="1025"/>
    </row>
    <row r="37" spans="2:11" x14ac:dyDescent="0.2">
      <c r="B37" s="224"/>
      <c r="C37" s="108"/>
      <c r="D37" s="110"/>
      <c r="E37" s="110"/>
      <c r="F37" s="290"/>
      <c r="G37" s="290"/>
      <c r="H37" s="290"/>
      <c r="I37" s="290"/>
      <c r="J37" s="188"/>
      <c r="K37" s="91"/>
    </row>
    <row r="38" spans="2:11" x14ac:dyDescent="0.2">
      <c r="B38" s="224"/>
      <c r="C38" s="108"/>
      <c r="D38" s="165" t="s">
        <v>541</v>
      </c>
      <c r="E38" s="110"/>
      <c r="F38" s="290"/>
      <c r="G38" s="290"/>
      <c r="H38" s="290"/>
      <c r="I38" s="290"/>
      <c r="J38" s="188"/>
      <c r="K38" s="91"/>
    </row>
    <row r="39" spans="2:11" x14ac:dyDescent="0.2">
      <c r="B39" s="224"/>
      <c r="C39" s="108"/>
      <c r="D39" s="109" t="s">
        <v>546</v>
      </c>
      <c r="E39" s="110"/>
      <c r="F39" s="286">
        <v>0</v>
      </c>
      <c r="G39" s="286">
        <f t="shared" ref="G39:I41" si="0">F39</f>
        <v>0</v>
      </c>
      <c r="H39" s="286">
        <f t="shared" si="0"/>
        <v>0</v>
      </c>
      <c r="I39" s="286">
        <f t="shared" si="0"/>
        <v>0</v>
      </c>
      <c r="J39" s="188"/>
      <c r="K39" s="91"/>
    </row>
    <row r="40" spans="2:11" x14ac:dyDescent="0.2">
      <c r="B40" s="224"/>
      <c r="C40" s="108"/>
      <c r="D40" s="109" t="s">
        <v>548</v>
      </c>
      <c r="E40" s="110"/>
      <c r="F40" s="286">
        <v>0</v>
      </c>
      <c r="G40" s="286">
        <f t="shared" si="0"/>
        <v>0</v>
      </c>
      <c r="H40" s="286">
        <f t="shared" si="0"/>
        <v>0</v>
      </c>
      <c r="I40" s="286">
        <f t="shared" si="0"/>
        <v>0</v>
      </c>
      <c r="J40" s="188"/>
      <c r="K40" s="91"/>
    </row>
    <row r="41" spans="2:11" x14ac:dyDescent="0.2">
      <c r="B41" s="224"/>
      <c r="C41" s="108"/>
      <c r="D41" s="109" t="s">
        <v>549</v>
      </c>
      <c r="E41" s="110"/>
      <c r="F41" s="286">
        <v>0</v>
      </c>
      <c r="G41" s="286">
        <f t="shared" si="0"/>
        <v>0</v>
      </c>
      <c r="H41" s="286">
        <f t="shared" si="0"/>
        <v>0</v>
      </c>
      <c r="I41" s="286">
        <f>H41</f>
        <v>0</v>
      </c>
      <c r="J41" s="188"/>
      <c r="K41" s="91"/>
    </row>
    <row r="42" spans="2:11" x14ac:dyDescent="0.2">
      <c r="B42" s="183"/>
      <c r="C42" s="108"/>
      <c r="D42" s="134" t="s">
        <v>434</v>
      </c>
      <c r="E42" s="147"/>
      <c r="F42" s="930">
        <f>SUM(F39:F41)</f>
        <v>0</v>
      </c>
      <c r="G42" s="930">
        <f>SUM(G39:G41)</f>
        <v>0</v>
      </c>
      <c r="H42" s="930">
        <f>SUM(H39:H41)</f>
        <v>0</v>
      </c>
      <c r="I42" s="930">
        <f>SUM(I39:I41)</f>
        <v>0</v>
      </c>
      <c r="J42" s="188"/>
      <c r="K42" s="91"/>
    </row>
    <row r="43" spans="2:11" s="1018" customFormat="1" x14ac:dyDescent="0.2">
      <c r="B43" s="1019"/>
      <c r="C43" s="1020"/>
      <c r="D43" s="1021" t="s">
        <v>544</v>
      </c>
      <c r="E43" s="1022"/>
      <c r="F43" s="1023">
        <f>F42/geg!H$27</f>
        <v>0</v>
      </c>
      <c r="G43" s="1023">
        <f>G42/geg!I$27</f>
        <v>0</v>
      </c>
      <c r="H43" s="1023">
        <f>H42/geg!J$27</f>
        <v>0</v>
      </c>
      <c r="I43" s="1023">
        <f>I42/geg!K$27</f>
        <v>0</v>
      </c>
      <c r="J43" s="1024"/>
      <c r="K43" s="1025"/>
    </row>
    <row r="44" spans="2:11" x14ac:dyDescent="0.2">
      <c r="B44" s="224"/>
      <c r="C44" s="108"/>
      <c r="D44" s="109"/>
      <c r="E44" s="110"/>
      <c r="F44" s="290"/>
      <c r="G44" s="290"/>
      <c r="H44" s="290"/>
      <c r="I44" s="290"/>
      <c r="J44" s="188"/>
      <c r="K44" s="91"/>
    </row>
    <row r="45" spans="2:11" x14ac:dyDescent="0.2">
      <c r="B45" s="224"/>
      <c r="C45" s="108"/>
      <c r="D45" s="165" t="s">
        <v>539</v>
      </c>
      <c r="E45" s="110"/>
      <c r="F45" s="290"/>
      <c r="G45" s="290"/>
      <c r="H45" s="290"/>
      <c r="I45" s="290"/>
      <c r="J45" s="188"/>
      <c r="K45" s="91"/>
    </row>
    <row r="46" spans="2:11" x14ac:dyDescent="0.2">
      <c r="B46" s="224"/>
      <c r="C46" s="108"/>
      <c r="D46" s="165" t="s">
        <v>550</v>
      </c>
      <c r="E46" s="110"/>
      <c r="F46" s="286">
        <v>0</v>
      </c>
      <c r="G46" s="286">
        <f t="shared" ref="G46:I48" si="1">F46</f>
        <v>0</v>
      </c>
      <c r="H46" s="286">
        <f t="shared" si="1"/>
        <v>0</v>
      </c>
      <c r="I46" s="286">
        <f t="shared" si="1"/>
        <v>0</v>
      </c>
      <c r="J46" s="188"/>
      <c r="K46" s="91"/>
    </row>
    <row r="47" spans="2:11" x14ac:dyDescent="0.2">
      <c r="B47" s="224"/>
      <c r="C47" s="108"/>
      <c r="D47" s="109" t="s">
        <v>551</v>
      </c>
      <c r="E47" s="110"/>
      <c r="F47" s="286">
        <v>0</v>
      </c>
      <c r="G47" s="286">
        <f t="shared" si="1"/>
        <v>0</v>
      </c>
      <c r="H47" s="286">
        <f t="shared" si="1"/>
        <v>0</v>
      </c>
      <c r="I47" s="286">
        <f t="shared" si="1"/>
        <v>0</v>
      </c>
      <c r="J47" s="188"/>
      <c r="K47" s="91"/>
    </row>
    <row r="48" spans="2:11" x14ac:dyDescent="0.2">
      <c r="B48" s="224"/>
      <c r="C48" s="108"/>
      <c r="D48" s="109" t="s">
        <v>552</v>
      </c>
      <c r="E48" s="110"/>
      <c r="F48" s="286">
        <v>0</v>
      </c>
      <c r="G48" s="286">
        <f t="shared" si="1"/>
        <v>0</v>
      </c>
      <c r="H48" s="286">
        <f t="shared" si="1"/>
        <v>0</v>
      </c>
      <c r="I48" s="286">
        <f>H48</f>
        <v>0</v>
      </c>
      <c r="J48" s="188"/>
      <c r="K48" s="91"/>
    </row>
    <row r="49" spans="2:11" x14ac:dyDescent="0.2">
      <c r="B49" s="183"/>
      <c r="C49" s="108"/>
      <c r="D49" s="134" t="s">
        <v>434</v>
      </c>
      <c r="E49" s="147"/>
      <c r="F49" s="930">
        <f>SUM(F46:F48)</f>
        <v>0</v>
      </c>
      <c r="G49" s="930">
        <f>SUM(G46:G48)</f>
        <v>0</v>
      </c>
      <c r="H49" s="930">
        <f>SUM(H46:H48)</f>
        <v>0</v>
      </c>
      <c r="I49" s="930">
        <f>SUM(I46:I48)</f>
        <v>0</v>
      </c>
      <c r="J49" s="188"/>
      <c r="K49" s="91"/>
    </row>
    <row r="50" spans="2:11" s="1018" customFormat="1" x14ac:dyDescent="0.2">
      <c r="B50" s="1019"/>
      <c r="C50" s="1026"/>
      <c r="D50" s="1021" t="s">
        <v>544</v>
      </c>
      <c r="E50" s="1029"/>
      <c r="F50" s="1023">
        <f>F49/geg!H$27</f>
        <v>0</v>
      </c>
      <c r="G50" s="1023">
        <f>G49/geg!I$27</f>
        <v>0</v>
      </c>
      <c r="H50" s="1023">
        <f>H49/geg!J$27</f>
        <v>0</v>
      </c>
      <c r="I50" s="1023">
        <f>I49/geg!K$27</f>
        <v>0</v>
      </c>
      <c r="J50" s="1024"/>
      <c r="K50" s="1025"/>
    </row>
    <row r="51" spans="2:11" x14ac:dyDescent="0.2">
      <c r="B51" s="224"/>
      <c r="C51" s="108"/>
      <c r="D51" s="109"/>
      <c r="E51" s="110"/>
      <c r="F51" s="290"/>
      <c r="G51" s="290"/>
      <c r="H51" s="290"/>
      <c r="I51" s="290"/>
      <c r="J51" s="188"/>
      <c r="K51" s="91"/>
    </row>
    <row r="52" spans="2:11" x14ac:dyDescent="0.2">
      <c r="B52" s="224"/>
      <c r="C52" s="108"/>
      <c r="D52" s="165" t="s">
        <v>379</v>
      </c>
      <c r="E52" s="110"/>
      <c r="F52" s="290"/>
      <c r="G52" s="290"/>
      <c r="H52" s="290"/>
      <c r="I52" s="290"/>
      <c r="J52" s="188"/>
      <c r="K52" s="91"/>
    </row>
    <row r="53" spans="2:11" x14ac:dyDescent="0.2">
      <c r="B53" s="224"/>
      <c r="C53" s="108"/>
      <c r="D53" s="109" t="s">
        <v>555</v>
      </c>
      <c r="E53" s="110"/>
      <c r="F53" s="278">
        <f>mat!I90+mat!I91+mat!I92</f>
        <v>0</v>
      </c>
      <c r="G53" s="278">
        <f>mat!J90+mat!J91+mat!J92</f>
        <v>0</v>
      </c>
      <c r="H53" s="278">
        <f>mat!K90+mat!K91+mat!K92</f>
        <v>0</v>
      </c>
      <c r="I53" s="278">
        <f>mat!L90+mat!L91+mat!L92</f>
        <v>0</v>
      </c>
      <c r="J53" s="188"/>
      <c r="K53" s="91"/>
    </row>
    <row r="54" spans="2:11" x14ac:dyDescent="0.2">
      <c r="B54" s="224"/>
      <c r="C54" s="108"/>
      <c r="D54" s="109" t="s">
        <v>556</v>
      </c>
      <c r="E54" s="110"/>
      <c r="F54" s="286">
        <v>0</v>
      </c>
      <c r="G54" s="286">
        <f>F54</f>
        <v>0</v>
      </c>
      <c r="H54" s="286">
        <f>G54</f>
        <v>0</v>
      </c>
      <c r="I54" s="286">
        <f>H54</f>
        <v>0</v>
      </c>
      <c r="J54" s="188"/>
      <c r="K54" s="91"/>
    </row>
    <row r="55" spans="2:11" x14ac:dyDescent="0.2">
      <c r="B55" s="183"/>
      <c r="C55" s="108"/>
      <c r="D55" s="134" t="s">
        <v>434</v>
      </c>
      <c r="E55" s="147"/>
      <c r="F55" s="930">
        <f>SUM(F53:F54)</f>
        <v>0</v>
      </c>
      <c r="G55" s="930">
        <f>SUM(G53:G54)</f>
        <v>0</v>
      </c>
      <c r="H55" s="930">
        <f>SUM(H53:H54)</f>
        <v>0</v>
      </c>
      <c r="I55" s="930">
        <f>SUM(I53:I54)</f>
        <v>0</v>
      </c>
      <c r="J55" s="188"/>
      <c r="K55" s="91"/>
    </row>
    <row r="56" spans="2:11" s="1018" customFormat="1" x14ac:dyDescent="0.2">
      <c r="B56" s="1019"/>
      <c r="C56" s="1026"/>
      <c r="D56" s="1021" t="s">
        <v>544</v>
      </c>
      <c r="E56" s="1029"/>
      <c r="F56" s="1023">
        <f>F55/geg!H$27</f>
        <v>0</v>
      </c>
      <c r="G56" s="1023">
        <f>G55/geg!I$27</f>
        <v>0</v>
      </c>
      <c r="H56" s="1023">
        <f>H55/geg!J$27</f>
        <v>0</v>
      </c>
      <c r="I56" s="1023">
        <f>I55/geg!K$27</f>
        <v>0</v>
      </c>
      <c r="J56" s="1024"/>
      <c r="K56" s="1025"/>
    </row>
    <row r="57" spans="2:11" x14ac:dyDescent="0.2">
      <c r="B57" s="224"/>
      <c r="C57" s="108"/>
      <c r="D57" s="109"/>
      <c r="E57" s="110"/>
      <c r="F57" s="290"/>
      <c r="G57" s="290"/>
      <c r="H57" s="290"/>
      <c r="I57" s="290"/>
      <c r="J57" s="188"/>
      <c r="K57" s="91"/>
    </row>
    <row r="58" spans="2:11" x14ac:dyDescent="0.2">
      <c r="B58" s="224"/>
      <c r="C58" s="108"/>
      <c r="D58" s="165" t="s">
        <v>466</v>
      </c>
      <c r="E58" s="110"/>
      <c r="F58" s="290"/>
      <c r="G58" s="290"/>
      <c r="H58" s="290"/>
      <c r="I58" s="290"/>
      <c r="J58" s="188"/>
      <c r="K58" s="91"/>
    </row>
    <row r="59" spans="2:11" x14ac:dyDescent="0.2">
      <c r="B59" s="224"/>
      <c r="C59" s="108"/>
      <c r="D59" s="109" t="s">
        <v>554</v>
      </c>
      <c r="E59" s="110"/>
      <c r="F59" s="278">
        <f>mat!I93</f>
        <v>10000</v>
      </c>
      <c r="G59" s="278">
        <f>mat!J93</f>
        <v>10000</v>
      </c>
      <c r="H59" s="278">
        <f>mat!K93</f>
        <v>10000</v>
      </c>
      <c r="I59" s="278">
        <f>mat!L93</f>
        <v>10000</v>
      </c>
      <c r="J59" s="188"/>
      <c r="K59" s="91"/>
    </row>
    <row r="60" spans="2:11" x14ac:dyDescent="0.2">
      <c r="B60" s="224"/>
      <c r="C60" s="108"/>
      <c r="D60" s="109" t="s">
        <v>553</v>
      </c>
      <c r="E60" s="110"/>
      <c r="F60" s="286">
        <v>0</v>
      </c>
      <c r="G60" s="286">
        <f>F60</f>
        <v>0</v>
      </c>
      <c r="H60" s="286">
        <f>G60</f>
        <v>0</v>
      </c>
      <c r="I60" s="286">
        <f>H60</f>
        <v>0</v>
      </c>
      <c r="J60" s="188"/>
      <c r="K60" s="91"/>
    </row>
    <row r="61" spans="2:11" x14ac:dyDescent="0.2">
      <c r="B61" s="183"/>
      <c r="C61" s="108"/>
      <c r="D61" s="134" t="s">
        <v>434</v>
      </c>
      <c r="E61" s="147"/>
      <c r="F61" s="930">
        <f>SUM(F59:F60)</f>
        <v>10000</v>
      </c>
      <c r="G61" s="930">
        <f>SUM(G59:G60)</f>
        <v>10000</v>
      </c>
      <c r="H61" s="930">
        <f>SUM(H59:H60)</f>
        <v>10000</v>
      </c>
      <c r="I61" s="930">
        <f>SUM(I59:I60)</f>
        <v>10000</v>
      </c>
      <c r="J61" s="188"/>
      <c r="K61" s="91"/>
    </row>
    <row r="62" spans="2:11" s="1018" customFormat="1" x14ac:dyDescent="0.2">
      <c r="B62" s="1019"/>
      <c r="C62" s="1026"/>
      <c r="D62" s="1021" t="s">
        <v>544</v>
      </c>
      <c r="E62" s="1029"/>
      <c r="F62" s="1023">
        <f>F61/geg!H$27</f>
        <v>45.454545454545453</v>
      </c>
      <c r="G62" s="1023">
        <f>G61/geg!I$27</f>
        <v>45.454545454545453</v>
      </c>
      <c r="H62" s="1023">
        <f>H61/geg!J$27</f>
        <v>45.454545454545453</v>
      </c>
      <c r="I62" s="1023">
        <f>I61/geg!K$27</f>
        <v>45.454545454545453</v>
      </c>
      <c r="J62" s="1024"/>
      <c r="K62" s="1025"/>
    </row>
    <row r="63" spans="2:11" x14ac:dyDescent="0.2">
      <c r="B63" s="224"/>
      <c r="C63" s="108"/>
      <c r="D63" s="109"/>
      <c r="E63" s="110"/>
      <c r="F63" s="290"/>
      <c r="G63" s="290"/>
      <c r="H63" s="290"/>
      <c r="I63" s="290"/>
      <c r="J63" s="188"/>
      <c r="K63" s="91"/>
    </row>
    <row r="64" spans="2:11" x14ac:dyDescent="0.2">
      <c r="B64" s="224"/>
      <c r="C64" s="108"/>
      <c r="D64" s="165" t="s">
        <v>540</v>
      </c>
      <c r="E64" s="110"/>
      <c r="F64" s="290"/>
      <c r="G64" s="290"/>
      <c r="H64" s="290"/>
      <c r="I64" s="290"/>
      <c r="J64" s="188"/>
      <c r="K64" s="91"/>
    </row>
    <row r="65" spans="2:11" x14ac:dyDescent="0.2">
      <c r="B65" s="224"/>
      <c r="C65" s="108"/>
      <c r="D65" s="109" t="s">
        <v>558</v>
      </c>
      <c r="E65" s="110"/>
      <c r="F65" s="278">
        <f>mat!I89</f>
        <v>0</v>
      </c>
      <c r="G65" s="278">
        <f>mat!J89</f>
        <v>0</v>
      </c>
      <c r="H65" s="278">
        <f>mat!K89</f>
        <v>0</v>
      </c>
      <c r="I65" s="278">
        <f>mat!L89</f>
        <v>0</v>
      </c>
      <c r="J65" s="188"/>
      <c r="K65" s="91"/>
    </row>
    <row r="66" spans="2:11" x14ac:dyDescent="0.2">
      <c r="B66" s="224"/>
      <c r="C66" s="108"/>
      <c r="D66" s="109" t="s">
        <v>557</v>
      </c>
      <c r="E66" s="110"/>
      <c r="F66" s="286">
        <v>0</v>
      </c>
      <c r="G66" s="286">
        <f t="shared" ref="G66:I67" si="2">F66</f>
        <v>0</v>
      </c>
      <c r="H66" s="286">
        <f t="shared" si="2"/>
        <v>0</v>
      </c>
      <c r="I66" s="286">
        <f t="shared" si="2"/>
        <v>0</v>
      </c>
      <c r="J66" s="188"/>
      <c r="K66" s="91"/>
    </row>
    <row r="67" spans="2:11" x14ac:dyDescent="0.2">
      <c r="B67" s="224"/>
      <c r="C67" s="108"/>
      <c r="D67" s="109" t="s">
        <v>566</v>
      </c>
      <c r="E67" s="110"/>
      <c r="F67" s="286">
        <v>0</v>
      </c>
      <c r="G67" s="286">
        <f t="shared" si="2"/>
        <v>0</v>
      </c>
      <c r="H67" s="286">
        <f t="shared" si="2"/>
        <v>0</v>
      </c>
      <c r="I67" s="286">
        <f>H67</f>
        <v>0</v>
      </c>
      <c r="J67" s="188"/>
      <c r="K67" s="91"/>
    </row>
    <row r="68" spans="2:11" x14ac:dyDescent="0.2">
      <c r="B68" s="224"/>
      <c r="C68" s="108"/>
      <c r="D68" s="109" t="s">
        <v>560</v>
      </c>
      <c r="E68" s="110"/>
      <c r="F68" s="338">
        <f>mat!I102</f>
        <v>0</v>
      </c>
      <c r="G68" s="338">
        <f>mat!J102</f>
        <v>0</v>
      </c>
      <c r="H68" s="338">
        <f>mat!K102</f>
        <v>0</v>
      </c>
      <c r="I68" s="338">
        <f>mat!L102</f>
        <v>0</v>
      </c>
      <c r="J68" s="188"/>
      <c r="K68" s="91"/>
    </row>
    <row r="69" spans="2:11" x14ac:dyDescent="0.2">
      <c r="B69" s="224"/>
      <c r="C69" s="108"/>
      <c r="D69" s="109" t="s">
        <v>559</v>
      </c>
      <c r="E69" s="110"/>
      <c r="F69" s="286">
        <v>0</v>
      </c>
      <c r="G69" s="286">
        <f t="shared" ref="G69:I70" si="3">F69</f>
        <v>0</v>
      </c>
      <c r="H69" s="286">
        <f t="shared" si="3"/>
        <v>0</v>
      </c>
      <c r="I69" s="286">
        <f t="shared" si="3"/>
        <v>0</v>
      </c>
      <c r="J69" s="188"/>
      <c r="K69" s="91"/>
    </row>
    <row r="70" spans="2:11" x14ac:dyDescent="0.2">
      <c r="B70" s="224"/>
      <c r="C70" s="108"/>
      <c r="D70" s="109" t="s">
        <v>561</v>
      </c>
      <c r="E70" s="110"/>
      <c r="F70" s="286">
        <v>0</v>
      </c>
      <c r="G70" s="286">
        <f t="shared" si="3"/>
        <v>0</v>
      </c>
      <c r="H70" s="286">
        <f t="shared" si="3"/>
        <v>0</v>
      </c>
      <c r="I70" s="286">
        <f>H70</f>
        <v>0</v>
      </c>
      <c r="J70" s="188"/>
      <c r="K70" s="91"/>
    </row>
    <row r="71" spans="2:11" x14ac:dyDescent="0.2">
      <c r="B71" s="183"/>
      <c r="C71" s="108"/>
      <c r="D71" s="134" t="s">
        <v>434</v>
      </c>
      <c r="E71" s="147"/>
      <c r="F71" s="930">
        <f>SUM(F65:F70)</f>
        <v>0</v>
      </c>
      <c r="G71" s="930">
        <f>SUM(G65:G70)</f>
        <v>0</v>
      </c>
      <c r="H71" s="930">
        <f>SUM(H65:H70)</f>
        <v>0</v>
      </c>
      <c r="I71" s="930">
        <f>SUM(I65:I70)</f>
        <v>0</v>
      </c>
      <c r="J71" s="188"/>
      <c r="K71" s="91"/>
    </row>
    <row r="72" spans="2:11" s="1018" customFormat="1" x14ac:dyDescent="0.2">
      <c r="B72" s="1019"/>
      <c r="C72" s="1026"/>
      <c r="D72" s="1021" t="s">
        <v>544</v>
      </c>
      <c r="E72" s="1029"/>
      <c r="F72" s="1023">
        <f>F71/geg!H$27</f>
        <v>0</v>
      </c>
      <c r="G72" s="1023">
        <f>G71/geg!I$27</f>
        <v>0</v>
      </c>
      <c r="H72" s="1023">
        <f>H71/geg!J$27</f>
        <v>0</v>
      </c>
      <c r="I72" s="1023">
        <f>I71/geg!K$27</f>
        <v>0</v>
      </c>
      <c r="J72" s="1024"/>
      <c r="K72" s="1025"/>
    </row>
    <row r="73" spans="2:11" x14ac:dyDescent="0.2">
      <c r="B73" s="224"/>
      <c r="C73" s="108"/>
      <c r="D73" s="109"/>
      <c r="E73" s="110"/>
      <c r="F73" s="290"/>
      <c r="G73" s="290"/>
      <c r="H73" s="290"/>
      <c r="I73" s="290"/>
      <c r="J73" s="188"/>
      <c r="K73" s="91"/>
    </row>
    <row r="74" spans="2:11" x14ac:dyDescent="0.2">
      <c r="B74" s="224"/>
      <c r="C74" s="108"/>
      <c r="D74" s="165" t="s">
        <v>639</v>
      </c>
      <c r="E74" s="110"/>
      <c r="F74" s="286">
        <v>0</v>
      </c>
      <c r="G74" s="286">
        <f>F74</f>
        <v>0</v>
      </c>
      <c r="H74" s="286">
        <f>G74</f>
        <v>0</v>
      </c>
      <c r="I74" s="286">
        <f>H74</f>
        <v>0</v>
      </c>
      <c r="J74" s="188"/>
      <c r="K74" s="91"/>
    </row>
    <row r="75" spans="2:11" s="243" customFormat="1" x14ac:dyDescent="0.2">
      <c r="B75" s="1030"/>
      <c r="C75" s="1031"/>
      <c r="D75" s="997" t="s">
        <v>544</v>
      </c>
      <c r="E75" s="1000"/>
      <c r="F75" s="999">
        <f>F74/geg!H$27</f>
        <v>0</v>
      </c>
      <c r="G75" s="999">
        <f>G74/geg!I$27</f>
        <v>0</v>
      </c>
      <c r="H75" s="999">
        <f>H74/geg!J$27</f>
        <v>0</v>
      </c>
      <c r="I75" s="999">
        <f>I74/geg!K$27</f>
        <v>0</v>
      </c>
      <c r="J75" s="1032"/>
      <c r="K75" s="1033"/>
    </row>
    <row r="76" spans="2:11" x14ac:dyDescent="0.2">
      <c r="B76" s="224"/>
      <c r="C76" s="108"/>
      <c r="D76" s="110"/>
      <c r="E76" s="110"/>
      <c r="F76" s="113"/>
      <c r="G76" s="113"/>
      <c r="H76" s="113"/>
      <c r="I76" s="113"/>
      <c r="J76" s="188"/>
      <c r="K76" s="91"/>
    </row>
    <row r="77" spans="2:11" x14ac:dyDescent="0.2">
      <c r="B77" s="224"/>
      <c r="C77" s="108"/>
      <c r="D77" s="165" t="s">
        <v>640</v>
      </c>
      <c r="E77" s="110"/>
      <c r="F77" s="113"/>
      <c r="G77" s="113"/>
      <c r="H77" s="113"/>
      <c r="I77" s="113"/>
      <c r="J77" s="188"/>
      <c r="K77" s="91"/>
    </row>
    <row r="78" spans="2:11" x14ac:dyDescent="0.2">
      <c r="B78" s="224"/>
      <c r="C78" s="108"/>
      <c r="D78" s="109" t="s">
        <v>582</v>
      </c>
      <c r="E78" s="110"/>
      <c r="F78" s="286">
        <v>0</v>
      </c>
      <c r="G78" s="286">
        <f>F78</f>
        <v>0</v>
      </c>
      <c r="H78" s="286">
        <f>G78</f>
        <v>0</v>
      </c>
      <c r="I78" s="286">
        <f>H78</f>
        <v>0</v>
      </c>
      <c r="J78" s="188"/>
      <c r="K78" s="91"/>
    </row>
    <row r="79" spans="2:11" x14ac:dyDescent="0.2">
      <c r="B79" s="224"/>
      <c r="C79" s="108"/>
      <c r="D79" s="109" t="s">
        <v>583</v>
      </c>
      <c r="E79" s="110"/>
      <c r="F79" s="278">
        <f>+mat!I92</f>
        <v>0</v>
      </c>
      <c r="G79" s="278">
        <f>+mat!J92</f>
        <v>0</v>
      </c>
      <c r="H79" s="278">
        <f>+mat!K92</f>
        <v>0</v>
      </c>
      <c r="I79" s="278">
        <f>+mat!L92</f>
        <v>0</v>
      </c>
      <c r="J79" s="188"/>
      <c r="K79" s="91"/>
    </row>
    <row r="80" spans="2:11" x14ac:dyDescent="0.2">
      <c r="B80" s="224"/>
      <c r="C80" s="108"/>
      <c r="D80" s="109" t="s">
        <v>584</v>
      </c>
      <c r="E80" s="110"/>
      <c r="F80" s="286">
        <v>0</v>
      </c>
      <c r="G80" s="286">
        <f t="shared" ref="G80:I81" si="4">F80</f>
        <v>0</v>
      </c>
      <c r="H80" s="286">
        <f t="shared" si="4"/>
        <v>0</v>
      </c>
      <c r="I80" s="286">
        <f t="shared" si="4"/>
        <v>0</v>
      </c>
      <c r="J80" s="188"/>
      <c r="K80" s="91"/>
    </row>
    <row r="81" spans="2:11" x14ac:dyDescent="0.2">
      <c r="B81" s="224"/>
      <c r="C81" s="108"/>
      <c r="D81" s="109" t="s">
        <v>585</v>
      </c>
      <c r="E81" s="110"/>
      <c r="F81" s="286">
        <v>0</v>
      </c>
      <c r="G81" s="286">
        <f t="shared" si="4"/>
        <v>0</v>
      </c>
      <c r="H81" s="286">
        <f t="shared" si="4"/>
        <v>0</v>
      </c>
      <c r="I81" s="286">
        <f t="shared" si="4"/>
        <v>0</v>
      </c>
      <c r="J81" s="188"/>
      <c r="K81" s="91"/>
    </row>
    <row r="82" spans="2:11" x14ac:dyDescent="0.2">
      <c r="B82" s="183"/>
      <c r="C82" s="108"/>
      <c r="D82" s="134" t="s">
        <v>434</v>
      </c>
      <c r="E82" s="147"/>
      <c r="F82" s="930">
        <f>SUM(F78:F81)</f>
        <v>0</v>
      </c>
      <c r="G82" s="930">
        <f>SUM(G78:G81)</f>
        <v>0</v>
      </c>
      <c r="H82" s="930">
        <f>SUM(H78:H81)</f>
        <v>0</v>
      </c>
      <c r="I82" s="930">
        <f>SUM(I78:I81)</f>
        <v>0</v>
      </c>
      <c r="J82" s="188"/>
      <c r="K82" s="91"/>
    </row>
    <row r="83" spans="2:11" s="1018" customFormat="1" x14ac:dyDescent="0.2">
      <c r="B83" s="1019"/>
      <c r="C83" s="1020"/>
      <c r="D83" s="1021" t="s">
        <v>544</v>
      </c>
      <c r="E83" s="1022"/>
      <c r="F83" s="1023">
        <f>F82/geg!H$27</f>
        <v>0</v>
      </c>
      <c r="G83" s="1023">
        <f>G82/geg!I$27</f>
        <v>0</v>
      </c>
      <c r="H83" s="1023">
        <f>H82/geg!J$27</f>
        <v>0</v>
      </c>
      <c r="I83" s="1023">
        <f>I82/geg!K$27</f>
        <v>0</v>
      </c>
      <c r="J83" s="1024"/>
      <c r="K83" s="1025"/>
    </row>
    <row r="84" spans="2:11" x14ac:dyDescent="0.2">
      <c r="B84" s="224"/>
      <c r="C84" s="116"/>
      <c r="D84" s="117"/>
      <c r="E84" s="117"/>
      <c r="F84" s="235"/>
      <c r="G84" s="235"/>
      <c r="H84" s="235"/>
      <c r="I84" s="235"/>
      <c r="J84" s="151"/>
      <c r="K84" s="91"/>
    </row>
    <row r="85" spans="2:11" x14ac:dyDescent="0.2">
      <c r="B85" s="224"/>
      <c r="C85" s="88"/>
      <c r="D85" s="88"/>
      <c r="E85" s="88"/>
      <c r="F85" s="204"/>
      <c r="G85" s="204"/>
      <c r="H85" s="204"/>
      <c r="I85" s="204"/>
      <c r="J85" s="88"/>
      <c r="K85" s="91"/>
    </row>
    <row r="86" spans="2:11" ht="15" x14ac:dyDescent="0.25">
      <c r="B86" s="1034"/>
      <c r="C86" s="200"/>
      <c r="D86" s="200"/>
      <c r="E86" s="200"/>
      <c r="F86" s="555"/>
      <c r="G86" s="555"/>
      <c r="H86" s="555"/>
      <c r="I86" s="555"/>
      <c r="J86" s="176" t="s">
        <v>629</v>
      </c>
      <c r="K86" s="201"/>
    </row>
    <row r="87" spans="2:11" x14ac:dyDescent="0.2">
      <c r="B87" s="81"/>
      <c r="C87" s="82"/>
      <c r="D87" s="373"/>
      <c r="E87" s="82"/>
      <c r="F87" s="203"/>
      <c r="G87" s="663"/>
      <c r="H87" s="663"/>
      <c r="I87" s="663"/>
      <c r="J87" s="382"/>
      <c r="K87" s="85"/>
    </row>
    <row r="88" spans="2:11" x14ac:dyDescent="0.2">
      <c r="B88" s="87"/>
      <c r="C88" s="88"/>
      <c r="D88" s="383"/>
      <c r="E88" s="88"/>
      <c r="F88" s="204"/>
      <c r="G88" s="204"/>
      <c r="H88" s="204"/>
      <c r="I88" s="204"/>
      <c r="J88" s="88"/>
      <c r="K88" s="91"/>
    </row>
    <row r="89" spans="2:11" x14ac:dyDescent="0.2">
      <c r="B89" s="87"/>
      <c r="C89" s="88"/>
      <c r="D89" s="383"/>
      <c r="E89" s="88"/>
      <c r="F89" s="123">
        <f>F8</f>
        <v>2014</v>
      </c>
      <c r="G89" s="123">
        <f>G8</f>
        <v>2015</v>
      </c>
      <c r="H89" s="123">
        <f>H8</f>
        <v>2016</v>
      </c>
      <c r="I89" s="123">
        <f>I8</f>
        <v>2017</v>
      </c>
      <c r="J89" s="391"/>
      <c r="K89" s="91"/>
    </row>
    <row r="90" spans="2:11" x14ac:dyDescent="0.2">
      <c r="B90" s="87"/>
      <c r="C90" s="88"/>
      <c r="D90" s="383"/>
      <c r="E90" s="88"/>
      <c r="F90" s="891"/>
      <c r="G90" s="891"/>
      <c r="H90" s="891"/>
      <c r="I90" s="891"/>
      <c r="J90" s="391"/>
      <c r="K90" s="91"/>
    </row>
    <row r="91" spans="2:11" x14ac:dyDescent="0.2">
      <c r="B91" s="224"/>
      <c r="C91" s="104"/>
      <c r="D91" s="105"/>
      <c r="E91" s="105"/>
      <c r="F91" s="210"/>
      <c r="G91" s="210"/>
      <c r="H91" s="210"/>
      <c r="I91" s="210"/>
      <c r="J91" s="186"/>
      <c r="K91" s="91"/>
    </row>
    <row r="92" spans="2:11" x14ac:dyDescent="0.2">
      <c r="B92" s="224"/>
      <c r="C92" s="108"/>
      <c r="D92" s="260" t="s">
        <v>185</v>
      </c>
      <c r="E92" s="110"/>
      <c r="F92" s="930">
        <f>+(5/12*pers!H19+7/12*pers!I19)+(5/12*pers!H20+7/12*pers!I20)+mat!I17</f>
        <v>0</v>
      </c>
      <c r="G92" s="930">
        <f>+(5/12*pers!I19+7/12*pers!J19)+(5/12*pers!I20+7/12*pers!J20)+mat!J17</f>
        <v>0</v>
      </c>
      <c r="H92" s="930">
        <f>+(5/12*pers!J19+7/12*pers!K19)+(5/12*pers!J20+7/12*pers!K20)+mat!K17</f>
        <v>0</v>
      </c>
      <c r="I92" s="930">
        <f>+(5/12*pers!K19+7/12*pers!L19)+(5/12*pers!K20+7/12*pers!L20)+mat!L17</f>
        <v>0</v>
      </c>
      <c r="J92" s="188"/>
      <c r="K92" s="91"/>
    </row>
    <row r="93" spans="2:11" x14ac:dyDescent="0.2">
      <c r="B93" s="224"/>
      <c r="C93" s="108"/>
      <c r="D93" s="265" t="s">
        <v>186</v>
      </c>
      <c r="E93" s="265"/>
      <c r="F93" s="278">
        <f>5/12*geg!G31*(tab!D37+tab!D38*pers!H14)+7/12*geg!H31*(tab!E37+tab!E38*pers!I14)</f>
        <v>0</v>
      </c>
      <c r="G93" s="278">
        <f>5/12*geg!H31*(tab!$E37+tab!$E38*pers!I14)+7/12*geg!I31*(tab!$E37+tab!$E38*pers!J14)</f>
        <v>0</v>
      </c>
      <c r="H93" s="278">
        <f>5/12*geg!I31*(tab!$E37+tab!$E38*pers!J14)+7/12*geg!J31*(tab!$E37+tab!$E38*pers!K14)</f>
        <v>0</v>
      </c>
      <c r="I93" s="278">
        <f>5/12*geg!J31*(tab!$E37+tab!$E38*pers!K14)+7/12*geg!K31*(tab!$E37+tab!$E38*pers!L14)</f>
        <v>0</v>
      </c>
      <c r="J93" s="935"/>
      <c r="K93" s="91"/>
    </row>
    <row r="94" spans="2:11" s="243" customFormat="1" x14ac:dyDescent="0.2">
      <c r="B94" s="1030"/>
      <c r="C94" s="1035"/>
      <c r="D94" s="997" t="s">
        <v>544</v>
      </c>
      <c r="E94" s="1000"/>
      <c r="F94" s="999">
        <f>F92/geg!H$27</f>
        <v>0</v>
      </c>
      <c r="G94" s="999">
        <f>G92/geg!I$27</f>
        <v>0</v>
      </c>
      <c r="H94" s="999">
        <f>H92/geg!J$27</f>
        <v>0</v>
      </c>
      <c r="I94" s="999">
        <f>I92/geg!K$27</f>
        <v>0</v>
      </c>
      <c r="J94" s="1036"/>
      <c r="K94" s="1033"/>
    </row>
    <row r="95" spans="2:11" x14ac:dyDescent="0.2">
      <c r="B95" s="224"/>
      <c r="C95" s="108"/>
      <c r="D95" s="110"/>
      <c r="E95" s="110"/>
      <c r="F95" s="113"/>
      <c r="G95" s="113"/>
      <c r="H95" s="113"/>
      <c r="I95" s="113"/>
      <c r="J95" s="188"/>
      <c r="K95" s="91"/>
    </row>
    <row r="96" spans="2:11" x14ac:dyDescent="0.2">
      <c r="B96" s="224"/>
      <c r="C96" s="108"/>
      <c r="D96" s="260" t="s">
        <v>715</v>
      </c>
      <c r="E96" s="110"/>
      <c r="F96" s="930">
        <f>pers!I157+mat!I22+mat!I24</f>
        <v>57163.33</v>
      </c>
      <c r="G96" s="930">
        <f>pers!J157+mat!J22+mat!J24</f>
        <v>0</v>
      </c>
      <c r="H96" s="930">
        <f>pers!K157+mat!K22+mat!K24</f>
        <v>0</v>
      </c>
      <c r="I96" s="930">
        <f>pers!L157+mat!L22+mat!L24</f>
        <v>0</v>
      </c>
      <c r="J96" s="188"/>
      <c r="K96" s="91"/>
    </row>
    <row r="97" spans="2:11" s="243" customFormat="1" x14ac:dyDescent="0.2">
      <c r="B97" s="1030"/>
      <c r="C97" s="1035"/>
      <c r="D97" s="997" t="s">
        <v>544</v>
      </c>
      <c r="E97" s="1037"/>
      <c r="F97" s="999">
        <f>F96/geg!H$27</f>
        <v>259.83331818181819</v>
      </c>
      <c r="G97" s="999">
        <f>G96/geg!I$27</f>
        <v>0</v>
      </c>
      <c r="H97" s="999">
        <f>H96/geg!J$27</f>
        <v>0</v>
      </c>
      <c r="I97" s="999">
        <f>I96/geg!K$27</f>
        <v>0</v>
      </c>
      <c r="J97" s="1032"/>
      <c r="K97" s="1033"/>
    </row>
    <row r="98" spans="2:11" x14ac:dyDescent="0.2">
      <c r="B98" s="224"/>
      <c r="C98" s="108"/>
      <c r="D98" s="147"/>
      <c r="E98" s="110"/>
      <c r="F98" s="290"/>
      <c r="G98" s="290"/>
      <c r="H98" s="290"/>
      <c r="I98" s="290"/>
      <c r="J98" s="188"/>
      <c r="K98" s="91"/>
    </row>
    <row r="99" spans="2:11" x14ac:dyDescent="0.2">
      <c r="B99" s="224"/>
      <c r="C99" s="108"/>
      <c r="D99" s="260" t="s">
        <v>716</v>
      </c>
      <c r="E99" s="110"/>
      <c r="F99" s="930">
        <f>5/12*pers!H41+7/12*pers!I41+mat!I23</f>
        <v>0</v>
      </c>
      <c r="G99" s="930">
        <f>5/12*pers!I41+7/12*pers!J41+mat!J23</f>
        <v>0</v>
      </c>
      <c r="H99" s="930">
        <f>5/12*pers!J41+7/12*pers!K41+mat!K23</f>
        <v>0</v>
      </c>
      <c r="I99" s="930">
        <f>5/12*pers!K41+7/12*pers!L41+mat!L23</f>
        <v>0</v>
      </c>
      <c r="J99" s="188"/>
      <c r="K99" s="91"/>
    </row>
    <row r="100" spans="2:11" s="243" customFormat="1" x14ac:dyDescent="0.2">
      <c r="B100" s="1030"/>
      <c r="C100" s="1035"/>
      <c r="D100" s="997" t="s">
        <v>544</v>
      </c>
      <c r="E100" s="1037"/>
      <c r="F100" s="999">
        <f>F99/geg!H$27</f>
        <v>0</v>
      </c>
      <c r="G100" s="999">
        <f>G99/geg!I$27</f>
        <v>0</v>
      </c>
      <c r="H100" s="999">
        <f>H99/geg!J$27</f>
        <v>0</v>
      </c>
      <c r="I100" s="999">
        <f>I99/geg!K$27</f>
        <v>0</v>
      </c>
      <c r="J100" s="1032"/>
      <c r="K100" s="1033"/>
    </row>
    <row r="101" spans="2:11" x14ac:dyDescent="0.2">
      <c r="B101" s="224"/>
      <c r="C101" s="104"/>
      <c r="D101" s="105"/>
      <c r="E101" s="105"/>
      <c r="F101" s="210"/>
      <c r="G101" s="210"/>
      <c r="H101" s="210"/>
      <c r="I101" s="210"/>
      <c r="J101" s="186"/>
      <c r="K101" s="91"/>
    </row>
    <row r="102" spans="2:11" x14ac:dyDescent="0.2">
      <c r="B102" s="224"/>
      <c r="C102" s="108"/>
      <c r="D102" s="260" t="s">
        <v>717</v>
      </c>
      <c r="E102" s="110"/>
      <c r="F102" s="930">
        <f>+F96+F99</f>
        <v>57163.33</v>
      </c>
      <c r="G102" s="930">
        <f>+G96+G99</f>
        <v>0</v>
      </c>
      <c r="H102" s="930">
        <f>+H96+H99</f>
        <v>0</v>
      </c>
      <c r="I102" s="930">
        <f>+I96+I99</f>
        <v>0</v>
      </c>
      <c r="J102" s="188"/>
      <c r="K102" s="91"/>
    </row>
    <row r="103" spans="2:11" x14ac:dyDescent="0.2">
      <c r="B103" s="87"/>
      <c r="C103" s="108"/>
      <c r="D103" s="997" t="s">
        <v>544</v>
      </c>
      <c r="E103" s="1037"/>
      <c r="F103" s="999">
        <f>F102/geg!H$27</f>
        <v>259.83331818181819</v>
      </c>
      <c r="G103" s="999">
        <f>G102/geg!I$27</f>
        <v>0</v>
      </c>
      <c r="H103" s="999">
        <f>H102/geg!J$27</f>
        <v>0</v>
      </c>
      <c r="I103" s="999">
        <f>I102/geg!K$27</f>
        <v>0</v>
      </c>
      <c r="J103" s="935"/>
      <c r="K103" s="91"/>
    </row>
    <row r="104" spans="2:11" x14ac:dyDescent="0.2">
      <c r="B104" s="224"/>
      <c r="C104" s="1113"/>
      <c r="D104" s="1114"/>
      <c r="E104" s="1115"/>
      <c r="F104" s="1116"/>
      <c r="G104" s="1116"/>
      <c r="H104" s="1116"/>
      <c r="I104" s="1116"/>
      <c r="J104" s="1117"/>
      <c r="K104" s="91"/>
    </row>
    <row r="105" spans="2:11" x14ac:dyDescent="0.2">
      <c r="B105" s="224"/>
      <c r="C105" s="88"/>
      <c r="D105" s="88"/>
      <c r="E105" s="88"/>
      <c r="F105" s="204"/>
      <c r="G105" s="204"/>
      <c r="H105" s="204"/>
      <c r="I105" s="204"/>
      <c r="J105" s="88"/>
      <c r="K105" s="91"/>
    </row>
    <row r="106" spans="2:11" x14ac:dyDescent="0.2">
      <c r="B106" s="87"/>
      <c r="C106" s="104"/>
      <c r="D106" s="105"/>
      <c r="E106" s="105"/>
      <c r="F106" s="210"/>
      <c r="G106" s="210"/>
      <c r="H106" s="210"/>
      <c r="I106" s="210"/>
      <c r="J106" s="186"/>
      <c r="K106" s="91"/>
    </row>
    <row r="107" spans="2:11" x14ac:dyDescent="0.2">
      <c r="B107" s="87"/>
      <c r="C107" s="108"/>
      <c r="D107" s="260" t="s">
        <v>3</v>
      </c>
      <c r="E107" s="110"/>
      <c r="F107" s="1110">
        <f>0.583333333333333*(dir!L26+op!L71+obp!L36)+0.416666666666667*(dir!L48+op!L139+obp!L68)</f>
        <v>0.125</v>
      </c>
      <c r="G107" s="1110">
        <f>0.583333333333333*(dir!L48+op!L139+obp!L68)+0.416666666666667*(dir!L71+op!L207+obp!L101)</f>
        <v>0.125</v>
      </c>
      <c r="H107" s="1110">
        <f>0.583333333333333*(dir!L71+op!L207+obp!L101)+0.416666666666667*(dir!L93+op!L274+obp!L133)</f>
        <v>0.125</v>
      </c>
      <c r="I107" s="1110">
        <f>0.583333333333333*(dir!L93+op!L274+obp!L133)+0.416666666666667*(dir!L115+op!L341+obp!L165)</f>
        <v>0.125</v>
      </c>
      <c r="J107" s="188"/>
      <c r="K107" s="91"/>
    </row>
    <row r="108" spans="2:11" x14ac:dyDescent="0.2">
      <c r="B108" s="87"/>
      <c r="C108" s="108"/>
      <c r="D108" s="110" t="s">
        <v>201</v>
      </c>
      <c r="E108" s="110"/>
      <c r="F108" s="278">
        <f>7/12*(dir!S26+op!S71+obp!S36)+5/12*(dir!S48+op!S139+obp!S68)</f>
        <v>6236.9700000000012</v>
      </c>
      <c r="G108" s="278">
        <f>7/12*(dir!S48+op!S139+obp!S68)+5/12*(dir!S71+op!S207+obp!S101)</f>
        <v>6236.9700000000012</v>
      </c>
      <c r="H108" s="278">
        <f>7/12*(dir!S71+op!S207+obp!S101)+5/12*(dir!S93+op!S274+obp!S133)</f>
        <v>6236.9700000000012</v>
      </c>
      <c r="I108" s="278">
        <f>7/12*(dir!S93+op!S274+obp!S133)+5/12*(dir!S115+op!S341+obp!S165)</f>
        <v>6236.9700000000012</v>
      </c>
      <c r="J108" s="935"/>
      <c r="K108" s="91"/>
    </row>
    <row r="109" spans="2:11" x14ac:dyDescent="0.2">
      <c r="B109" s="87"/>
      <c r="C109" s="1113"/>
      <c r="D109" s="1114"/>
      <c r="E109" s="1115"/>
      <c r="F109" s="1116"/>
      <c r="G109" s="1116"/>
      <c r="H109" s="1116"/>
      <c r="I109" s="1116"/>
      <c r="J109" s="1117"/>
      <c r="K109" s="91"/>
    </row>
    <row r="110" spans="2:11" x14ac:dyDescent="0.2">
      <c r="B110" s="87"/>
      <c r="C110" s="88"/>
      <c r="D110" s="88"/>
      <c r="E110" s="88"/>
      <c r="F110" s="204"/>
      <c r="G110" s="204"/>
      <c r="H110" s="204"/>
      <c r="I110" s="204"/>
      <c r="J110" s="88"/>
      <c r="K110" s="91"/>
    </row>
    <row r="111" spans="2:11" x14ac:dyDescent="0.2">
      <c r="B111" s="87"/>
      <c r="C111" s="104"/>
      <c r="D111" s="459"/>
      <c r="E111" s="105"/>
      <c r="F111" s="210"/>
      <c r="G111" s="1040"/>
      <c r="H111" s="1040"/>
      <c r="I111" s="1040"/>
      <c r="J111" s="1038"/>
      <c r="K111" s="91"/>
    </row>
    <row r="112" spans="2:11" x14ac:dyDescent="0.2">
      <c r="B112" s="87"/>
      <c r="C112" s="108"/>
      <c r="D112" s="1118" t="s">
        <v>341</v>
      </c>
      <c r="E112" s="110"/>
      <c r="F112" s="216">
        <f>F89</f>
        <v>2014</v>
      </c>
      <c r="G112" s="216">
        <f>G89</f>
        <v>2015</v>
      </c>
      <c r="H112" s="216">
        <f>H89</f>
        <v>2016</v>
      </c>
      <c r="I112" s="216">
        <f>I89</f>
        <v>2017</v>
      </c>
      <c r="J112" s="1041"/>
      <c r="K112" s="91"/>
    </row>
    <row r="113" spans="2:11" x14ac:dyDescent="0.2">
      <c r="B113" s="87"/>
      <c r="C113" s="108"/>
      <c r="D113" s="222"/>
      <c r="E113" s="110"/>
      <c r="F113" s="113"/>
      <c r="G113" s="290"/>
      <c r="H113" s="290"/>
      <c r="I113" s="290"/>
      <c r="J113" s="1041"/>
      <c r="K113" s="91"/>
    </row>
    <row r="114" spans="2:11" x14ac:dyDescent="0.2">
      <c r="B114" s="87"/>
      <c r="C114" s="108"/>
      <c r="D114" s="222" t="s">
        <v>44</v>
      </c>
      <c r="E114" s="110"/>
      <c r="F114" s="1042">
        <f>begr!H14/F16</f>
        <v>1</v>
      </c>
      <c r="G114" s="1042">
        <f>begr!I14/G16</f>
        <v>1</v>
      </c>
      <c r="H114" s="1042">
        <f>begr!J14/H16</f>
        <v>1</v>
      </c>
      <c r="I114" s="1042">
        <f>begr!K14/I16</f>
        <v>1</v>
      </c>
      <c r="J114" s="1041"/>
      <c r="K114" s="91"/>
    </row>
    <row r="115" spans="2:11" x14ac:dyDescent="0.2">
      <c r="B115" s="87"/>
      <c r="C115" s="108"/>
      <c r="D115" s="222" t="s">
        <v>45</v>
      </c>
      <c r="E115" s="110"/>
      <c r="F115" s="1042">
        <f>begr!H15/F16</f>
        <v>0</v>
      </c>
      <c r="G115" s="1042">
        <f>begr!I15/G16</f>
        <v>0</v>
      </c>
      <c r="H115" s="1042">
        <f>begr!J15/H16</f>
        <v>0</v>
      </c>
      <c r="I115" s="1042">
        <f>begr!K15/I16</f>
        <v>0</v>
      </c>
      <c r="J115" s="1041"/>
      <c r="K115" s="91"/>
    </row>
    <row r="116" spans="2:11" x14ac:dyDescent="0.2">
      <c r="B116" s="87"/>
      <c r="C116" s="108"/>
      <c r="D116" s="222" t="s">
        <v>46</v>
      </c>
      <c r="E116" s="110"/>
      <c r="F116" s="1042">
        <f>(begr!H17+begr!H18)/F16</f>
        <v>0</v>
      </c>
      <c r="G116" s="1042">
        <f>(begr!I17+begr!I18)/G16</f>
        <v>0</v>
      </c>
      <c r="H116" s="1042">
        <f>(begr!J17+begr!J18)/H16</f>
        <v>0</v>
      </c>
      <c r="I116" s="1042">
        <f>(begr!K17+begr!K18)/I16</f>
        <v>0</v>
      </c>
      <c r="J116" s="1041"/>
      <c r="K116" s="91"/>
    </row>
    <row r="117" spans="2:11" x14ac:dyDescent="0.2">
      <c r="B117" s="87"/>
      <c r="C117" s="108"/>
      <c r="D117" s="222" t="s">
        <v>47</v>
      </c>
      <c r="E117" s="332"/>
      <c r="F117" s="1042">
        <f>act!G29/F16</f>
        <v>0</v>
      </c>
      <c r="G117" s="1042">
        <f>act!H29/G16</f>
        <v>0</v>
      </c>
      <c r="H117" s="1042">
        <f>act!I29/H16</f>
        <v>0</v>
      </c>
      <c r="I117" s="1042">
        <f>act!J29/I16</f>
        <v>0</v>
      </c>
      <c r="J117" s="1041"/>
      <c r="K117" s="91"/>
    </row>
    <row r="118" spans="2:11" x14ac:dyDescent="0.2">
      <c r="B118" s="87"/>
      <c r="C118" s="108"/>
      <c r="D118" s="222"/>
      <c r="E118" s="332"/>
      <c r="F118" s="1043"/>
      <c r="G118" s="1043"/>
      <c r="H118" s="1043"/>
      <c r="I118" s="1043"/>
      <c r="J118" s="1041"/>
      <c r="K118" s="91"/>
    </row>
    <row r="119" spans="2:11" x14ac:dyDescent="0.2">
      <c r="B119" s="87"/>
      <c r="C119" s="108"/>
      <c r="D119" s="1119" t="s">
        <v>623</v>
      </c>
      <c r="E119" s="134"/>
      <c r="F119" s="1044"/>
      <c r="G119" s="1044"/>
      <c r="H119" s="1044"/>
      <c r="I119" s="1044"/>
      <c r="J119" s="1041"/>
      <c r="K119" s="91"/>
    </row>
    <row r="120" spans="2:11" x14ac:dyDescent="0.2">
      <c r="B120" s="87"/>
      <c r="C120" s="1045"/>
      <c r="D120" s="1046" t="s">
        <v>446</v>
      </c>
      <c r="E120" s="332"/>
      <c r="F120" s="1047">
        <f>bal!G36</f>
        <v>836766.60333333339</v>
      </c>
      <c r="G120" s="1047">
        <f>bal!H36</f>
        <v>1580042.08</v>
      </c>
      <c r="H120" s="1047">
        <f>bal!I36</f>
        <v>2331596.1566666667</v>
      </c>
      <c r="I120" s="1047">
        <f>bal!J36</f>
        <v>3091428.8333333335</v>
      </c>
      <c r="J120" s="1048"/>
      <c r="K120" s="91"/>
    </row>
    <row r="121" spans="2:11" x14ac:dyDescent="0.2">
      <c r="B121" s="87"/>
      <c r="C121" s="1045"/>
      <c r="D121" s="1046" t="s">
        <v>447</v>
      </c>
      <c r="E121" s="332"/>
      <c r="F121" s="1047">
        <f>bal!G25</f>
        <v>836766.60333333339</v>
      </c>
      <c r="G121" s="1047">
        <f>bal!H25</f>
        <v>1580042.08</v>
      </c>
      <c r="H121" s="1047">
        <f>bal!I25</f>
        <v>2331596.1566666667</v>
      </c>
      <c r="I121" s="1047">
        <f>bal!J25</f>
        <v>3091428.8333333335</v>
      </c>
      <c r="J121" s="1048"/>
      <c r="K121" s="91"/>
    </row>
    <row r="122" spans="2:11" x14ac:dyDescent="0.2">
      <c r="B122" s="87"/>
      <c r="C122" s="1045"/>
      <c r="D122" s="1046"/>
      <c r="E122" s="332"/>
      <c r="F122" s="1174">
        <f>F120/F121</f>
        <v>1</v>
      </c>
      <c r="G122" s="1174">
        <f>G120/G121</f>
        <v>1</v>
      </c>
      <c r="H122" s="1174">
        <f>H120/H121</f>
        <v>1</v>
      </c>
      <c r="I122" s="1174">
        <f>I120/I121</f>
        <v>1</v>
      </c>
      <c r="J122" s="1048"/>
      <c r="K122" s="91"/>
    </row>
    <row r="123" spans="2:11" x14ac:dyDescent="0.2">
      <c r="B123" s="87"/>
      <c r="C123" s="108"/>
      <c r="D123" s="1119" t="s">
        <v>284</v>
      </c>
      <c r="E123" s="335"/>
      <c r="F123" s="290"/>
      <c r="G123" s="290"/>
      <c r="H123" s="290"/>
      <c r="I123" s="290"/>
      <c r="J123" s="1041"/>
      <c r="K123" s="91"/>
    </row>
    <row r="124" spans="2:11" x14ac:dyDescent="0.2">
      <c r="B124" s="87"/>
      <c r="C124" s="108"/>
      <c r="D124" s="1046" t="s">
        <v>501</v>
      </c>
      <c r="E124" s="332"/>
      <c r="F124" s="1047">
        <f>bal!G23</f>
        <v>806766.60333333339</v>
      </c>
      <c r="G124" s="1047">
        <f>bal!H23</f>
        <v>1560042.08</v>
      </c>
      <c r="H124" s="1047">
        <f>bal!I23</f>
        <v>2321596.1566666667</v>
      </c>
      <c r="I124" s="1047">
        <f>bal!J23</f>
        <v>3091428.8333333335</v>
      </c>
      <c r="J124" s="1041"/>
      <c r="K124" s="91"/>
    </row>
    <row r="125" spans="2:11" x14ac:dyDescent="0.2">
      <c r="B125" s="87"/>
      <c r="C125" s="108"/>
      <c r="D125" s="1046" t="s">
        <v>448</v>
      </c>
      <c r="E125" s="332"/>
      <c r="F125" s="1047">
        <f>bal!G54</f>
        <v>0</v>
      </c>
      <c r="G125" s="1047">
        <f>bal!H54</f>
        <v>0</v>
      </c>
      <c r="H125" s="1047">
        <f>bal!I54</f>
        <v>0</v>
      </c>
      <c r="I125" s="1047">
        <f>bal!J54</f>
        <v>0</v>
      </c>
      <c r="J125" s="1041"/>
      <c r="K125" s="91"/>
    </row>
    <row r="126" spans="2:11" x14ac:dyDescent="0.2">
      <c r="B126" s="87"/>
      <c r="C126" s="108"/>
      <c r="D126" s="1046"/>
      <c r="E126" s="332"/>
      <c r="F126" s="1122" t="str">
        <f>IF(F125=0,"-",F124/F125)</f>
        <v>-</v>
      </c>
      <c r="G126" s="1122" t="str">
        <f>IF(G125=0,"-",G124/G125)</f>
        <v>-</v>
      </c>
      <c r="H126" s="1122" t="str">
        <f>IF(H125=0,"-",H124/H125)</f>
        <v>-</v>
      </c>
      <c r="I126" s="1122" t="str">
        <f>IF(I125=0,"-",I124/I125)</f>
        <v>-</v>
      </c>
      <c r="J126" s="1041"/>
      <c r="K126" s="91"/>
    </row>
    <row r="127" spans="2:11" x14ac:dyDescent="0.2">
      <c r="B127" s="87"/>
      <c r="C127" s="108"/>
      <c r="D127" s="1119" t="s">
        <v>345</v>
      </c>
      <c r="E127" s="335"/>
      <c r="F127" s="290"/>
      <c r="G127" s="290"/>
      <c r="H127" s="290"/>
      <c r="I127" s="290"/>
      <c r="J127" s="1041"/>
      <c r="K127" s="91"/>
    </row>
    <row r="128" spans="2:11" x14ac:dyDescent="0.2">
      <c r="B128" s="87"/>
      <c r="C128" s="108"/>
      <c r="D128" s="109" t="s">
        <v>489</v>
      </c>
      <c r="E128" s="332"/>
      <c r="F128" s="1047">
        <f>begr!H29</f>
        <v>796766.60333333339</v>
      </c>
      <c r="G128" s="1047">
        <f>begr!I29</f>
        <v>743275.47666666668</v>
      </c>
      <c r="H128" s="1047">
        <f>begr!J29</f>
        <v>751554.07666666678</v>
      </c>
      <c r="I128" s="1047">
        <f>begr!K29</f>
        <v>759832.67666666664</v>
      </c>
      <c r="J128" s="1041"/>
      <c r="K128" s="91"/>
    </row>
    <row r="129" spans="2:11" x14ac:dyDescent="0.2">
      <c r="B129" s="87"/>
      <c r="C129" s="108"/>
      <c r="D129" s="1046" t="s">
        <v>490</v>
      </c>
      <c r="E129" s="332"/>
      <c r="F129" s="1047">
        <f>begr!H19</f>
        <v>991438.47333333339</v>
      </c>
      <c r="G129" s="1047">
        <f>begr!I19</f>
        <v>937947.34666666668</v>
      </c>
      <c r="H129" s="1047">
        <f>begr!J19</f>
        <v>946225.94666666677</v>
      </c>
      <c r="I129" s="1047">
        <f>begr!K19</f>
        <v>954504.54666666663</v>
      </c>
      <c r="J129" s="1041"/>
      <c r="K129" s="91"/>
    </row>
    <row r="130" spans="2:11" x14ac:dyDescent="0.2">
      <c r="B130" s="87"/>
      <c r="C130" s="108"/>
      <c r="D130" s="1046"/>
      <c r="E130" s="332"/>
      <c r="F130" s="1175">
        <f>F128/F129</f>
        <v>0.80364704897370975</v>
      </c>
      <c r="G130" s="1175">
        <f>G128/G129</f>
        <v>0.79244904237765956</v>
      </c>
      <c r="H130" s="1175">
        <f>H128/H129</f>
        <v>0.79426492088302636</v>
      </c>
      <c r="I130" s="1175">
        <f>I128/I129</f>
        <v>0.79604930046710032</v>
      </c>
      <c r="J130" s="1041"/>
      <c r="K130" s="91"/>
    </row>
    <row r="131" spans="2:11" x14ac:dyDescent="0.2">
      <c r="B131" s="87"/>
      <c r="C131" s="108"/>
      <c r="D131" s="1120" t="s">
        <v>366</v>
      </c>
      <c r="E131" s="332"/>
      <c r="F131" s="1049"/>
      <c r="G131" s="1049"/>
      <c r="H131" s="1049"/>
      <c r="I131" s="1049"/>
      <c r="J131" s="1041"/>
      <c r="K131" s="91"/>
    </row>
    <row r="132" spans="2:11" x14ac:dyDescent="0.2">
      <c r="B132" s="87"/>
      <c r="C132" s="108"/>
      <c r="D132" s="1046" t="s">
        <v>450</v>
      </c>
      <c r="E132" s="332"/>
      <c r="F132" s="278">
        <f>bal!G36</f>
        <v>836766.60333333339</v>
      </c>
      <c r="G132" s="278">
        <f>bal!H36</f>
        <v>1580042.08</v>
      </c>
      <c r="H132" s="278">
        <f>bal!I36</f>
        <v>2331596.1566666667</v>
      </c>
      <c r="I132" s="278">
        <f>bal!J36</f>
        <v>3091428.8333333335</v>
      </c>
      <c r="J132" s="1041"/>
      <c r="K132" s="91"/>
    </row>
    <row r="133" spans="2:11" x14ac:dyDescent="0.2">
      <c r="B133" s="87"/>
      <c r="C133" s="108"/>
      <c r="D133" s="1046" t="s">
        <v>451</v>
      </c>
      <c r="E133" s="332"/>
      <c r="F133" s="278">
        <f>bal!G15</f>
        <v>30000</v>
      </c>
      <c r="G133" s="278">
        <f>bal!H15</f>
        <v>20000</v>
      </c>
      <c r="H133" s="278">
        <f>bal!I15</f>
        <v>10000</v>
      </c>
      <c r="I133" s="278">
        <f>bal!J15</f>
        <v>0</v>
      </c>
      <c r="J133" s="1041"/>
      <c r="K133" s="91"/>
    </row>
    <row r="134" spans="2:11" x14ac:dyDescent="0.2">
      <c r="B134" s="87"/>
      <c r="C134" s="108"/>
      <c r="D134" s="1046" t="s">
        <v>452</v>
      </c>
      <c r="E134" s="332"/>
      <c r="F134" s="278">
        <f>begr!H14</f>
        <v>991438.47333333339</v>
      </c>
      <c r="G134" s="278">
        <f>begr!I14</f>
        <v>937947.34666666668</v>
      </c>
      <c r="H134" s="278">
        <f>begr!J14</f>
        <v>946225.94666666677</v>
      </c>
      <c r="I134" s="278">
        <f>begr!K14</f>
        <v>954504.54666666663</v>
      </c>
      <c r="J134" s="1041"/>
      <c r="K134" s="91"/>
    </row>
    <row r="135" spans="2:11" x14ac:dyDescent="0.2">
      <c r="B135" s="87"/>
      <c r="C135" s="108"/>
      <c r="D135" s="1046"/>
      <c r="E135" s="332"/>
      <c r="F135" s="1123">
        <f>(F132-F133)/F134</f>
        <v>0.81373340356753421</v>
      </c>
      <c r="G135" s="1123">
        <f>(G132-G133)/G134</f>
        <v>1.6632512321125177</v>
      </c>
      <c r="H135" s="1123">
        <f>(H132-H133)/H134</f>
        <v>2.4535325466872986</v>
      </c>
      <c r="I135" s="1123">
        <f>(I132-I133)/I134</f>
        <v>3.2387785308401749</v>
      </c>
      <c r="J135" s="1041"/>
      <c r="K135" s="91"/>
    </row>
    <row r="136" spans="2:11" x14ac:dyDescent="0.2">
      <c r="B136" s="87"/>
      <c r="C136" s="1050"/>
      <c r="D136" s="1121" t="s">
        <v>48</v>
      </c>
      <c r="E136" s="1051"/>
      <c r="F136" s="1049"/>
      <c r="G136" s="1049"/>
      <c r="H136" s="1049"/>
      <c r="I136" s="1049"/>
      <c r="J136" s="1041"/>
      <c r="K136" s="91"/>
    </row>
    <row r="137" spans="2:11" x14ac:dyDescent="0.2">
      <c r="B137" s="87"/>
      <c r="C137" s="1050"/>
      <c r="D137" s="1052" t="s">
        <v>49</v>
      </c>
      <c r="E137" s="1051"/>
      <c r="F137" s="1047">
        <f>bal!G25</f>
        <v>836766.60333333339</v>
      </c>
      <c r="G137" s="1047">
        <f>bal!H25</f>
        <v>1580042.08</v>
      </c>
      <c r="H137" s="1047">
        <f>bal!I25</f>
        <v>2331596.1566666667</v>
      </c>
      <c r="I137" s="1047">
        <f>bal!J25</f>
        <v>3091428.8333333335</v>
      </c>
      <c r="J137" s="1041"/>
      <c r="K137" s="91"/>
    </row>
    <row r="138" spans="2:11" x14ac:dyDescent="0.2">
      <c r="B138" s="87"/>
      <c r="C138" s="1050"/>
      <c r="D138" s="1052" t="s">
        <v>449</v>
      </c>
      <c r="E138" s="1051"/>
      <c r="F138" s="1047">
        <f>F16</f>
        <v>991438.47333333339</v>
      </c>
      <c r="G138" s="1047">
        <f>G16</f>
        <v>937947.34666666668</v>
      </c>
      <c r="H138" s="1047">
        <f>H16</f>
        <v>946225.94666666677</v>
      </c>
      <c r="I138" s="1047">
        <f>I16</f>
        <v>954504.54666666663</v>
      </c>
      <c r="J138" s="1041"/>
      <c r="K138" s="91"/>
    </row>
    <row r="139" spans="2:11" x14ac:dyDescent="0.2">
      <c r="B139" s="87"/>
      <c r="C139" s="1050"/>
      <c r="D139" s="1052"/>
      <c r="E139" s="1051"/>
      <c r="F139" s="1174">
        <f>F137/F138</f>
        <v>0.84399246734900768</v>
      </c>
      <c r="G139" s="1174">
        <f>G137/G138</f>
        <v>1.6845743906790163</v>
      </c>
      <c r="H139" s="1174">
        <f>H137/H138</f>
        <v>2.4641008470337722</v>
      </c>
      <c r="I139" s="1174">
        <f>I137/I138</f>
        <v>3.2387785308401749</v>
      </c>
      <c r="J139" s="1041"/>
      <c r="K139" s="91"/>
    </row>
    <row r="140" spans="2:11" x14ac:dyDescent="0.2">
      <c r="B140" s="87"/>
      <c r="C140" s="1053"/>
      <c r="D140" s="1054"/>
      <c r="E140" s="1055"/>
      <c r="F140" s="1004"/>
      <c r="G140" s="1004"/>
      <c r="H140" s="1004"/>
      <c r="I140" s="1004"/>
      <c r="J140" s="1039"/>
      <c r="K140" s="91"/>
    </row>
    <row r="141" spans="2:11" x14ac:dyDescent="0.2">
      <c r="B141" s="87"/>
      <c r="C141" s="14"/>
      <c r="D141" s="383"/>
      <c r="E141" s="88"/>
      <c r="F141" s="204"/>
      <c r="G141" s="204"/>
      <c r="H141" s="204"/>
      <c r="I141" s="204"/>
      <c r="J141" s="88"/>
      <c r="K141" s="91"/>
    </row>
    <row r="142" spans="2:11" x14ac:dyDescent="0.2">
      <c r="B142" s="87"/>
      <c r="C142" s="1056"/>
      <c r="D142" s="459"/>
      <c r="E142" s="105"/>
      <c r="F142" s="210"/>
      <c r="G142" s="210"/>
      <c r="H142" s="210"/>
      <c r="I142" s="210"/>
      <c r="J142" s="186"/>
      <c r="K142" s="91"/>
    </row>
    <row r="143" spans="2:11" x14ac:dyDescent="0.2">
      <c r="B143" s="87"/>
      <c r="C143" s="108"/>
      <c r="D143" s="1118" t="s">
        <v>586</v>
      </c>
      <c r="E143" s="226"/>
      <c r="F143" s="216">
        <f>F8</f>
        <v>2014</v>
      </c>
      <c r="G143" s="216">
        <f>G8</f>
        <v>2015</v>
      </c>
      <c r="H143" s="216">
        <f>H8</f>
        <v>2016</v>
      </c>
      <c r="I143" s="216">
        <f>I8</f>
        <v>2017</v>
      </c>
      <c r="J143" s="1041"/>
      <c r="K143" s="91"/>
    </row>
    <row r="144" spans="2:11" x14ac:dyDescent="0.2">
      <c r="B144" s="87"/>
      <c r="C144" s="108"/>
      <c r="D144" s="1057"/>
      <c r="E144" s="226"/>
      <c r="F144" s="113"/>
      <c r="G144" s="290"/>
      <c r="H144" s="290"/>
      <c r="I144" s="290"/>
      <c r="J144" s="1041"/>
      <c r="K144" s="91"/>
    </row>
    <row r="145" spans="2:11" x14ac:dyDescent="0.2">
      <c r="B145" s="87"/>
      <c r="C145" s="1058"/>
      <c r="D145" s="222" t="s">
        <v>418</v>
      </c>
      <c r="E145" s="110"/>
      <c r="F145" s="1180">
        <f>F16/F28</f>
        <v>5.0928697265472067</v>
      </c>
      <c r="G145" s="1180">
        <f>G16/G28</f>
        <v>4.81809388622335</v>
      </c>
      <c r="H145" s="1180">
        <f>H16/H28</f>
        <v>4.8606198043233819</v>
      </c>
      <c r="I145" s="1180">
        <f>I16/I28</f>
        <v>4.903145722423413</v>
      </c>
      <c r="J145" s="1059"/>
      <c r="K145" s="91"/>
    </row>
    <row r="146" spans="2:11" x14ac:dyDescent="0.2">
      <c r="B146" s="87"/>
      <c r="C146" s="108"/>
      <c r="D146" s="222" t="s">
        <v>620</v>
      </c>
      <c r="E146" s="226"/>
      <c r="F146" s="1180">
        <f>pers!I160/pers!I161</f>
        <v>4.583106421856959</v>
      </c>
      <c r="G146" s="1180">
        <f>pers!J160/pers!J161</f>
        <v>4.3277452958410327</v>
      </c>
      <c r="H146" s="1180">
        <f>pers!K160/pers!K161</f>
        <v>4.3725739966063415</v>
      </c>
      <c r="I146" s="1180">
        <f>pers!L160/pers!L161</f>
        <v>4.4174026973716494</v>
      </c>
      <c r="J146" s="1041"/>
      <c r="K146" s="91"/>
    </row>
    <row r="147" spans="2:11" x14ac:dyDescent="0.2">
      <c r="B147" s="87"/>
      <c r="C147" s="108"/>
      <c r="D147" s="222" t="s">
        <v>406</v>
      </c>
      <c r="E147" s="226"/>
      <c r="F147" s="1180">
        <f>mat!I47/mat!I159</f>
        <v>14.506764000000002</v>
      </c>
      <c r="G147" s="1180">
        <f>mat!J47/mat!J159</f>
        <v>13.873453</v>
      </c>
      <c r="H147" s="1180">
        <f>mat!K47/mat!K159</f>
        <v>13.873453</v>
      </c>
      <c r="I147" s="1180">
        <f>mat!L47/mat!L159</f>
        <v>13.873453</v>
      </c>
      <c r="J147" s="1041"/>
      <c r="K147" s="91"/>
    </row>
    <row r="148" spans="2:11" x14ac:dyDescent="0.2">
      <c r="B148" s="87"/>
      <c r="C148" s="1058"/>
      <c r="D148" s="222" t="s">
        <v>587</v>
      </c>
      <c r="E148" s="110"/>
      <c r="F148" s="278">
        <f>mat!I159/geg!H27</f>
        <v>45.454545454545453</v>
      </c>
      <c r="G148" s="278">
        <f>mat!J159/geg!I27</f>
        <v>45.454545454545453</v>
      </c>
      <c r="H148" s="278">
        <f>mat!K159/geg!J27</f>
        <v>45.454545454545453</v>
      </c>
      <c r="I148" s="278">
        <f>mat!L159/geg!K27</f>
        <v>45.454545454545453</v>
      </c>
      <c r="J148" s="1059"/>
      <c r="K148" s="91"/>
    </row>
    <row r="149" spans="2:11" x14ac:dyDescent="0.2">
      <c r="B149" s="87"/>
      <c r="C149" s="1058"/>
      <c r="D149" s="222" t="s">
        <v>417</v>
      </c>
      <c r="E149" s="110"/>
      <c r="F149" s="278">
        <f>begr!H21/geg!H27</f>
        <v>839.4175909090909</v>
      </c>
      <c r="G149" s="278">
        <f>begr!I21/geg!I27</f>
        <v>839.4175909090909</v>
      </c>
      <c r="H149" s="278">
        <f>begr!J21/geg!J27</f>
        <v>839.4175909090909</v>
      </c>
      <c r="I149" s="278">
        <f>begr!K21/geg!K27</f>
        <v>839.4175909090909</v>
      </c>
      <c r="J149" s="1059"/>
      <c r="K149" s="91"/>
    </row>
    <row r="150" spans="2:11" x14ac:dyDescent="0.2">
      <c r="B150" s="87"/>
      <c r="C150" s="1058"/>
      <c r="D150" s="222" t="s">
        <v>531</v>
      </c>
      <c r="E150" s="110"/>
      <c r="F150" s="278">
        <f>pers!I155/ken!F204</f>
        <v>98491.664000000004</v>
      </c>
      <c r="G150" s="278">
        <f>pers!J155/ken!G204</f>
        <v>98491.664000000004</v>
      </c>
      <c r="H150" s="278">
        <f>pers!K155/ken!H204</f>
        <v>98491.664000000004</v>
      </c>
      <c r="I150" s="278">
        <f>pers!L155/ken!I204</f>
        <v>98491.664000000004</v>
      </c>
      <c r="J150" s="1041"/>
      <c r="K150" s="91"/>
    </row>
    <row r="151" spans="2:11" x14ac:dyDescent="0.2">
      <c r="B151" s="87"/>
      <c r="C151" s="1058"/>
      <c r="D151" s="222"/>
      <c r="E151" s="110"/>
      <c r="F151" s="290"/>
      <c r="G151" s="290"/>
      <c r="H151" s="290"/>
      <c r="I151" s="290"/>
      <c r="J151" s="1059"/>
      <c r="K151" s="91"/>
    </row>
    <row r="152" spans="2:11" x14ac:dyDescent="0.2">
      <c r="B152" s="87"/>
      <c r="C152" s="1058"/>
      <c r="D152" s="222" t="s">
        <v>407</v>
      </c>
      <c r="E152" s="110"/>
      <c r="F152" s="1180">
        <f>pers!I145/F16</f>
        <v>0.85367963428707239</v>
      </c>
      <c r="G152" s="1180">
        <f>pers!J145/G16</f>
        <v>0.85208708090806684</v>
      </c>
      <c r="H152" s="1180">
        <f>pers!K145/H16</f>
        <v>0.85338118185330958</v>
      </c>
      <c r="I152" s="1180">
        <f>pers!L145/I16</f>
        <v>0.85465283482986998</v>
      </c>
      <c r="J152" s="1059"/>
      <c r="K152" s="91"/>
    </row>
    <row r="153" spans="2:11" x14ac:dyDescent="0.2">
      <c r="B153" s="87"/>
      <c r="C153" s="1058"/>
      <c r="D153" s="222" t="s">
        <v>453</v>
      </c>
      <c r="E153" s="110"/>
      <c r="F153" s="1180">
        <f>begr!H21/F28</f>
        <v>0.94863151003789092</v>
      </c>
      <c r="G153" s="1180">
        <f>begr!I21/G28</f>
        <v>0.94863151003789092</v>
      </c>
      <c r="H153" s="1180">
        <f>begr!J21/H28</f>
        <v>0.94863151003789092</v>
      </c>
      <c r="I153" s="1180">
        <f>begr!K21/I28</f>
        <v>0.94863151003789092</v>
      </c>
      <c r="J153" s="1041"/>
      <c r="K153" s="91"/>
    </row>
    <row r="154" spans="2:11" x14ac:dyDescent="0.2">
      <c r="B154" s="87"/>
      <c r="C154" s="1058"/>
      <c r="D154" s="222" t="s">
        <v>532</v>
      </c>
      <c r="E154" s="110"/>
      <c r="F154" s="1180">
        <f>pers!I155/F28</f>
        <v>0.94863151003789092</v>
      </c>
      <c r="G154" s="1180">
        <f>pers!J155/G28</f>
        <v>0.94863151003789092</v>
      </c>
      <c r="H154" s="1180">
        <f>pers!K155/H28</f>
        <v>0.94863151003789092</v>
      </c>
      <c r="I154" s="1180">
        <f>pers!L155/I28</f>
        <v>0.94863151003789092</v>
      </c>
      <c r="J154" s="1059"/>
      <c r="K154" s="91"/>
    </row>
    <row r="155" spans="2:11" x14ac:dyDescent="0.2">
      <c r="B155" s="87"/>
      <c r="C155" s="1058"/>
      <c r="D155" s="222" t="s">
        <v>229</v>
      </c>
      <c r="E155" s="110"/>
      <c r="F155" s="1180">
        <f>pers!I156/F28</f>
        <v>0</v>
      </c>
      <c r="G155" s="1180">
        <f>pers!J156/G28</f>
        <v>0</v>
      </c>
      <c r="H155" s="1180">
        <f>pers!K156/H28</f>
        <v>0</v>
      </c>
      <c r="I155" s="1180">
        <f>pers!L156/I28</f>
        <v>0</v>
      </c>
      <c r="J155" s="1059"/>
      <c r="K155" s="91"/>
    </row>
    <row r="156" spans="2:11" x14ac:dyDescent="0.2">
      <c r="B156" s="87"/>
      <c r="C156" s="1058"/>
      <c r="D156" s="222" t="s">
        <v>408</v>
      </c>
      <c r="E156" s="110"/>
      <c r="F156" s="1180">
        <f>mat!I78/F16</f>
        <v>0.14632036571292767</v>
      </c>
      <c r="G156" s="1180">
        <f>mat!J78/G16</f>
        <v>0.1479129190919331</v>
      </c>
      <c r="H156" s="1180">
        <f>mat!K78/H16</f>
        <v>0.14661881814669042</v>
      </c>
      <c r="I156" s="1180">
        <f>mat!L78/I16</f>
        <v>0.14534716517012994</v>
      </c>
      <c r="J156" s="1059"/>
      <c r="K156" s="91"/>
    </row>
    <row r="157" spans="2:11" x14ac:dyDescent="0.2">
      <c r="B157" s="87"/>
      <c r="C157" s="1058"/>
      <c r="D157" s="222" t="s">
        <v>419</v>
      </c>
      <c r="E157" s="110"/>
      <c r="F157" s="1180">
        <f>mat!I159/F28</f>
        <v>5.1368489962109062E-2</v>
      </c>
      <c r="G157" s="1180">
        <f>mat!J159/G28</f>
        <v>5.1368489962109062E-2</v>
      </c>
      <c r="H157" s="1180">
        <f>mat!K159/H28</f>
        <v>5.1368489962109062E-2</v>
      </c>
      <c r="I157" s="1180">
        <f>mat!L159/I28</f>
        <v>5.1368489962109062E-2</v>
      </c>
      <c r="J157" s="1059"/>
      <c r="K157" s="91"/>
    </row>
    <row r="158" spans="2:11" x14ac:dyDescent="0.2">
      <c r="B158" s="87"/>
      <c r="C158" s="1058"/>
      <c r="D158" s="222"/>
      <c r="E158" s="110"/>
      <c r="F158" s="1060"/>
      <c r="G158" s="1060"/>
      <c r="H158" s="1060"/>
      <c r="I158" s="1060"/>
      <c r="J158" s="1059"/>
      <c r="K158" s="91"/>
    </row>
    <row r="159" spans="2:11" x14ac:dyDescent="0.2">
      <c r="B159" s="87"/>
      <c r="C159" s="1058"/>
      <c r="D159" s="222" t="s">
        <v>335</v>
      </c>
      <c r="E159" s="110"/>
      <c r="F159" s="1180">
        <f>IF(pers!I152=0,0,pers!I152/pers!I155)</f>
        <v>0</v>
      </c>
      <c r="G159" s="1180">
        <f>IF(pers!J152=0,0,pers!J152/pers!J155)</f>
        <v>0</v>
      </c>
      <c r="H159" s="1180">
        <f>IF(pers!K152=0,0,pers!K152/pers!K155)</f>
        <v>0</v>
      </c>
      <c r="I159" s="1180">
        <f>IF(pers!L152=0,0,pers!L152/pers!L155)</f>
        <v>0</v>
      </c>
      <c r="J159" s="1041"/>
      <c r="K159" s="91"/>
    </row>
    <row r="160" spans="2:11" x14ac:dyDescent="0.2">
      <c r="B160" s="87"/>
      <c r="C160" s="1058"/>
      <c r="D160" s="222" t="s">
        <v>336</v>
      </c>
      <c r="E160" s="110"/>
      <c r="F160" s="1180">
        <f>pers!I153/pers!I155</f>
        <v>0.33533916129186331</v>
      </c>
      <c r="G160" s="1180">
        <f>pers!J153/pers!J155</f>
        <v>0.33533916129186331</v>
      </c>
      <c r="H160" s="1180">
        <f>pers!K153/pers!K155</f>
        <v>0.33533916129186331</v>
      </c>
      <c r="I160" s="1180">
        <f>pers!L153/pers!L155</f>
        <v>0.33533916129186331</v>
      </c>
      <c r="J160" s="1041"/>
      <c r="K160" s="91"/>
    </row>
    <row r="161" spans="2:11" x14ac:dyDescent="0.2">
      <c r="B161" s="87"/>
      <c r="C161" s="1058"/>
      <c r="D161" s="222" t="s">
        <v>755</v>
      </c>
      <c r="E161" s="110"/>
      <c r="F161" s="1180">
        <f>IF(pers!I154=0,0,pers!I154/pers!I155)</f>
        <v>0.66466083870813675</v>
      </c>
      <c r="G161" s="1180">
        <f>IF(pers!J154=0,0,pers!J154/pers!J155)</f>
        <v>0.66466083870813675</v>
      </c>
      <c r="H161" s="1180">
        <f>IF(pers!K154=0,0,pers!K154/pers!K155)</f>
        <v>0.66466083870813675</v>
      </c>
      <c r="I161" s="1180">
        <f>IF(pers!L154=0,0,pers!L154/pers!L155)</f>
        <v>0.66466083870813675</v>
      </c>
      <c r="J161" s="1041"/>
      <c r="K161" s="91"/>
    </row>
    <row r="162" spans="2:11" x14ac:dyDescent="0.2">
      <c r="B162" s="87"/>
      <c r="C162" s="1058"/>
      <c r="D162" s="222" t="s">
        <v>436</v>
      </c>
      <c r="E162" s="110"/>
      <c r="F162" s="278">
        <f>pers!I152/geg!H27</f>
        <v>0</v>
      </c>
      <c r="G162" s="278">
        <f>pers!J152/geg!I27</f>
        <v>0</v>
      </c>
      <c r="H162" s="278">
        <f>pers!K152/geg!J27</f>
        <v>0</v>
      </c>
      <c r="I162" s="278">
        <f>pers!L152/geg!K27</f>
        <v>0</v>
      </c>
      <c r="J162" s="1041"/>
      <c r="K162" s="91"/>
    </row>
    <row r="163" spans="2:11" x14ac:dyDescent="0.2">
      <c r="B163" s="87"/>
      <c r="C163" s="1058"/>
      <c r="D163" s="222" t="s">
        <v>437</v>
      </c>
      <c r="E163" s="110"/>
      <c r="F163" s="278">
        <f>pers!I153/geg!H27</f>
        <v>281.48959090909096</v>
      </c>
      <c r="G163" s="278">
        <f>pers!J153/geg!I27</f>
        <v>281.48959090909096</v>
      </c>
      <c r="H163" s="278">
        <f>pers!K153/geg!J27</f>
        <v>281.48959090909096</v>
      </c>
      <c r="I163" s="278">
        <f>pers!L153/geg!K27</f>
        <v>281.48959090909096</v>
      </c>
      <c r="J163" s="1041"/>
      <c r="K163" s="91"/>
    </row>
    <row r="164" spans="2:11" x14ac:dyDescent="0.2">
      <c r="B164" s="87"/>
      <c r="C164" s="1058"/>
      <c r="D164" s="222" t="s">
        <v>756</v>
      </c>
      <c r="E164" s="110"/>
      <c r="F164" s="278">
        <f>pers!I154/geg!H27</f>
        <v>557.928</v>
      </c>
      <c r="G164" s="278">
        <f>pers!J154/geg!I27</f>
        <v>557.928</v>
      </c>
      <c r="H164" s="278">
        <f>pers!K154/geg!J27</f>
        <v>557.928</v>
      </c>
      <c r="I164" s="278">
        <f>pers!L154/geg!K27</f>
        <v>557.928</v>
      </c>
      <c r="J164" s="1041"/>
      <c r="K164" s="91"/>
    </row>
    <row r="165" spans="2:11" x14ac:dyDescent="0.2">
      <c r="B165" s="87"/>
      <c r="C165" s="1058"/>
      <c r="D165" s="222"/>
      <c r="E165" s="110"/>
      <c r="F165" s="1060"/>
      <c r="G165" s="1060"/>
      <c r="H165" s="1060"/>
      <c r="I165" s="1060"/>
      <c r="J165" s="1041"/>
      <c r="K165" s="91"/>
    </row>
    <row r="166" spans="2:11" x14ac:dyDescent="0.2">
      <c r="B166" s="87"/>
      <c r="C166" s="1058"/>
      <c r="D166" s="222" t="s">
        <v>329</v>
      </c>
      <c r="E166" s="110"/>
      <c r="F166" s="139">
        <f>geg!H27/ken!G204</f>
        <v>117.33333333333333</v>
      </c>
      <c r="G166" s="139">
        <f>geg!I27/ken!H204</f>
        <v>117.33333333333333</v>
      </c>
      <c r="H166" s="139">
        <f>geg!J27/ken!I204</f>
        <v>117.33333333333333</v>
      </c>
      <c r="I166" s="139">
        <f>H166</f>
        <v>117.33333333333333</v>
      </c>
      <c r="J166" s="1041"/>
      <c r="K166" s="91"/>
    </row>
    <row r="167" spans="2:11" x14ac:dyDescent="0.2">
      <c r="B167" s="87"/>
      <c r="C167" s="1058"/>
      <c r="D167" s="222" t="s">
        <v>330</v>
      </c>
      <c r="E167" s="110"/>
      <c r="F167" s="139">
        <f>IF(ken!G201=0,0,geg!H27/ken!G201)</f>
        <v>0</v>
      </c>
      <c r="G167" s="139">
        <f>IF(ken!H201=0,0,geg!I27/ken!H201)</f>
        <v>0</v>
      </c>
      <c r="H167" s="139">
        <f>IF(ken!I201=0,0,geg!J27/ken!I201)</f>
        <v>0</v>
      </c>
      <c r="I167" s="139">
        <f>H167</f>
        <v>0</v>
      </c>
      <c r="J167" s="1041"/>
      <c r="K167" s="91"/>
    </row>
    <row r="168" spans="2:11" x14ac:dyDescent="0.2">
      <c r="B168" s="87"/>
      <c r="C168" s="1058"/>
      <c r="D168" s="222" t="s">
        <v>562</v>
      </c>
      <c r="E168" s="110"/>
      <c r="F168" s="139">
        <f>IF(ken!G202=0,0,geg!H27/ken!G202)</f>
        <v>251.42857142857142</v>
      </c>
      <c r="G168" s="139">
        <f>IF(ken!H202=0,0,geg!I27/ken!H202)</f>
        <v>251.42857142857142</v>
      </c>
      <c r="H168" s="139">
        <f>IF(ken!I202=0,0,geg!J27/ken!I202)</f>
        <v>251.42857142857142</v>
      </c>
      <c r="I168" s="139">
        <f>H168</f>
        <v>251.42857142857142</v>
      </c>
      <c r="J168" s="1041"/>
      <c r="K168" s="91"/>
    </row>
    <row r="169" spans="2:11" x14ac:dyDescent="0.2">
      <c r="B169" s="87"/>
      <c r="C169" s="1058"/>
      <c r="D169" s="222" t="s">
        <v>754</v>
      </c>
      <c r="E169" s="110"/>
      <c r="F169" s="139">
        <f>IF(ken!G203=0,0,geg!H27/ken!G203)</f>
        <v>220</v>
      </c>
      <c r="G169" s="139">
        <f>IF(ken!H203=0,0,geg!I27/ken!H203)</f>
        <v>220</v>
      </c>
      <c r="H169" s="139">
        <f>IF(ken!I203=0,0,geg!J27/ken!I203)</f>
        <v>220</v>
      </c>
      <c r="I169" s="139">
        <f>H169</f>
        <v>220</v>
      </c>
      <c r="J169" s="1041"/>
      <c r="K169" s="91"/>
    </row>
    <row r="170" spans="2:11" x14ac:dyDescent="0.2">
      <c r="B170" s="87"/>
      <c r="C170" s="108"/>
      <c r="D170" s="222"/>
      <c r="E170" s="110"/>
      <c r="F170" s="113"/>
      <c r="G170" s="290"/>
      <c r="H170" s="290"/>
      <c r="I170" s="290"/>
      <c r="J170" s="1041"/>
      <c r="K170" s="91"/>
    </row>
    <row r="171" spans="2:11" s="371" customFormat="1" x14ac:dyDescent="0.2">
      <c r="B171" s="1062"/>
      <c r="C171" s="1058"/>
      <c r="D171" s="222" t="s">
        <v>376</v>
      </c>
      <c r="E171" s="109"/>
      <c r="F171" s="1061">
        <f>geg!H25/geg!H27</f>
        <v>0.5</v>
      </c>
      <c r="G171" s="1061">
        <f>geg!I25/geg!I27</f>
        <v>0.5</v>
      </c>
      <c r="H171" s="1061">
        <f>geg!J25/geg!J27</f>
        <v>0.5</v>
      </c>
      <c r="I171" s="1061">
        <f>geg!K25/geg!K27</f>
        <v>0.5</v>
      </c>
      <c r="J171" s="1059"/>
      <c r="K171" s="1063"/>
    </row>
    <row r="172" spans="2:11" s="371" customFormat="1" x14ac:dyDescent="0.2">
      <c r="B172" s="1062"/>
      <c r="C172" s="1058"/>
      <c r="D172" s="222" t="s">
        <v>377</v>
      </c>
      <c r="E172" s="110"/>
      <c r="F172" s="1061">
        <f>geg!H26/geg!H27</f>
        <v>0.5</v>
      </c>
      <c r="G172" s="1061">
        <f>geg!I26/geg!I27</f>
        <v>0.5</v>
      </c>
      <c r="H172" s="1061">
        <f>geg!J26/geg!J27</f>
        <v>0.5</v>
      </c>
      <c r="I172" s="1061">
        <f>geg!K26/geg!K27</f>
        <v>0.5</v>
      </c>
      <c r="J172" s="1059"/>
      <c r="K172" s="1063"/>
    </row>
    <row r="173" spans="2:11" x14ac:dyDescent="0.2">
      <c r="B173" s="224"/>
      <c r="C173" s="108"/>
      <c r="D173" s="222"/>
      <c r="E173" s="110"/>
      <c r="F173" s="113"/>
      <c r="G173" s="290"/>
      <c r="H173" s="290"/>
      <c r="I173" s="290"/>
      <c r="J173" s="1041"/>
      <c r="K173" s="91"/>
    </row>
    <row r="174" spans="2:11" s="371" customFormat="1" x14ac:dyDescent="0.2">
      <c r="B174" s="1062"/>
      <c r="C174" s="1053"/>
      <c r="D174" s="1054"/>
      <c r="E174" s="1055"/>
      <c r="F174" s="1004"/>
      <c r="G174" s="1004"/>
      <c r="H174" s="1004"/>
      <c r="I174" s="1004"/>
      <c r="J174" s="1039"/>
      <c r="K174" s="1063"/>
    </row>
    <row r="175" spans="2:11" s="371" customFormat="1" x14ac:dyDescent="0.2">
      <c r="B175" s="1062"/>
      <c r="C175" s="391"/>
      <c r="D175" s="1064"/>
      <c r="E175" s="391"/>
      <c r="F175" s="669"/>
      <c r="G175" s="669"/>
      <c r="H175" s="669"/>
      <c r="I175" s="669"/>
      <c r="J175" s="391"/>
      <c r="K175" s="1063"/>
    </row>
    <row r="176" spans="2:11" s="371" customFormat="1" x14ac:dyDescent="0.2">
      <c r="B176" s="1168"/>
      <c r="C176" s="1164"/>
      <c r="D176" s="1169"/>
      <c r="E176" s="1164"/>
      <c r="F176" s="1170"/>
      <c r="G176" s="1170"/>
      <c r="H176" s="1170"/>
      <c r="I176" s="1170"/>
      <c r="J176" s="1164"/>
      <c r="K176" s="1171"/>
    </row>
    <row r="177" spans="2:11" s="371" customFormat="1" x14ac:dyDescent="0.2">
      <c r="B177" s="1165"/>
      <c r="C177" s="382"/>
      <c r="D177" s="1166"/>
      <c r="E177" s="382"/>
      <c r="F177" s="663"/>
      <c r="G177" s="663"/>
      <c r="H177" s="663"/>
      <c r="I177" s="663"/>
      <c r="J177" s="382"/>
      <c r="K177" s="1167"/>
    </row>
    <row r="178" spans="2:11" s="371" customFormat="1" x14ac:dyDescent="0.2">
      <c r="B178" s="1062"/>
      <c r="C178" s="391"/>
      <c r="D178" s="1064"/>
      <c r="E178" s="391"/>
      <c r="F178" s="669"/>
      <c r="G178" s="669"/>
      <c r="H178" s="669"/>
      <c r="I178" s="669"/>
      <c r="J178" s="391"/>
      <c r="K178" s="1063"/>
    </row>
    <row r="179" spans="2:11" x14ac:dyDescent="0.2">
      <c r="B179" s="224"/>
      <c r="C179" s="716"/>
      <c r="D179" s="1111"/>
      <c r="E179" s="716"/>
      <c r="F179" s="123">
        <f>F8</f>
        <v>2014</v>
      </c>
      <c r="G179" s="123">
        <f>G8</f>
        <v>2015</v>
      </c>
      <c r="H179" s="123">
        <f>H8</f>
        <v>2016</v>
      </c>
      <c r="I179" s="123">
        <f>I8</f>
        <v>2017</v>
      </c>
      <c r="J179" s="391"/>
      <c r="K179" s="91"/>
    </row>
    <row r="180" spans="2:11" x14ac:dyDescent="0.2">
      <c r="B180" s="87"/>
      <c r="C180" s="88"/>
      <c r="D180" s="1112"/>
      <c r="E180" s="716"/>
      <c r="F180" s="204"/>
      <c r="G180" s="669"/>
      <c r="H180" s="669"/>
      <c r="I180" s="669"/>
      <c r="J180" s="391"/>
      <c r="K180" s="91"/>
    </row>
    <row r="181" spans="2:11" x14ac:dyDescent="0.2">
      <c r="B181" s="87"/>
      <c r="C181" s="1065"/>
      <c r="D181" s="1066"/>
      <c r="E181" s="468"/>
      <c r="F181" s="1040"/>
      <c r="G181" s="1040"/>
      <c r="H181" s="1040"/>
      <c r="I181" s="1040"/>
      <c r="J181" s="1038"/>
      <c r="K181" s="91"/>
    </row>
    <row r="182" spans="2:11" x14ac:dyDescent="0.2">
      <c r="B182" s="87"/>
      <c r="C182" s="225"/>
      <c r="D182" s="1118" t="s">
        <v>342</v>
      </c>
      <c r="E182" s="226"/>
      <c r="F182" s="113"/>
      <c r="G182" s="113"/>
      <c r="H182" s="113"/>
      <c r="I182" s="113"/>
      <c r="J182" s="1041"/>
      <c r="K182" s="91"/>
    </row>
    <row r="183" spans="2:11" x14ac:dyDescent="0.2">
      <c r="B183" s="87"/>
      <c r="C183" s="108"/>
      <c r="D183" s="1067"/>
      <c r="E183" s="226"/>
      <c r="F183" s="113"/>
      <c r="G183" s="290"/>
      <c r="H183" s="290"/>
      <c r="I183" s="290"/>
      <c r="J183" s="1041"/>
      <c r="K183" s="91"/>
    </row>
    <row r="184" spans="2:11" x14ac:dyDescent="0.2">
      <c r="B184" s="87"/>
      <c r="C184" s="108"/>
      <c r="D184" s="222" t="s">
        <v>327</v>
      </c>
      <c r="E184" s="110"/>
      <c r="F184" s="219">
        <f>IF(geg!$H27=0,0,geg!H27/geg!$H$27)</f>
        <v>1</v>
      </c>
      <c r="G184" s="219">
        <f>IF(geg!$H27=0,0,geg!I27/geg!$H$27)</f>
        <v>1</v>
      </c>
      <c r="H184" s="219">
        <f>IF(geg!$H27=0,0,geg!J27/geg!$H$27)</f>
        <v>1</v>
      </c>
      <c r="I184" s="219">
        <f>IF(geg!$H27=0,0,geg!K27/geg!$H$27)</f>
        <v>1</v>
      </c>
      <c r="J184" s="1041"/>
      <c r="K184" s="91"/>
    </row>
    <row r="185" spans="2:11" x14ac:dyDescent="0.2">
      <c r="B185" s="87"/>
      <c r="C185" s="108"/>
      <c r="D185" s="222" t="s">
        <v>328</v>
      </c>
      <c r="E185" s="110"/>
      <c r="F185" s="219">
        <f>IF(ken!$G204=0,0,ken!G204/ken!$G$204)</f>
        <v>1</v>
      </c>
      <c r="G185" s="219">
        <f>IF(ken!$G204=0,0,ken!H204/ken!$G$204)</f>
        <v>1</v>
      </c>
      <c r="H185" s="219">
        <f>IF(ken!$G204=0,0,ken!I204/ken!$G$204)</f>
        <v>1</v>
      </c>
      <c r="I185" s="219">
        <f>IF(ken!$G204=0,0,ken!J204/ken!$G$204)</f>
        <v>1</v>
      </c>
      <c r="J185" s="1041"/>
      <c r="K185" s="91"/>
    </row>
    <row r="186" spans="2:11" x14ac:dyDescent="0.2">
      <c r="B186" s="87"/>
      <c r="C186" s="108"/>
      <c r="D186" s="222" t="s">
        <v>420</v>
      </c>
      <c r="E186" s="110"/>
      <c r="F186" s="219">
        <f>IF(begr!$H19=0,0,begr!H19/begr!$H$19)</f>
        <v>1</v>
      </c>
      <c r="G186" s="219">
        <f>IF(begr!$H19=0,0,begr!I19/begr!$H$19)</f>
        <v>0.94604695288168195</v>
      </c>
      <c r="H186" s="219">
        <f>IF(begr!$H19=0,0,begr!J19/begr!$H$19)</f>
        <v>0.95439704239572554</v>
      </c>
      <c r="I186" s="219">
        <f>IF(begr!$H19=0,0,begr!K19/begr!$H$19)</f>
        <v>0.96274713190976891</v>
      </c>
      <c r="J186" s="1041"/>
      <c r="K186" s="91"/>
    </row>
    <row r="187" spans="2:11" x14ac:dyDescent="0.2">
      <c r="B187" s="87"/>
      <c r="C187" s="108"/>
      <c r="D187" s="222" t="s">
        <v>424</v>
      </c>
      <c r="E187" s="110"/>
      <c r="F187" s="219">
        <f>IF(begr!$H14=0,0,begr!H14/begr!$H$14)</f>
        <v>1</v>
      </c>
      <c r="G187" s="219">
        <f>IF(begr!$H14=0,0,begr!I14/begr!$H$14)</f>
        <v>0.94604695288168195</v>
      </c>
      <c r="H187" s="219">
        <f>IF(begr!$H14=0,0,begr!J14/begr!$H$14)</f>
        <v>0.95439704239572554</v>
      </c>
      <c r="I187" s="219">
        <f>IF(begr!$H14=0,0,begr!K14/begr!$H$14)</f>
        <v>0.96274713190976891</v>
      </c>
      <c r="J187" s="1041"/>
      <c r="K187" s="91"/>
    </row>
    <row r="188" spans="2:11" x14ac:dyDescent="0.2">
      <c r="B188" s="87"/>
      <c r="C188" s="108"/>
      <c r="D188" s="222" t="s">
        <v>425</v>
      </c>
      <c r="E188" s="110"/>
      <c r="F188" s="219">
        <f>IF(begr!$H15=0,0,begr!H15/begr!$H$15)</f>
        <v>0</v>
      </c>
      <c r="G188" s="219">
        <f>IF(begr!$H15=0,0,begr!I15/begr!$H$15)</f>
        <v>0</v>
      </c>
      <c r="H188" s="219">
        <f>IF(begr!$H15=0,0,begr!J15/begr!$H$15)</f>
        <v>0</v>
      </c>
      <c r="I188" s="219">
        <f>IF(begr!$H15=0,0,begr!K15/begr!$H$15)</f>
        <v>0</v>
      </c>
      <c r="J188" s="1041"/>
      <c r="K188" s="91"/>
    </row>
    <row r="189" spans="2:11" x14ac:dyDescent="0.2">
      <c r="B189" s="87"/>
      <c r="C189" s="108"/>
      <c r="D189" s="222" t="s">
        <v>426</v>
      </c>
      <c r="E189" s="110"/>
      <c r="F189" s="219">
        <f>IF(begr!$H18=0,0,begr!H18/begr!$H$18)</f>
        <v>0</v>
      </c>
      <c r="G189" s="219">
        <f>IF(begr!$H18=0,0,begr!I18/begr!$H$18)</f>
        <v>0</v>
      </c>
      <c r="H189" s="219">
        <f>IF(begr!$H18=0,0,begr!J18/begr!$H$18)</f>
        <v>0</v>
      </c>
      <c r="I189" s="219">
        <f>IF(begr!$H18=0,0,begr!K18/begr!$H$18)</f>
        <v>0</v>
      </c>
      <c r="J189" s="1041"/>
      <c r="K189" s="91"/>
    </row>
    <row r="190" spans="2:11" x14ac:dyDescent="0.2">
      <c r="B190" s="87"/>
      <c r="C190" s="108"/>
      <c r="D190" s="222" t="s">
        <v>421</v>
      </c>
      <c r="E190" s="110"/>
      <c r="F190" s="219">
        <f>IF(begr!$H27=0,0,begr!H27/begr!$H$27)</f>
        <v>1</v>
      </c>
      <c r="G190" s="219">
        <f>IF(begr!$H27=0,0,begr!I27/begr!$H$27)</f>
        <v>1</v>
      </c>
      <c r="H190" s="219">
        <f>IF(begr!$H27=0,0,begr!J27/begr!$H$27)</f>
        <v>1</v>
      </c>
      <c r="I190" s="219">
        <f>IF(begr!$H27=0,0,begr!K27/begr!$H$27)</f>
        <v>1</v>
      </c>
      <c r="J190" s="1041"/>
      <c r="K190" s="91"/>
    </row>
    <row r="191" spans="2:11" x14ac:dyDescent="0.2">
      <c r="B191" s="87"/>
      <c r="C191" s="108"/>
      <c r="D191" s="222" t="s">
        <v>258</v>
      </c>
      <c r="E191" s="110"/>
      <c r="F191" s="219">
        <f>IF(begr!$H21=0,0,begr!H21/begr!$H$21)</f>
        <v>1</v>
      </c>
      <c r="G191" s="219">
        <f>IF(begr!$H21=0,0,begr!I21/begr!$H$21)</f>
        <v>1</v>
      </c>
      <c r="H191" s="219">
        <f>IF(begr!$H21=0,0,begr!J21/begr!$H$21)</f>
        <v>1</v>
      </c>
      <c r="I191" s="219">
        <f>IF(begr!$H21=0,0,begr!K21/begr!$H$21)</f>
        <v>1</v>
      </c>
      <c r="J191" s="1041"/>
      <c r="K191" s="91"/>
    </row>
    <row r="192" spans="2:11" x14ac:dyDescent="0.2">
      <c r="B192" s="87"/>
      <c r="C192" s="108"/>
      <c r="D192" s="222" t="s">
        <v>259</v>
      </c>
      <c r="E192" s="110"/>
      <c r="F192" s="219">
        <f>IF(begr!$H22=0,0,begr!H22/begr!$H$22)</f>
        <v>0</v>
      </c>
      <c r="G192" s="219">
        <f>IF(begr!$H22=0,0,begr!I22/begr!$H$22)</f>
        <v>0</v>
      </c>
      <c r="H192" s="219">
        <f>IF(begr!$H22=0,0,begr!J22/begr!$H$22)</f>
        <v>0</v>
      </c>
      <c r="I192" s="219">
        <f>IF(begr!$H22=0,0,begr!K22/begr!$H$22)</f>
        <v>0</v>
      </c>
      <c r="J192" s="1041"/>
      <c r="K192" s="91"/>
    </row>
    <row r="193" spans="2:11" x14ac:dyDescent="0.2">
      <c r="B193" s="87"/>
      <c r="C193" s="108"/>
      <c r="D193" s="222" t="s">
        <v>423</v>
      </c>
      <c r="E193" s="110"/>
      <c r="F193" s="219">
        <f>IF(begr!$H24=0,0,begr!H24/begr!$H$24)</f>
        <v>1</v>
      </c>
      <c r="G193" s="219">
        <f>IF(begr!$H24=0,0,begr!I24/begr!$H$24)</f>
        <v>1</v>
      </c>
      <c r="H193" s="219">
        <f>IF(begr!$H24=0,0,begr!J24/begr!$H$24)</f>
        <v>1</v>
      </c>
      <c r="I193" s="219">
        <f>IF(begr!$H24=0,0,begr!K24/begr!$H$24)</f>
        <v>1</v>
      </c>
      <c r="J193" s="1041"/>
      <c r="K193" s="91"/>
    </row>
    <row r="194" spans="2:11" x14ac:dyDescent="0.2">
      <c r="B194" s="87"/>
      <c r="C194" s="108"/>
      <c r="D194" s="222" t="s">
        <v>422</v>
      </c>
      <c r="E194" s="110"/>
      <c r="F194" s="219">
        <f>IF($F71=0,0,F71/$F$71)</f>
        <v>0</v>
      </c>
      <c r="G194" s="219">
        <f>IF($F71=0,0,G71/$F$71)</f>
        <v>0</v>
      </c>
      <c r="H194" s="219">
        <f>IF($F71=0,0,H71/$F$71)</f>
        <v>0</v>
      </c>
      <c r="I194" s="219">
        <f>IF($F71=0,0,I71/$F$71)</f>
        <v>0</v>
      </c>
      <c r="J194" s="1041"/>
      <c r="K194" s="91"/>
    </row>
    <row r="195" spans="2:11" x14ac:dyDescent="0.2">
      <c r="B195" s="87"/>
      <c r="C195" s="108"/>
      <c r="D195" s="109" t="s">
        <v>617</v>
      </c>
      <c r="E195" s="110"/>
      <c r="F195" s="219">
        <f>IF(begr!H26=0,0,begr!H26/begr!$H$26)</f>
        <v>0</v>
      </c>
      <c r="G195" s="219">
        <f>IF(begr!I26=0,0,begr!I26/begr!$H$26)</f>
        <v>0</v>
      </c>
      <c r="H195" s="219">
        <f>IF(begr!J26=0,0,begr!J26/begr!$H$26)</f>
        <v>0</v>
      </c>
      <c r="I195" s="219">
        <f>IF(begr!K26=0,0,begr!K26/begr!$H$26)</f>
        <v>0</v>
      </c>
      <c r="J195" s="1041"/>
      <c r="K195" s="91"/>
    </row>
    <row r="196" spans="2:11" x14ac:dyDescent="0.2">
      <c r="B196" s="87"/>
      <c r="C196" s="116"/>
      <c r="D196" s="531"/>
      <c r="E196" s="117"/>
      <c r="F196" s="1158"/>
      <c r="G196" s="1158"/>
      <c r="H196" s="1158"/>
      <c r="I196" s="1158"/>
      <c r="J196" s="1039"/>
      <c r="K196" s="91"/>
    </row>
    <row r="197" spans="2:11" x14ac:dyDescent="0.2">
      <c r="B197" s="87"/>
      <c r="C197" s="88"/>
      <c r="D197" s="383"/>
      <c r="E197" s="88"/>
      <c r="F197" s="1159"/>
      <c r="G197" s="1159"/>
      <c r="H197" s="1159"/>
      <c r="I197" s="1159"/>
      <c r="J197" s="391"/>
      <c r="K197" s="91"/>
    </row>
    <row r="198" spans="2:11" x14ac:dyDescent="0.2">
      <c r="B198" s="87"/>
      <c r="C198" s="104"/>
      <c r="D198" s="459"/>
      <c r="E198" s="105"/>
      <c r="F198" s="1160"/>
      <c r="G198" s="1160"/>
      <c r="H198" s="1160"/>
      <c r="I198" s="1160"/>
      <c r="J198" s="1038"/>
      <c r="K198" s="91"/>
    </row>
    <row r="199" spans="2:11" x14ac:dyDescent="0.2">
      <c r="B199" s="87"/>
      <c r="C199" s="108"/>
      <c r="D199" s="222"/>
      <c r="E199" s="110"/>
      <c r="F199" s="1163" t="str">
        <f>tab!D2</f>
        <v>2013/14</v>
      </c>
      <c r="G199" s="1163" t="str">
        <f>tab!E2</f>
        <v>2014/15</v>
      </c>
      <c r="H199" s="1163" t="str">
        <f>tab!F2</f>
        <v>2015/16</v>
      </c>
      <c r="I199" s="1163" t="str">
        <f>tab!G2</f>
        <v>2016/17</v>
      </c>
      <c r="J199" s="1041"/>
      <c r="K199" s="91"/>
    </row>
    <row r="200" spans="2:11" x14ac:dyDescent="0.2">
      <c r="B200" s="87"/>
      <c r="C200" s="108"/>
      <c r="D200" s="1124" t="s">
        <v>279</v>
      </c>
      <c r="E200" s="265"/>
      <c r="F200" s="1161"/>
      <c r="G200" s="1161"/>
      <c r="H200" s="1161"/>
      <c r="I200" s="1161"/>
      <c r="J200" s="1041"/>
      <c r="K200" s="91"/>
    </row>
    <row r="201" spans="2:11" x14ac:dyDescent="0.2">
      <c r="B201" s="87"/>
      <c r="C201" s="108"/>
      <c r="D201" s="257" t="s">
        <v>276</v>
      </c>
      <c r="E201" s="257"/>
      <c r="F201" s="219">
        <f>SUM(dir!M16:M25)</f>
        <v>0</v>
      </c>
      <c r="G201" s="219">
        <f>SUM(dir!M38:M47)</f>
        <v>0</v>
      </c>
      <c r="H201" s="219">
        <f>SUM(dir!M61:M70)</f>
        <v>0</v>
      </c>
      <c r="I201" s="219">
        <f>SUM(dir!M83:M92)</f>
        <v>0</v>
      </c>
      <c r="J201" s="1068">
        <f>dir!M115</f>
        <v>0</v>
      </c>
      <c r="K201" s="91"/>
    </row>
    <row r="202" spans="2:11" x14ac:dyDescent="0.2">
      <c r="B202" s="87"/>
      <c r="C202" s="108"/>
      <c r="D202" s="257" t="s">
        <v>297</v>
      </c>
      <c r="E202" s="257"/>
      <c r="F202" s="219">
        <f>SUM(op!M16:M70)</f>
        <v>0.875</v>
      </c>
      <c r="G202" s="219">
        <f>SUM(op!M84:M138)</f>
        <v>0.875</v>
      </c>
      <c r="H202" s="219">
        <f>SUM(op!M152:M206)</f>
        <v>0.875</v>
      </c>
      <c r="I202" s="219">
        <f>SUM(op!M219:M273)</f>
        <v>0.875</v>
      </c>
      <c r="J202" s="1068">
        <f>op!M341</f>
        <v>0.875</v>
      </c>
      <c r="K202" s="91"/>
    </row>
    <row r="203" spans="2:11" x14ac:dyDescent="0.2">
      <c r="B203" s="87"/>
      <c r="C203" s="108"/>
      <c r="D203" s="257" t="s">
        <v>752</v>
      </c>
      <c r="E203" s="257"/>
      <c r="F203" s="219">
        <f>SUM(obp!M16:M35)</f>
        <v>1</v>
      </c>
      <c r="G203" s="219">
        <f>SUM(obp!M48:M67)</f>
        <v>1</v>
      </c>
      <c r="H203" s="219">
        <f>SUM(obp!M81:M100)</f>
        <v>1</v>
      </c>
      <c r="I203" s="219">
        <f>SUM(obp!M113:M132)</f>
        <v>1</v>
      </c>
      <c r="J203" s="1068">
        <f>obp!M165</f>
        <v>1</v>
      </c>
      <c r="K203" s="91"/>
    </row>
    <row r="204" spans="2:11" x14ac:dyDescent="0.2">
      <c r="B204" s="87"/>
      <c r="C204" s="108"/>
      <c r="D204" s="1069" t="s">
        <v>288</v>
      </c>
      <c r="E204" s="1069"/>
      <c r="F204" s="1162">
        <f>SUM(F201:F203)</f>
        <v>1.875</v>
      </c>
      <c r="G204" s="1162">
        <f>SUM(G201:G203)</f>
        <v>1.875</v>
      </c>
      <c r="H204" s="1162">
        <f>SUM(H201:H203)</f>
        <v>1.875</v>
      </c>
      <c r="I204" s="1162">
        <f>SUM(I201:I203)</f>
        <v>1.875</v>
      </c>
      <c r="J204" s="1070">
        <f>SUM(J201:J203)</f>
        <v>1.875</v>
      </c>
      <c r="K204" s="91"/>
    </row>
    <row r="205" spans="2:11" x14ac:dyDescent="0.2">
      <c r="B205" s="87"/>
      <c r="C205" s="108"/>
      <c r="D205" s="257"/>
      <c r="E205" s="257"/>
      <c r="F205" s="1161"/>
      <c r="G205" s="1161"/>
      <c r="H205" s="1161"/>
      <c r="I205" s="1161"/>
      <c r="J205" s="1041"/>
      <c r="K205" s="91"/>
    </row>
    <row r="206" spans="2:11" x14ac:dyDescent="0.2">
      <c r="B206" s="87"/>
      <c r="C206" s="108"/>
      <c r="D206" s="332" t="s">
        <v>344</v>
      </c>
      <c r="E206" s="257"/>
      <c r="F206" s="219">
        <f>geg!G27/F204</f>
        <v>117.33333333333333</v>
      </c>
      <c r="G206" s="219">
        <f>geg!H27/G204</f>
        <v>117.33333333333333</v>
      </c>
      <c r="H206" s="219">
        <f>geg!I27/H204</f>
        <v>117.33333333333333</v>
      </c>
      <c r="I206" s="219">
        <f>geg!J27/I204</f>
        <v>117.33333333333333</v>
      </c>
      <c r="J206" s="1041"/>
      <c r="K206" s="91"/>
    </row>
    <row r="207" spans="2:11" x14ac:dyDescent="0.2">
      <c r="B207" s="87"/>
      <c r="C207" s="116"/>
      <c r="D207" s="531"/>
      <c r="E207" s="117"/>
      <c r="F207" s="533"/>
      <c r="G207" s="533"/>
      <c r="H207" s="533"/>
      <c r="I207" s="533"/>
      <c r="J207" s="1039"/>
      <c r="K207" s="91"/>
    </row>
    <row r="208" spans="2:11" x14ac:dyDescent="0.2">
      <c r="B208" s="87"/>
      <c r="C208" s="88"/>
      <c r="D208" s="383"/>
      <c r="E208" s="88"/>
      <c r="F208" s="204"/>
      <c r="G208" s="669"/>
      <c r="H208" s="669"/>
      <c r="I208" s="669"/>
      <c r="J208" s="391"/>
      <c r="K208" s="91"/>
    </row>
    <row r="209" spans="2:11" x14ac:dyDescent="0.2">
      <c r="B209" s="199"/>
      <c r="C209" s="200"/>
      <c r="D209" s="553"/>
      <c r="E209" s="200"/>
      <c r="F209" s="555"/>
      <c r="G209" s="563"/>
      <c r="H209" s="563"/>
      <c r="I209" s="563"/>
      <c r="J209" s="1164"/>
      <c r="K209" s="201"/>
    </row>
    <row r="210" spans="2:11" x14ac:dyDescent="0.2">
      <c r="G210" s="202"/>
      <c r="H210" s="202"/>
      <c r="I210" s="202"/>
    </row>
    <row r="211" spans="2:11" x14ac:dyDescent="0.2">
      <c r="G211" s="202"/>
      <c r="H211" s="202"/>
      <c r="I211" s="202"/>
    </row>
    <row r="212" spans="2:11" x14ac:dyDescent="0.2">
      <c r="G212" s="202"/>
      <c r="H212" s="202"/>
      <c r="I212" s="202"/>
    </row>
    <row r="213" spans="2:11" x14ac:dyDescent="0.2">
      <c r="G213" s="202"/>
      <c r="H213" s="202"/>
      <c r="I213" s="202"/>
    </row>
    <row r="214" spans="2:11" x14ac:dyDescent="0.2">
      <c r="G214" s="202"/>
      <c r="H214" s="202"/>
      <c r="I214" s="202"/>
    </row>
    <row r="215" spans="2:11" x14ac:dyDescent="0.2">
      <c r="G215" s="202"/>
      <c r="H215" s="202"/>
      <c r="I215" s="202"/>
    </row>
    <row r="216" spans="2:11" x14ac:dyDescent="0.2">
      <c r="G216" s="202"/>
      <c r="H216" s="202"/>
      <c r="I216" s="202"/>
    </row>
    <row r="218" spans="2:11" x14ac:dyDescent="0.2">
      <c r="G218" s="202"/>
      <c r="H218" s="202"/>
      <c r="I218" s="202"/>
    </row>
    <row r="219" spans="2:11" x14ac:dyDescent="0.2">
      <c r="G219" s="202"/>
      <c r="H219" s="202"/>
      <c r="I219" s="202"/>
    </row>
    <row r="220" spans="2:11" x14ac:dyDescent="0.2">
      <c r="G220" s="202"/>
      <c r="H220" s="202"/>
      <c r="I220" s="202"/>
    </row>
    <row r="221" spans="2:11" x14ac:dyDescent="0.2">
      <c r="G221" s="202"/>
      <c r="H221" s="202"/>
      <c r="I221" s="202"/>
    </row>
    <row r="222" spans="2:11" x14ac:dyDescent="0.2">
      <c r="G222" s="202"/>
      <c r="H222" s="202"/>
      <c r="I222" s="202"/>
    </row>
  </sheetData>
  <sheetProtection password="DFB1" sheet="1" objects="1" scenarios="1"/>
  <phoneticPr fontId="0" type="noConversion"/>
  <pageMargins left="0.74803149606299213" right="0.74803149606299213"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rowBreaks count="2" manualBreakCount="2">
    <brk id="86" min="1" max="15" man="1"/>
    <brk id="176" min="1" max="10" man="1"/>
  </rowBreaks>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B1:R265"/>
  <sheetViews>
    <sheetView zoomScale="85" zoomScaleNormal="85" zoomScaleSheetLayoutView="85" workbookViewId="0">
      <selection activeCell="B2" sqref="B2"/>
    </sheetView>
  </sheetViews>
  <sheetFormatPr defaultColWidth="9.140625" defaultRowHeight="12.75" x14ac:dyDescent="0.2"/>
  <cols>
    <col min="1" max="1" width="3.7109375" style="1071" customWidth="1"/>
    <col min="2" max="2" width="2.7109375" style="1071" customWidth="1"/>
    <col min="3" max="9" width="9.7109375" style="1071" customWidth="1"/>
    <col min="10" max="10" width="2.7109375" style="1071" customWidth="1"/>
    <col min="11" max="17" width="9.7109375" style="1071" customWidth="1"/>
    <col min="18" max="18" width="2.7109375" style="1071" customWidth="1"/>
    <col min="19" max="16384" width="9.140625" style="1071"/>
  </cols>
  <sheetData>
    <row r="1" spans="2:18" ht="12.75" customHeight="1" x14ac:dyDescent="0.2"/>
    <row r="2" spans="2:18" x14ac:dyDescent="0.2">
      <c r="B2" s="1072"/>
      <c r="C2" s="1073"/>
      <c r="D2" s="1073"/>
      <c r="E2" s="1073"/>
      <c r="F2" s="1073"/>
      <c r="G2" s="1073"/>
      <c r="H2" s="1073"/>
      <c r="I2" s="1073"/>
      <c r="J2" s="1073"/>
      <c r="K2" s="1073"/>
      <c r="L2" s="1073"/>
      <c r="M2" s="1073"/>
      <c r="N2" s="1073"/>
      <c r="O2" s="1073"/>
      <c r="P2" s="1073"/>
      <c r="Q2" s="1073"/>
      <c r="R2" s="1074"/>
    </row>
    <row r="3" spans="2:18" x14ac:dyDescent="0.2">
      <c r="B3" s="1075"/>
      <c r="C3" s="1076"/>
      <c r="D3" s="1076"/>
      <c r="E3" s="1076"/>
      <c r="F3" s="1076"/>
      <c r="G3" s="1076"/>
      <c r="H3" s="1076"/>
      <c r="I3" s="1076"/>
      <c r="J3" s="1076"/>
      <c r="K3" s="1076"/>
      <c r="L3" s="1076"/>
      <c r="M3" s="1076"/>
      <c r="N3" s="1076"/>
      <c r="O3" s="1076"/>
      <c r="P3" s="1076"/>
      <c r="Q3" s="1076"/>
      <c r="R3" s="1077"/>
    </row>
    <row r="4" spans="2:18" s="1078" customFormat="1" ht="18.75" x14ac:dyDescent="0.3">
      <c r="B4" s="1079"/>
      <c r="C4" s="1080" t="s">
        <v>346</v>
      </c>
      <c r="D4" s="1081"/>
      <c r="E4" s="1081"/>
      <c r="F4" s="1081"/>
      <c r="G4" s="1081"/>
      <c r="H4" s="1081"/>
      <c r="I4" s="1081"/>
      <c r="J4" s="1081"/>
      <c r="K4" s="1081"/>
      <c r="L4" s="1081"/>
      <c r="M4" s="1081"/>
      <c r="N4" s="1081"/>
      <c r="O4" s="1081"/>
      <c r="P4" s="1081"/>
      <c r="Q4" s="1081"/>
      <c r="R4" s="1082"/>
    </row>
    <row r="5" spans="2:18" ht="18.75" x14ac:dyDescent="0.3">
      <c r="B5" s="1083"/>
      <c r="C5" s="1084" t="str">
        <f>geg!G12</f>
        <v>Basisschool</v>
      </c>
      <c r="D5" s="1076"/>
      <c r="E5" s="1076"/>
      <c r="F5" s="1076"/>
      <c r="G5" s="1076"/>
      <c r="H5" s="1076"/>
      <c r="I5" s="1076"/>
      <c r="J5" s="1076"/>
      <c r="K5" s="1076"/>
      <c r="L5" s="1076"/>
      <c r="M5" s="1076"/>
      <c r="N5" s="1076"/>
      <c r="O5" s="1076"/>
      <c r="P5" s="1076"/>
      <c r="Q5" s="1076"/>
      <c r="R5" s="1077"/>
    </row>
    <row r="6" spans="2:18" x14ac:dyDescent="0.2">
      <c r="B6" s="1075"/>
      <c r="C6" s="1076"/>
      <c r="D6" s="1076"/>
      <c r="E6" s="1076"/>
      <c r="F6" s="1076"/>
      <c r="G6" s="1076"/>
      <c r="H6" s="1076"/>
      <c r="I6" s="1076"/>
      <c r="J6" s="1076"/>
      <c r="K6" s="1076"/>
      <c r="L6" s="1076"/>
      <c r="M6" s="1076"/>
      <c r="N6" s="1076"/>
      <c r="O6" s="1076"/>
      <c r="P6" s="1076"/>
      <c r="Q6" s="1076"/>
      <c r="R6" s="1077"/>
    </row>
    <row r="7" spans="2:18" x14ac:dyDescent="0.2">
      <c r="B7" s="1075"/>
      <c r="C7" s="1076"/>
      <c r="D7" s="1076"/>
      <c r="E7" s="1076"/>
      <c r="F7" s="1076"/>
      <c r="G7" s="1076"/>
      <c r="H7" s="1076"/>
      <c r="I7" s="1076"/>
      <c r="J7" s="1076"/>
      <c r="K7" s="1076"/>
      <c r="L7" s="1076"/>
      <c r="M7" s="1076"/>
      <c r="N7" s="1076"/>
      <c r="O7" s="1076"/>
      <c r="P7" s="1076"/>
      <c r="Q7" s="1076"/>
      <c r="R7" s="1077"/>
    </row>
    <row r="8" spans="2:18" x14ac:dyDescent="0.2">
      <c r="B8" s="1075"/>
      <c r="C8" s="1076"/>
      <c r="D8" s="1076"/>
      <c r="E8" s="1076"/>
      <c r="F8" s="1076"/>
      <c r="G8" s="1076"/>
      <c r="H8" s="1076"/>
      <c r="I8" s="1076"/>
      <c r="J8" s="1076"/>
      <c r="K8" s="1076"/>
      <c r="L8" s="1076"/>
      <c r="M8" s="1076"/>
      <c r="N8" s="1076"/>
      <c r="O8" s="1076"/>
      <c r="P8" s="1076"/>
      <c r="Q8" s="1076"/>
      <c r="R8" s="1077"/>
    </row>
    <row r="9" spans="2:18" x14ac:dyDescent="0.2">
      <c r="B9" s="1075"/>
      <c r="C9" s="1076"/>
      <c r="D9" s="1076"/>
      <c r="E9" s="1076"/>
      <c r="F9" s="1076"/>
      <c r="G9" s="1076"/>
      <c r="H9" s="1076"/>
      <c r="I9" s="1076"/>
      <c r="J9" s="1076"/>
      <c r="K9" s="1076"/>
      <c r="L9" s="1076"/>
      <c r="M9" s="1076"/>
      <c r="N9" s="1076"/>
      <c r="O9" s="1076"/>
      <c r="P9" s="1076"/>
      <c r="Q9" s="1076"/>
      <c r="R9" s="1077"/>
    </row>
    <row r="10" spans="2:18" x14ac:dyDescent="0.2">
      <c r="B10" s="1075"/>
      <c r="C10" s="1076"/>
      <c r="D10" s="1076"/>
      <c r="E10" s="1076"/>
      <c r="F10" s="1076"/>
      <c r="G10" s="1076"/>
      <c r="H10" s="1076"/>
      <c r="I10" s="1076"/>
      <c r="J10" s="1076"/>
      <c r="K10" s="1076"/>
      <c r="L10" s="1076"/>
      <c r="M10" s="1076"/>
      <c r="N10" s="1076"/>
      <c r="O10" s="1076"/>
      <c r="P10" s="1076"/>
      <c r="Q10" s="1076"/>
      <c r="R10" s="1077"/>
    </row>
    <row r="11" spans="2:18" x14ac:dyDescent="0.2">
      <c r="B11" s="1075"/>
      <c r="C11" s="1076"/>
      <c r="D11" s="1076"/>
      <c r="E11" s="1076"/>
      <c r="F11" s="1076"/>
      <c r="G11" s="1076"/>
      <c r="H11" s="1076"/>
      <c r="I11" s="1076"/>
      <c r="J11" s="1076"/>
      <c r="K11" s="1076"/>
      <c r="L11" s="1076"/>
      <c r="M11" s="1076"/>
      <c r="N11" s="1076"/>
      <c r="O11" s="1076"/>
      <c r="P11" s="1076"/>
      <c r="Q11" s="1076"/>
      <c r="R11" s="1077"/>
    </row>
    <row r="12" spans="2:18" x14ac:dyDescent="0.2">
      <c r="B12" s="1075"/>
      <c r="C12" s="1076"/>
      <c r="D12" s="1076"/>
      <c r="E12" s="1076"/>
      <c r="F12" s="1076"/>
      <c r="G12" s="1076"/>
      <c r="H12" s="1076"/>
      <c r="I12" s="1076"/>
      <c r="J12" s="1076"/>
      <c r="K12" s="1076"/>
      <c r="L12" s="1076"/>
      <c r="M12" s="1076"/>
      <c r="N12" s="1076"/>
      <c r="O12" s="1076"/>
      <c r="P12" s="1076"/>
      <c r="Q12" s="1076"/>
      <c r="R12" s="1077"/>
    </row>
    <row r="13" spans="2:18" x14ac:dyDescent="0.2">
      <c r="B13" s="1075"/>
      <c r="C13" s="1076"/>
      <c r="D13" s="1076"/>
      <c r="E13" s="1076"/>
      <c r="F13" s="1076"/>
      <c r="G13" s="1076"/>
      <c r="H13" s="1076"/>
      <c r="I13" s="1076"/>
      <c r="J13" s="1076"/>
      <c r="K13" s="1076"/>
      <c r="L13" s="1076"/>
      <c r="M13" s="1076"/>
      <c r="N13" s="1076"/>
      <c r="O13" s="1076"/>
      <c r="P13" s="1076"/>
      <c r="Q13" s="1076"/>
      <c r="R13" s="1077"/>
    </row>
    <row r="14" spans="2:18" x14ac:dyDescent="0.2">
      <c r="B14" s="1075"/>
      <c r="C14" s="1076"/>
      <c r="D14" s="1076"/>
      <c r="E14" s="1076"/>
      <c r="F14" s="1076"/>
      <c r="G14" s="1076"/>
      <c r="H14" s="1076"/>
      <c r="I14" s="1076"/>
      <c r="J14" s="1076"/>
      <c r="K14" s="1076"/>
      <c r="L14" s="1076"/>
      <c r="M14" s="1076"/>
      <c r="N14" s="1076"/>
      <c r="O14" s="1076"/>
      <c r="P14" s="1076"/>
      <c r="Q14" s="1076"/>
      <c r="R14" s="1077"/>
    </row>
    <row r="15" spans="2:18" x14ac:dyDescent="0.2">
      <c r="B15" s="1075"/>
      <c r="C15" s="1076"/>
      <c r="D15" s="1076"/>
      <c r="E15" s="1076"/>
      <c r="F15" s="1076"/>
      <c r="G15" s="1076"/>
      <c r="H15" s="1076"/>
      <c r="I15" s="1076"/>
      <c r="J15" s="1076"/>
      <c r="K15" s="1076"/>
      <c r="L15" s="1076"/>
      <c r="M15" s="1076"/>
      <c r="N15" s="1076"/>
      <c r="O15" s="1076"/>
      <c r="P15" s="1076"/>
      <c r="Q15" s="1076"/>
      <c r="R15" s="1077"/>
    </row>
    <row r="16" spans="2:18" x14ac:dyDescent="0.2">
      <c r="B16" s="1075"/>
      <c r="C16" s="1076"/>
      <c r="D16" s="1076"/>
      <c r="E16" s="1076"/>
      <c r="F16" s="1076"/>
      <c r="G16" s="1076"/>
      <c r="H16" s="1076"/>
      <c r="I16" s="1076"/>
      <c r="J16" s="1076"/>
      <c r="K16" s="1076"/>
      <c r="L16" s="1076"/>
      <c r="M16" s="1076"/>
      <c r="N16" s="1076"/>
      <c r="O16" s="1076"/>
      <c r="P16" s="1076"/>
      <c r="Q16" s="1076"/>
      <c r="R16" s="1077"/>
    </row>
    <row r="17" spans="2:18" x14ac:dyDescent="0.2">
      <c r="B17" s="1075"/>
      <c r="C17" s="1076"/>
      <c r="D17" s="1076"/>
      <c r="E17" s="1076"/>
      <c r="F17" s="1076"/>
      <c r="G17" s="1076"/>
      <c r="H17" s="1076"/>
      <c r="I17" s="1076"/>
      <c r="J17" s="1076"/>
      <c r="K17" s="1076"/>
      <c r="L17" s="1076"/>
      <c r="M17" s="1076"/>
      <c r="N17" s="1076"/>
      <c r="O17" s="1076"/>
      <c r="P17" s="1076"/>
      <c r="Q17" s="1076"/>
      <c r="R17" s="1077"/>
    </row>
    <row r="18" spans="2:18" x14ac:dyDescent="0.2">
      <c r="B18" s="1075"/>
      <c r="C18" s="1076"/>
      <c r="D18" s="1076"/>
      <c r="E18" s="1076"/>
      <c r="F18" s="1076"/>
      <c r="G18" s="1076"/>
      <c r="H18" s="1076"/>
      <c r="I18" s="1076"/>
      <c r="J18" s="1076"/>
      <c r="K18" s="1076"/>
      <c r="L18" s="1076"/>
      <c r="M18" s="1076"/>
      <c r="N18" s="1076"/>
      <c r="O18" s="1076"/>
      <c r="P18" s="1076"/>
      <c r="Q18" s="1076"/>
      <c r="R18" s="1077"/>
    </row>
    <row r="19" spans="2:18" x14ac:dyDescent="0.2">
      <c r="B19" s="1075"/>
      <c r="C19" s="1076"/>
      <c r="D19" s="1076"/>
      <c r="E19" s="1076"/>
      <c r="F19" s="1076"/>
      <c r="G19" s="1076"/>
      <c r="H19" s="1076"/>
      <c r="I19" s="1076"/>
      <c r="J19" s="1076"/>
      <c r="K19" s="1076"/>
      <c r="L19" s="1076"/>
      <c r="M19" s="1076"/>
      <c r="N19" s="1076"/>
      <c r="O19" s="1076"/>
      <c r="P19" s="1076"/>
      <c r="Q19" s="1076"/>
      <c r="R19" s="1077"/>
    </row>
    <row r="20" spans="2:18" x14ac:dyDescent="0.2">
      <c r="B20" s="1075"/>
      <c r="C20" s="1076"/>
      <c r="D20" s="1076"/>
      <c r="E20" s="1076"/>
      <c r="F20" s="1076"/>
      <c r="G20" s="1076"/>
      <c r="H20" s="1076"/>
      <c r="I20" s="1076"/>
      <c r="J20" s="1076"/>
      <c r="K20" s="1076"/>
      <c r="L20" s="1076"/>
      <c r="M20" s="1076"/>
      <c r="N20" s="1076"/>
      <c r="O20" s="1076"/>
      <c r="P20" s="1076"/>
      <c r="Q20" s="1076"/>
      <c r="R20" s="1077"/>
    </row>
    <row r="21" spans="2:18" x14ac:dyDescent="0.2">
      <c r="B21" s="1075"/>
      <c r="C21" s="1076"/>
      <c r="D21" s="1076"/>
      <c r="E21" s="1076"/>
      <c r="F21" s="1076"/>
      <c r="G21" s="1076"/>
      <c r="H21" s="1076"/>
      <c r="I21" s="1076"/>
      <c r="J21" s="1076"/>
      <c r="K21" s="1076"/>
      <c r="L21" s="1076"/>
      <c r="M21" s="1076"/>
      <c r="N21" s="1076"/>
      <c r="O21" s="1076"/>
      <c r="P21" s="1076"/>
      <c r="Q21" s="1076"/>
      <c r="R21" s="1077"/>
    </row>
    <row r="22" spans="2:18" x14ac:dyDescent="0.2">
      <c r="B22" s="1075"/>
      <c r="C22" s="1076"/>
      <c r="D22" s="1076"/>
      <c r="E22" s="1076"/>
      <c r="F22" s="1076"/>
      <c r="G22" s="1076"/>
      <c r="H22" s="1076"/>
      <c r="I22" s="1076"/>
      <c r="J22" s="1076"/>
      <c r="K22" s="1076"/>
      <c r="L22" s="1076"/>
      <c r="M22" s="1076"/>
      <c r="N22" s="1076"/>
      <c r="O22" s="1076"/>
      <c r="P22" s="1076"/>
      <c r="Q22" s="1076"/>
      <c r="R22" s="1077"/>
    </row>
    <row r="23" spans="2:18" x14ac:dyDescent="0.2">
      <c r="B23" s="1075"/>
      <c r="C23" s="1076"/>
      <c r="D23" s="1076"/>
      <c r="E23" s="1076"/>
      <c r="F23" s="1076"/>
      <c r="G23" s="1076"/>
      <c r="H23" s="1076"/>
      <c r="I23" s="1076"/>
      <c r="J23" s="1076"/>
      <c r="K23" s="1076"/>
      <c r="L23" s="1076"/>
      <c r="M23" s="1076"/>
      <c r="N23" s="1076"/>
      <c r="O23" s="1076"/>
      <c r="P23" s="1076"/>
      <c r="Q23" s="1076"/>
      <c r="R23" s="1077"/>
    </row>
    <row r="24" spans="2:18" x14ac:dyDescent="0.2">
      <c r="B24" s="1075"/>
      <c r="C24" s="1076"/>
      <c r="D24" s="1076"/>
      <c r="E24" s="1076"/>
      <c r="F24" s="1076"/>
      <c r="G24" s="1076"/>
      <c r="H24" s="1076"/>
      <c r="I24" s="1076"/>
      <c r="J24" s="1076"/>
      <c r="K24" s="1076"/>
      <c r="L24" s="1076"/>
      <c r="M24" s="1076"/>
      <c r="N24" s="1076"/>
      <c r="O24" s="1076"/>
      <c r="P24" s="1076"/>
      <c r="Q24" s="1076"/>
      <c r="R24" s="1077"/>
    </row>
    <row r="25" spans="2:18" x14ac:dyDescent="0.2">
      <c r="B25" s="1075"/>
      <c r="C25" s="1076"/>
      <c r="D25" s="1076"/>
      <c r="E25" s="1076"/>
      <c r="F25" s="1076"/>
      <c r="G25" s="1076"/>
      <c r="H25" s="1076"/>
      <c r="I25" s="1076"/>
      <c r="J25" s="1076"/>
      <c r="K25" s="1076"/>
      <c r="L25" s="1076"/>
      <c r="M25" s="1076"/>
      <c r="N25" s="1076"/>
      <c r="O25" s="1076"/>
      <c r="P25" s="1076"/>
      <c r="Q25" s="1076"/>
      <c r="R25" s="1077"/>
    </row>
    <row r="26" spans="2:18" x14ac:dyDescent="0.2">
      <c r="B26" s="1075"/>
      <c r="C26" s="1076"/>
      <c r="D26" s="1076"/>
      <c r="E26" s="1076"/>
      <c r="F26" s="1076"/>
      <c r="G26" s="1076"/>
      <c r="H26" s="1076"/>
      <c r="I26" s="1076"/>
      <c r="J26" s="1076"/>
      <c r="K26" s="1076"/>
      <c r="L26" s="1076"/>
      <c r="M26" s="1076"/>
      <c r="N26" s="1076"/>
      <c r="O26" s="1076"/>
      <c r="P26" s="1076"/>
      <c r="Q26" s="1076"/>
      <c r="R26" s="1077"/>
    </row>
    <row r="27" spans="2:18" x14ac:dyDescent="0.2">
      <c r="B27" s="1075"/>
      <c r="C27" s="1076"/>
      <c r="D27" s="1076"/>
      <c r="E27" s="1076"/>
      <c r="F27" s="1076"/>
      <c r="G27" s="1076"/>
      <c r="H27" s="1076"/>
      <c r="I27" s="1076"/>
      <c r="J27" s="1076"/>
      <c r="K27" s="1076"/>
      <c r="L27" s="1076"/>
      <c r="M27" s="1076"/>
      <c r="N27" s="1076"/>
      <c r="O27" s="1076"/>
      <c r="P27" s="1076"/>
      <c r="Q27" s="1076"/>
      <c r="R27" s="1077"/>
    </row>
    <row r="28" spans="2:18" x14ac:dyDescent="0.2">
      <c r="B28" s="1075"/>
      <c r="C28" s="1076"/>
      <c r="D28" s="1076"/>
      <c r="E28" s="1076"/>
      <c r="F28" s="1076"/>
      <c r="G28" s="1076"/>
      <c r="H28" s="1076"/>
      <c r="I28" s="1076"/>
      <c r="J28" s="1076"/>
      <c r="K28" s="1076"/>
      <c r="L28" s="1076"/>
      <c r="M28" s="1076"/>
      <c r="N28" s="1076"/>
      <c r="O28" s="1076"/>
      <c r="P28" s="1076"/>
      <c r="Q28" s="1076"/>
      <c r="R28" s="1077"/>
    </row>
    <row r="29" spans="2:18" x14ac:dyDescent="0.2">
      <c r="B29" s="1075"/>
      <c r="C29" s="1076"/>
      <c r="D29" s="1076"/>
      <c r="E29" s="1076"/>
      <c r="F29" s="1076"/>
      <c r="G29" s="1076"/>
      <c r="H29" s="1076"/>
      <c r="I29" s="1076"/>
      <c r="J29" s="1076"/>
      <c r="K29" s="1076"/>
      <c r="L29" s="1076"/>
      <c r="M29" s="1076"/>
      <c r="N29" s="1076"/>
      <c r="O29" s="1076"/>
      <c r="P29" s="1076"/>
      <c r="Q29" s="1076"/>
      <c r="R29" s="1077"/>
    </row>
    <row r="30" spans="2:18" x14ac:dyDescent="0.2">
      <c r="B30" s="1075"/>
      <c r="C30" s="1076"/>
      <c r="D30" s="1076"/>
      <c r="E30" s="1076"/>
      <c r="F30" s="1076"/>
      <c r="G30" s="1076"/>
      <c r="H30" s="1076"/>
      <c r="I30" s="1076"/>
      <c r="J30" s="1076"/>
      <c r="K30" s="1076"/>
      <c r="L30" s="1076"/>
      <c r="M30" s="1076"/>
      <c r="N30" s="1076"/>
      <c r="O30" s="1076"/>
      <c r="P30" s="1076"/>
      <c r="Q30" s="1076"/>
      <c r="R30" s="1077"/>
    </row>
    <row r="31" spans="2:18" x14ac:dyDescent="0.2">
      <c r="B31" s="1075"/>
      <c r="C31" s="1076"/>
      <c r="D31" s="1076"/>
      <c r="E31" s="1076"/>
      <c r="F31" s="1076"/>
      <c r="G31" s="1076"/>
      <c r="H31" s="1076"/>
      <c r="I31" s="1076"/>
      <c r="J31" s="1076"/>
      <c r="K31" s="1076"/>
      <c r="L31" s="1076"/>
      <c r="M31" s="1076"/>
      <c r="N31" s="1076"/>
      <c r="O31" s="1076"/>
      <c r="P31" s="1076"/>
      <c r="Q31" s="1076"/>
      <c r="R31" s="1077"/>
    </row>
    <row r="32" spans="2:18" x14ac:dyDescent="0.2">
      <c r="B32" s="1075"/>
      <c r="C32" s="1076"/>
      <c r="D32" s="1076"/>
      <c r="E32" s="1076"/>
      <c r="F32" s="1076"/>
      <c r="G32" s="1076"/>
      <c r="H32" s="1076"/>
      <c r="I32" s="1076"/>
      <c r="J32" s="1076"/>
      <c r="K32" s="1076"/>
      <c r="L32" s="1076"/>
      <c r="M32" s="1076"/>
      <c r="N32" s="1076"/>
      <c r="O32" s="1076"/>
      <c r="P32" s="1076"/>
      <c r="Q32" s="1076"/>
      <c r="R32" s="1077"/>
    </row>
    <row r="33" spans="2:18" x14ac:dyDescent="0.2">
      <c r="B33" s="1075"/>
      <c r="C33" s="1076"/>
      <c r="D33" s="1076"/>
      <c r="E33" s="1076"/>
      <c r="F33" s="1076"/>
      <c r="G33" s="1076"/>
      <c r="H33" s="1076"/>
      <c r="I33" s="1076"/>
      <c r="J33" s="1076"/>
      <c r="K33" s="1076"/>
      <c r="L33" s="1076"/>
      <c r="M33" s="1076"/>
      <c r="N33" s="1076"/>
      <c r="O33" s="1076"/>
      <c r="P33" s="1076"/>
      <c r="Q33" s="1076"/>
      <c r="R33" s="1077"/>
    </row>
    <row r="34" spans="2:18" x14ac:dyDescent="0.2">
      <c r="B34" s="1075"/>
      <c r="C34" s="1076"/>
      <c r="D34" s="1076"/>
      <c r="E34" s="1076"/>
      <c r="F34" s="1076"/>
      <c r="G34" s="1076"/>
      <c r="H34" s="1076"/>
      <c r="I34" s="1076"/>
      <c r="J34" s="1076"/>
      <c r="K34" s="1076"/>
      <c r="L34" s="1076"/>
      <c r="M34" s="1076"/>
      <c r="N34" s="1076"/>
      <c r="O34" s="1076"/>
      <c r="P34" s="1076"/>
      <c r="Q34" s="1076"/>
      <c r="R34" s="1077"/>
    </row>
    <row r="35" spans="2:18" x14ac:dyDescent="0.2">
      <c r="B35" s="1075"/>
      <c r="C35" s="1076"/>
      <c r="D35" s="1076"/>
      <c r="E35" s="1076"/>
      <c r="F35" s="1076"/>
      <c r="G35" s="1076"/>
      <c r="H35" s="1076"/>
      <c r="I35" s="1076"/>
      <c r="J35" s="1076"/>
      <c r="K35" s="1076"/>
      <c r="L35" s="1076"/>
      <c r="M35" s="1076"/>
      <c r="N35" s="1076"/>
      <c r="O35" s="1076"/>
      <c r="P35" s="1076"/>
      <c r="Q35" s="1076"/>
      <c r="R35" s="1077"/>
    </row>
    <row r="36" spans="2:18" x14ac:dyDescent="0.2">
      <c r="B36" s="1075"/>
      <c r="C36" s="1076"/>
      <c r="D36" s="1076"/>
      <c r="E36" s="1076"/>
      <c r="F36" s="1076"/>
      <c r="G36" s="1076"/>
      <c r="H36" s="1076"/>
      <c r="I36" s="1076"/>
      <c r="J36" s="1076"/>
      <c r="K36" s="1076"/>
      <c r="L36" s="1076"/>
      <c r="M36" s="1076"/>
      <c r="N36" s="1076"/>
      <c r="O36" s="1076"/>
      <c r="P36" s="1076"/>
      <c r="Q36" s="1076"/>
      <c r="R36" s="1077"/>
    </row>
    <row r="37" spans="2:18" x14ac:dyDescent="0.2">
      <c r="B37" s="1075"/>
      <c r="C37" s="1076"/>
      <c r="D37" s="1076"/>
      <c r="E37" s="1076"/>
      <c r="F37" s="1076"/>
      <c r="G37" s="1076"/>
      <c r="H37" s="1076"/>
      <c r="I37" s="1076"/>
      <c r="J37" s="1076"/>
      <c r="K37" s="1076"/>
      <c r="L37" s="1076"/>
      <c r="M37" s="1076"/>
      <c r="N37" s="1076"/>
      <c r="O37" s="1076"/>
      <c r="P37" s="1076"/>
      <c r="Q37" s="1076"/>
      <c r="R37" s="1077"/>
    </row>
    <row r="38" spans="2:18" x14ac:dyDescent="0.2">
      <c r="B38" s="1075"/>
      <c r="C38" s="1076"/>
      <c r="D38" s="1076"/>
      <c r="E38" s="1076"/>
      <c r="F38" s="1076"/>
      <c r="G38" s="1076"/>
      <c r="H38" s="1076"/>
      <c r="I38" s="1076"/>
      <c r="J38" s="1076"/>
      <c r="K38" s="1076"/>
      <c r="L38" s="1076"/>
      <c r="M38" s="1076"/>
      <c r="N38" s="1076"/>
      <c r="O38" s="1076"/>
      <c r="P38" s="1076"/>
      <c r="Q38" s="1076"/>
      <c r="R38" s="1077"/>
    </row>
    <row r="39" spans="2:18" x14ac:dyDescent="0.2">
      <c r="B39" s="1075"/>
      <c r="C39" s="1076"/>
      <c r="D39" s="1076"/>
      <c r="E39" s="1076"/>
      <c r="F39" s="1076"/>
      <c r="G39" s="1076"/>
      <c r="H39" s="1076"/>
      <c r="I39" s="1076"/>
      <c r="J39" s="1076"/>
      <c r="K39" s="1076"/>
      <c r="L39" s="1076"/>
      <c r="M39" s="1076"/>
      <c r="N39" s="1076"/>
      <c r="O39" s="1076"/>
      <c r="P39" s="1076"/>
      <c r="Q39" s="1076"/>
      <c r="R39" s="1077"/>
    </row>
    <row r="40" spans="2:18" x14ac:dyDescent="0.2">
      <c r="B40" s="1075"/>
      <c r="C40" s="1076"/>
      <c r="D40" s="1076"/>
      <c r="E40" s="1076"/>
      <c r="F40" s="1076"/>
      <c r="G40" s="1076"/>
      <c r="H40" s="1076"/>
      <c r="I40" s="1076"/>
      <c r="J40" s="1076"/>
      <c r="K40" s="1076"/>
      <c r="L40" s="1076"/>
      <c r="M40" s="1076"/>
      <c r="N40" s="1076"/>
      <c r="O40" s="1076"/>
      <c r="P40" s="1076"/>
      <c r="Q40" s="1076"/>
      <c r="R40" s="1077"/>
    </row>
    <row r="41" spans="2:18" x14ac:dyDescent="0.2">
      <c r="B41" s="1075"/>
      <c r="C41" s="1076"/>
      <c r="D41" s="1076"/>
      <c r="E41" s="1076"/>
      <c r="F41" s="1076"/>
      <c r="G41" s="1076"/>
      <c r="H41" s="1076"/>
      <c r="I41" s="1076"/>
      <c r="J41" s="1076"/>
      <c r="K41" s="1076"/>
      <c r="L41" s="1076"/>
      <c r="M41" s="1076"/>
      <c r="N41" s="1076"/>
      <c r="O41" s="1076"/>
      <c r="P41" s="1076"/>
      <c r="Q41" s="1076"/>
      <c r="R41" s="1077"/>
    </row>
    <row r="42" spans="2:18" x14ac:dyDescent="0.2">
      <c r="B42" s="1075"/>
      <c r="C42" s="1076"/>
      <c r="D42" s="1076"/>
      <c r="E42" s="1076"/>
      <c r="F42" s="1076"/>
      <c r="G42" s="1076"/>
      <c r="H42" s="1076"/>
      <c r="I42" s="1076"/>
      <c r="J42" s="1076"/>
      <c r="K42" s="1076"/>
      <c r="L42" s="1076"/>
      <c r="M42" s="1076"/>
      <c r="N42" s="1076"/>
      <c r="O42" s="1076"/>
      <c r="P42" s="1076"/>
      <c r="Q42" s="1076"/>
      <c r="R42" s="1077"/>
    </row>
    <row r="43" spans="2:18" x14ac:dyDescent="0.2">
      <c r="B43" s="1075"/>
      <c r="C43" s="1076"/>
      <c r="D43" s="1076"/>
      <c r="E43" s="1076"/>
      <c r="F43" s="1076"/>
      <c r="G43" s="1076"/>
      <c r="H43" s="1076"/>
      <c r="I43" s="1076"/>
      <c r="J43" s="1076"/>
      <c r="K43" s="1076"/>
      <c r="L43" s="1076"/>
      <c r="M43" s="1076"/>
      <c r="N43" s="1076"/>
      <c r="O43" s="1076"/>
      <c r="P43" s="1076"/>
      <c r="Q43" s="1076"/>
      <c r="R43" s="1077"/>
    </row>
    <row r="44" spans="2:18" x14ac:dyDescent="0.2">
      <c r="B44" s="1075"/>
      <c r="C44" s="1076"/>
      <c r="D44" s="1076"/>
      <c r="E44" s="1076"/>
      <c r="F44" s="1076"/>
      <c r="G44" s="1076"/>
      <c r="H44" s="1076"/>
      <c r="I44" s="1076"/>
      <c r="J44" s="1076"/>
      <c r="K44" s="1076"/>
      <c r="L44" s="1076"/>
      <c r="M44" s="1076"/>
      <c r="N44" s="1076"/>
      <c r="O44" s="1076"/>
      <c r="P44" s="1076"/>
      <c r="Q44" s="1076"/>
      <c r="R44" s="1077"/>
    </row>
    <row r="45" spans="2:18" x14ac:dyDescent="0.2">
      <c r="B45" s="1075"/>
      <c r="C45" s="1076"/>
      <c r="D45" s="1076"/>
      <c r="E45" s="1076"/>
      <c r="F45" s="1076"/>
      <c r="G45" s="1076"/>
      <c r="H45" s="1076"/>
      <c r="I45" s="1076"/>
      <c r="J45" s="1076"/>
      <c r="K45" s="1076"/>
      <c r="L45" s="1076"/>
      <c r="M45" s="1076"/>
      <c r="N45" s="1076"/>
      <c r="O45" s="1076"/>
      <c r="P45" s="1076"/>
      <c r="Q45" s="1076"/>
      <c r="R45" s="1077"/>
    </row>
    <row r="46" spans="2:18" x14ac:dyDescent="0.2">
      <c r="B46" s="1075"/>
      <c r="C46" s="1076"/>
      <c r="D46" s="1076"/>
      <c r="E46" s="1076"/>
      <c r="F46" s="1076"/>
      <c r="G46" s="1076"/>
      <c r="H46" s="1076"/>
      <c r="I46" s="1076"/>
      <c r="J46" s="1076"/>
      <c r="K46" s="1076"/>
      <c r="L46" s="1076"/>
      <c r="M46" s="1076"/>
      <c r="N46" s="1076"/>
      <c r="O46" s="1076"/>
      <c r="P46" s="1076"/>
      <c r="Q46" s="1076"/>
      <c r="R46" s="1077"/>
    </row>
    <row r="47" spans="2:18" x14ac:dyDescent="0.2">
      <c r="B47" s="1075"/>
      <c r="C47" s="1076"/>
      <c r="D47" s="1076"/>
      <c r="E47" s="1076"/>
      <c r="F47" s="1076"/>
      <c r="G47" s="1076"/>
      <c r="H47" s="1076"/>
      <c r="I47" s="1076"/>
      <c r="J47" s="1076"/>
      <c r="K47" s="1076"/>
      <c r="L47" s="1076"/>
      <c r="M47" s="1076"/>
      <c r="N47" s="1076"/>
      <c r="O47" s="1076"/>
      <c r="P47" s="1076"/>
      <c r="Q47" s="1076"/>
      <c r="R47" s="1077"/>
    </row>
    <row r="48" spans="2:18" x14ac:dyDescent="0.2">
      <c r="B48" s="1075"/>
      <c r="C48" s="1076"/>
      <c r="D48" s="1076"/>
      <c r="E48" s="1076"/>
      <c r="F48" s="1076"/>
      <c r="G48" s="1076"/>
      <c r="H48" s="1076"/>
      <c r="I48" s="1076"/>
      <c r="J48" s="1076"/>
      <c r="K48" s="1076"/>
      <c r="L48" s="1076"/>
      <c r="M48" s="1076"/>
      <c r="N48" s="1076"/>
      <c r="O48" s="1076"/>
      <c r="P48" s="1076"/>
      <c r="Q48" s="1076"/>
      <c r="R48" s="1077"/>
    </row>
    <row r="49" spans="2:18" x14ac:dyDescent="0.2">
      <c r="B49" s="1075"/>
      <c r="C49" s="1076"/>
      <c r="D49" s="1076"/>
      <c r="E49" s="1076"/>
      <c r="F49" s="1076"/>
      <c r="G49" s="1076"/>
      <c r="H49" s="1076"/>
      <c r="I49" s="1076"/>
      <c r="J49" s="1076"/>
      <c r="K49" s="1076"/>
      <c r="L49" s="1076"/>
      <c r="M49" s="1076"/>
      <c r="N49" s="1076"/>
      <c r="O49" s="1076"/>
      <c r="P49" s="1076"/>
      <c r="Q49" s="1076"/>
      <c r="R49" s="1077"/>
    </row>
    <row r="50" spans="2:18" x14ac:dyDescent="0.2">
      <c r="B50" s="1075"/>
      <c r="C50" s="1076"/>
      <c r="D50" s="1076"/>
      <c r="E50" s="1076"/>
      <c r="F50" s="1076"/>
      <c r="G50" s="1076"/>
      <c r="H50" s="1076"/>
      <c r="I50" s="1076"/>
      <c r="J50" s="1076"/>
      <c r="K50" s="1076"/>
      <c r="L50" s="1076"/>
      <c r="M50" s="1076"/>
      <c r="N50" s="1076"/>
      <c r="O50" s="1076"/>
      <c r="P50" s="1076"/>
      <c r="Q50" s="1076"/>
      <c r="R50" s="1077"/>
    </row>
    <row r="51" spans="2:18" x14ac:dyDescent="0.2">
      <c r="B51" s="1075"/>
      <c r="C51" s="1076"/>
      <c r="D51" s="1076"/>
      <c r="E51" s="1076"/>
      <c r="F51" s="1076"/>
      <c r="G51" s="1076"/>
      <c r="H51" s="1076"/>
      <c r="I51" s="1076"/>
      <c r="J51" s="1076"/>
      <c r="K51" s="1076"/>
      <c r="L51" s="1076"/>
      <c r="M51" s="1076"/>
      <c r="N51" s="1076"/>
      <c r="O51" s="1076"/>
      <c r="P51" s="1076"/>
      <c r="Q51" s="1076"/>
      <c r="R51" s="1077"/>
    </row>
    <row r="52" spans="2:18" x14ac:dyDescent="0.2">
      <c r="B52" s="1075"/>
      <c r="C52" s="1076"/>
      <c r="D52" s="1076"/>
      <c r="E52" s="1076"/>
      <c r="F52" s="1076"/>
      <c r="G52" s="1076"/>
      <c r="H52" s="1076"/>
      <c r="I52" s="1076"/>
      <c r="J52" s="1076"/>
      <c r="K52" s="1076"/>
      <c r="L52" s="1076"/>
      <c r="M52" s="1076"/>
      <c r="N52" s="1076"/>
      <c r="O52" s="1076"/>
      <c r="P52" s="1076"/>
      <c r="Q52" s="1076"/>
      <c r="R52" s="1077"/>
    </row>
    <row r="53" spans="2:18" x14ac:dyDescent="0.2">
      <c r="B53" s="1075"/>
      <c r="C53" s="1076"/>
      <c r="D53" s="1076"/>
      <c r="E53" s="1076"/>
      <c r="F53" s="1076"/>
      <c r="G53" s="1076"/>
      <c r="H53" s="1076"/>
      <c r="I53" s="1076"/>
      <c r="J53" s="1076"/>
      <c r="K53" s="1076"/>
      <c r="L53" s="1076"/>
      <c r="M53" s="1076"/>
      <c r="N53" s="1076"/>
      <c r="O53" s="1076"/>
      <c r="P53" s="1076"/>
      <c r="Q53" s="1076"/>
      <c r="R53" s="1077"/>
    </row>
    <row r="54" spans="2:18" x14ac:dyDescent="0.2">
      <c r="B54" s="1075"/>
      <c r="C54" s="1076"/>
      <c r="D54" s="1076"/>
      <c r="E54" s="1076"/>
      <c r="F54" s="1076"/>
      <c r="G54" s="1076"/>
      <c r="H54" s="1076"/>
      <c r="I54" s="1076"/>
      <c r="J54" s="1076"/>
      <c r="K54" s="1076"/>
      <c r="L54" s="1076"/>
      <c r="M54" s="1076"/>
      <c r="N54" s="1076"/>
      <c r="O54" s="1076"/>
      <c r="P54" s="1076"/>
      <c r="Q54" s="1076"/>
      <c r="R54" s="1077"/>
    </row>
    <row r="55" spans="2:18" x14ac:dyDescent="0.2">
      <c r="B55" s="1075"/>
      <c r="C55" s="1076"/>
      <c r="D55" s="1076"/>
      <c r="E55" s="1076"/>
      <c r="F55" s="1076"/>
      <c r="G55" s="1076"/>
      <c r="H55" s="1076"/>
      <c r="I55" s="1076"/>
      <c r="J55" s="1076"/>
      <c r="K55" s="1076"/>
      <c r="L55" s="1076"/>
      <c r="M55" s="1076"/>
      <c r="N55" s="1076"/>
      <c r="O55" s="1076"/>
      <c r="P55" s="1076"/>
      <c r="Q55" s="1076"/>
      <c r="R55" s="1077"/>
    </row>
    <row r="56" spans="2:18" x14ac:dyDescent="0.2">
      <c r="B56" s="1075"/>
      <c r="C56" s="1076"/>
      <c r="D56" s="1076"/>
      <c r="E56" s="1076"/>
      <c r="F56" s="1076"/>
      <c r="G56" s="1076"/>
      <c r="H56" s="1076"/>
      <c r="I56" s="1076"/>
      <c r="J56" s="1076"/>
      <c r="K56" s="1076"/>
      <c r="L56" s="1076"/>
      <c r="M56" s="1076"/>
      <c r="N56" s="1076"/>
      <c r="O56" s="1076"/>
      <c r="P56" s="1076"/>
      <c r="Q56" s="1076"/>
      <c r="R56" s="1077"/>
    </row>
    <row r="57" spans="2:18" x14ac:dyDescent="0.2">
      <c r="B57" s="1075"/>
      <c r="C57" s="1076"/>
      <c r="D57" s="1076"/>
      <c r="E57" s="1076"/>
      <c r="F57" s="1076"/>
      <c r="G57" s="1076"/>
      <c r="H57" s="1076"/>
      <c r="I57" s="1076"/>
      <c r="J57" s="1076"/>
      <c r="K57" s="1076"/>
      <c r="L57" s="1076"/>
      <c r="M57" s="1076"/>
      <c r="N57" s="1076"/>
      <c r="O57" s="1076"/>
      <c r="P57" s="1076"/>
      <c r="Q57" s="1076"/>
      <c r="R57" s="1077"/>
    </row>
    <row r="58" spans="2:18" x14ac:dyDescent="0.2">
      <c r="B58" s="1075"/>
      <c r="C58" s="1076"/>
      <c r="D58" s="1076"/>
      <c r="E58" s="1076"/>
      <c r="F58" s="1076"/>
      <c r="G58" s="1076"/>
      <c r="H58" s="1076"/>
      <c r="I58" s="1076"/>
      <c r="J58" s="1076"/>
      <c r="K58" s="1076"/>
      <c r="L58" s="1076"/>
      <c r="M58" s="1076"/>
      <c r="N58" s="1076"/>
      <c r="O58" s="1076"/>
      <c r="P58" s="1076"/>
      <c r="Q58" s="1076"/>
      <c r="R58" s="1077"/>
    </row>
    <row r="59" spans="2:18" x14ac:dyDescent="0.2">
      <c r="B59" s="1075"/>
      <c r="C59" s="1076"/>
      <c r="D59" s="1076"/>
      <c r="E59" s="1076"/>
      <c r="F59" s="1076"/>
      <c r="G59" s="1076"/>
      <c r="H59" s="1076"/>
      <c r="I59" s="1076"/>
      <c r="J59" s="1076"/>
      <c r="K59" s="1076"/>
      <c r="L59" s="1076"/>
      <c r="M59" s="1076"/>
      <c r="N59" s="1076"/>
      <c r="O59" s="1076"/>
      <c r="P59" s="1076"/>
      <c r="Q59" s="1076"/>
      <c r="R59" s="1077"/>
    </row>
    <row r="60" spans="2:18" x14ac:dyDescent="0.2">
      <c r="B60" s="1075"/>
      <c r="C60" s="1076"/>
      <c r="D60" s="1076"/>
      <c r="E60" s="1076"/>
      <c r="F60" s="1076"/>
      <c r="G60" s="1076"/>
      <c r="H60" s="1076"/>
      <c r="I60" s="1076"/>
      <c r="J60" s="1076"/>
      <c r="K60" s="1076"/>
      <c r="L60" s="1076"/>
      <c r="M60" s="1076"/>
      <c r="N60" s="1076"/>
      <c r="O60" s="1076"/>
      <c r="P60" s="1076"/>
      <c r="Q60" s="1076"/>
      <c r="R60" s="1077"/>
    </row>
    <row r="61" spans="2:18" x14ac:dyDescent="0.2">
      <c r="B61" s="1075"/>
      <c r="C61" s="1076"/>
      <c r="D61" s="1076"/>
      <c r="E61" s="1076"/>
      <c r="F61" s="1076"/>
      <c r="G61" s="1076"/>
      <c r="H61" s="1076"/>
      <c r="I61" s="1076"/>
      <c r="J61" s="1076"/>
      <c r="K61" s="1076"/>
      <c r="L61" s="1076"/>
      <c r="M61" s="1076"/>
      <c r="N61" s="1076"/>
      <c r="O61" s="1076"/>
      <c r="P61" s="1076"/>
      <c r="Q61" s="1076"/>
      <c r="R61" s="1077"/>
    </row>
    <row r="62" spans="2:18" x14ac:dyDescent="0.2">
      <c r="B62" s="1075"/>
      <c r="C62" s="1076"/>
      <c r="D62" s="1076"/>
      <c r="E62" s="1076"/>
      <c r="F62" s="1076"/>
      <c r="G62" s="1076"/>
      <c r="H62" s="1076"/>
      <c r="I62" s="1076"/>
      <c r="J62" s="1076"/>
      <c r="K62" s="1076"/>
      <c r="L62" s="1076"/>
      <c r="M62" s="1076"/>
      <c r="N62" s="1076"/>
      <c r="O62" s="1076"/>
      <c r="P62" s="1076"/>
      <c r="Q62" s="1076"/>
      <c r="R62" s="1077"/>
    </row>
    <row r="63" spans="2:18" x14ac:dyDescent="0.2">
      <c r="B63" s="1075"/>
      <c r="C63" s="1076"/>
      <c r="D63" s="1076"/>
      <c r="E63" s="1076"/>
      <c r="F63" s="1076"/>
      <c r="G63" s="1076"/>
      <c r="H63" s="1076"/>
      <c r="I63" s="1076"/>
      <c r="J63" s="1076"/>
      <c r="K63" s="1076"/>
      <c r="L63" s="1076"/>
      <c r="M63" s="1076"/>
      <c r="N63" s="1076"/>
      <c r="O63" s="1076"/>
      <c r="P63" s="1076"/>
      <c r="Q63" s="1076"/>
      <c r="R63" s="1077"/>
    </row>
    <row r="64" spans="2:18" x14ac:dyDescent="0.2">
      <c r="B64" s="1075"/>
      <c r="C64" s="1076"/>
      <c r="D64" s="1076"/>
      <c r="E64" s="1076"/>
      <c r="F64" s="1076"/>
      <c r="G64" s="1076"/>
      <c r="H64" s="1076"/>
      <c r="I64" s="1076"/>
      <c r="J64" s="1076"/>
      <c r="K64" s="1076"/>
      <c r="L64" s="1076"/>
      <c r="M64" s="1076"/>
      <c r="N64" s="1076"/>
      <c r="O64" s="1076"/>
      <c r="P64" s="1076"/>
      <c r="Q64" s="1076"/>
      <c r="R64" s="1077"/>
    </row>
    <row r="65" spans="2:18" x14ac:dyDescent="0.2">
      <c r="B65" s="1075"/>
      <c r="C65" s="1076"/>
      <c r="D65" s="1076"/>
      <c r="E65" s="1076"/>
      <c r="F65" s="1076"/>
      <c r="G65" s="1076"/>
      <c r="H65" s="1076"/>
      <c r="I65" s="1076"/>
      <c r="J65" s="1076"/>
      <c r="K65" s="1076"/>
      <c r="L65" s="1076"/>
      <c r="M65" s="1076"/>
      <c r="N65" s="1076"/>
      <c r="O65" s="1076"/>
      <c r="P65" s="1076"/>
      <c r="Q65" s="1076"/>
      <c r="R65" s="1077"/>
    </row>
    <row r="66" spans="2:18" x14ac:dyDescent="0.2">
      <c r="B66" s="1075"/>
      <c r="C66" s="1076"/>
      <c r="D66" s="1076"/>
      <c r="E66" s="1076"/>
      <c r="F66" s="1076"/>
      <c r="G66" s="1076"/>
      <c r="H66" s="1076"/>
      <c r="I66" s="1076"/>
      <c r="J66" s="1076"/>
      <c r="K66" s="1076"/>
      <c r="L66" s="1076"/>
      <c r="M66" s="1076"/>
      <c r="N66" s="1076"/>
      <c r="O66" s="1076"/>
      <c r="P66" s="1076"/>
      <c r="Q66" s="1076"/>
      <c r="R66" s="1077"/>
    </row>
    <row r="67" spans="2:18" x14ac:dyDescent="0.2">
      <c r="B67" s="1075"/>
      <c r="C67" s="1076"/>
      <c r="D67" s="1076"/>
      <c r="E67" s="1076"/>
      <c r="F67" s="1076"/>
      <c r="G67" s="1076"/>
      <c r="H67" s="1076"/>
      <c r="I67" s="1076"/>
      <c r="J67" s="1076"/>
      <c r="K67" s="1076"/>
      <c r="L67" s="1076"/>
      <c r="M67" s="1076"/>
      <c r="N67" s="1076"/>
      <c r="O67" s="1076"/>
      <c r="P67" s="1076"/>
      <c r="Q67" s="1076"/>
      <c r="R67" s="1077"/>
    </row>
    <row r="68" spans="2:18" x14ac:dyDescent="0.2">
      <c r="B68" s="1075"/>
      <c r="C68" s="1076"/>
      <c r="D68" s="1076"/>
      <c r="E68" s="1076"/>
      <c r="F68" s="1076"/>
      <c r="G68" s="1076"/>
      <c r="H68" s="1076"/>
      <c r="I68" s="1076"/>
      <c r="J68" s="1076"/>
      <c r="K68" s="1076"/>
      <c r="L68" s="1076"/>
      <c r="M68" s="1076"/>
      <c r="N68" s="1076"/>
      <c r="O68" s="1076"/>
      <c r="P68" s="1076"/>
      <c r="Q68" s="1076"/>
      <c r="R68" s="1077"/>
    </row>
    <row r="69" spans="2:18" x14ac:dyDescent="0.2">
      <c r="B69" s="1075"/>
      <c r="C69" s="1076"/>
      <c r="D69" s="1076"/>
      <c r="E69" s="1076"/>
      <c r="F69" s="1076"/>
      <c r="G69" s="1076"/>
      <c r="H69" s="1076"/>
      <c r="I69" s="1076"/>
      <c r="J69" s="1076"/>
      <c r="K69" s="1076"/>
      <c r="L69" s="1076"/>
      <c r="M69" s="1076"/>
      <c r="N69" s="1076"/>
      <c r="O69" s="1076"/>
      <c r="P69" s="1076"/>
      <c r="Q69" s="1076"/>
      <c r="R69" s="1077"/>
    </row>
    <row r="70" spans="2:18" x14ac:dyDescent="0.2">
      <c r="B70" s="1075"/>
      <c r="C70" s="1076"/>
      <c r="D70" s="1076"/>
      <c r="E70" s="1076"/>
      <c r="F70" s="1076"/>
      <c r="G70" s="1076"/>
      <c r="H70" s="1076"/>
      <c r="I70" s="1076"/>
      <c r="J70" s="1076"/>
      <c r="K70" s="1076"/>
      <c r="L70" s="1076"/>
      <c r="M70" s="1076"/>
      <c r="N70" s="1076"/>
      <c r="O70" s="1076"/>
      <c r="P70" s="1076"/>
      <c r="Q70" s="1076"/>
      <c r="R70" s="1077"/>
    </row>
    <row r="71" spans="2:18" x14ac:dyDescent="0.2">
      <c r="B71" s="1075"/>
      <c r="C71" s="1076"/>
      <c r="D71" s="1076"/>
      <c r="E71" s="1076"/>
      <c r="F71" s="1076"/>
      <c r="G71" s="1076"/>
      <c r="H71" s="1076"/>
      <c r="I71" s="1076"/>
      <c r="J71" s="1076"/>
      <c r="K71" s="1076"/>
      <c r="L71" s="1076"/>
      <c r="M71" s="1076"/>
      <c r="N71" s="1076"/>
      <c r="O71" s="1076"/>
      <c r="P71" s="1076"/>
      <c r="Q71" s="1076"/>
      <c r="R71" s="1077"/>
    </row>
    <row r="72" spans="2:18" x14ac:dyDescent="0.2">
      <c r="B72" s="1075"/>
      <c r="C72" s="1076"/>
      <c r="D72" s="1076"/>
      <c r="E72" s="1076"/>
      <c r="F72" s="1076"/>
      <c r="G72" s="1076"/>
      <c r="H72" s="1076"/>
      <c r="I72" s="1076"/>
      <c r="J72" s="1076"/>
      <c r="K72" s="1076"/>
      <c r="L72" s="1076"/>
      <c r="M72" s="1076"/>
      <c r="N72" s="1076"/>
      <c r="O72" s="1076"/>
      <c r="P72" s="1076"/>
      <c r="Q72" s="1076"/>
      <c r="R72" s="1077"/>
    </row>
    <row r="73" spans="2:18" x14ac:dyDescent="0.2">
      <c r="B73" s="1075"/>
      <c r="C73" s="1076"/>
      <c r="D73" s="1076"/>
      <c r="E73" s="1076"/>
      <c r="F73" s="1076"/>
      <c r="G73" s="1076"/>
      <c r="H73" s="1076"/>
      <c r="I73" s="1076"/>
      <c r="J73" s="1076"/>
      <c r="K73" s="1076"/>
      <c r="L73" s="1076"/>
      <c r="M73" s="1076"/>
      <c r="N73" s="1076"/>
      <c r="O73" s="1076"/>
      <c r="P73" s="1076"/>
      <c r="Q73" s="1076"/>
      <c r="R73" s="1077"/>
    </row>
    <row r="74" spans="2:18" x14ac:dyDescent="0.2">
      <c r="B74" s="1075"/>
      <c r="C74" s="1076"/>
      <c r="D74" s="1076"/>
      <c r="E74" s="1076"/>
      <c r="F74" s="1076"/>
      <c r="G74" s="1076"/>
      <c r="H74" s="1076"/>
      <c r="I74" s="1076"/>
      <c r="J74" s="1076"/>
      <c r="K74" s="1076"/>
      <c r="L74" s="1076"/>
      <c r="M74" s="1076"/>
      <c r="N74" s="1076"/>
      <c r="O74" s="1076"/>
      <c r="P74" s="1076"/>
      <c r="Q74" s="1076"/>
      <c r="R74" s="1077"/>
    </row>
    <row r="75" spans="2:18" x14ac:dyDescent="0.2">
      <c r="B75" s="1075"/>
      <c r="C75" s="1076"/>
      <c r="D75" s="1076"/>
      <c r="E75" s="1076"/>
      <c r="F75" s="1076"/>
      <c r="G75" s="1076"/>
      <c r="H75" s="1076"/>
      <c r="I75" s="1076"/>
      <c r="J75" s="1076"/>
      <c r="K75" s="1076"/>
      <c r="L75" s="1076"/>
      <c r="M75" s="1076"/>
      <c r="N75" s="1076"/>
      <c r="O75" s="1076"/>
      <c r="P75" s="1076"/>
      <c r="Q75" s="1076"/>
      <c r="R75" s="1077"/>
    </row>
    <row r="76" spans="2:18" x14ac:dyDescent="0.2">
      <c r="B76" s="1075"/>
      <c r="C76" s="1076"/>
      <c r="D76" s="1076"/>
      <c r="E76" s="1076"/>
      <c r="F76" s="1076"/>
      <c r="G76" s="1076"/>
      <c r="H76" s="1076"/>
      <c r="I76" s="1076"/>
      <c r="J76" s="1076"/>
      <c r="K76" s="1076"/>
      <c r="L76" s="1076"/>
      <c r="M76" s="1076"/>
      <c r="N76" s="1076"/>
      <c r="O76" s="1076"/>
      <c r="P76" s="1076"/>
      <c r="Q76" s="1076"/>
      <c r="R76" s="1077"/>
    </row>
    <row r="77" spans="2:18" x14ac:dyDescent="0.2">
      <c r="B77" s="1075"/>
      <c r="C77" s="1076"/>
      <c r="D77" s="1076"/>
      <c r="E77" s="1076"/>
      <c r="F77" s="1076"/>
      <c r="G77" s="1076"/>
      <c r="H77" s="1076"/>
      <c r="I77" s="1076"/>
      <c r="J77" s="1076"/>
      <c r="K77" s="1076"/>
      <c r="L77" s="1076"/>
      <c r="M77" s="1076"/>
      <c r="N77" s="1076"/>
      <c r="O77" s="1076"/>
      <c r="P77" s="1076"/>
      <c r="Q77" s="1076"/>
      <c r="R77" s="1077"/>
    </row>
    <row r="78" spans="2:18" x14ac:dyDescent="0.2">
      <c r="B78" s="1075"/>
      <c r="C78" s="1076"/>
      <c r="D78" s="1076"/>
      <c r="E78" s="1076"/>
      <c r="F78" s="1076"/>
      <c r="G78" s="1076"/>
      <c r="H78" s="1076"/>
      <c r="I78" s="1076"/>
      <c r="J78" s="1076"/>
      <c r="K78" s="1076"/>
      <c r="L78" s="1076"/>
      <c r="M78" s="1076"/>
      <c r="N78" s="1076"/>
      <c r="O78" s="1076"/>
      <c r="P78" s="1076"/>
      <c r="Q78" s="1076"/>
      <c r="R78" s="1077"/>
    </row>
    <row r="79" spans="2:18" x14ac:dyDescent="0.2">
      <c r="B79" s="1075"/>
      <c r="C79" s="1076"/>
      <c r="D79" s="1076"/>
      <c r="E79" s="1076"/>
      <c r="F79" s="1076"/>
      <c r="G79" s="1076"/>
      <c r="H79" s="1076"/>
      <c r="I79" s="1076"/>
      <c r="J79" s="1076"/>
      <c r="K79" s="1076"/>
      <c r="L79" s="1076"/>
      <c r="M79" s="1076"/>
      <c r="N79" s="1076"/>
      <c r="O79" s="1076"/>
      <c r="P79" s="1076"/>
      <c r="Q79" s="1076"/>
      <c r="R79" s="1077"/>
    </row>
    <row r="80" spans="2:18" x14ac:dyDescent="0.2">
      <c r="B80" s="1075"/>
      <c r="C80" s="1076"/>
      <c r="D80" s="1076"/>
      <c r="E80" s="1076"/>
      <c r="F80" s="1076"/>
      <c r="G80" s="1076"/>
      <c r="H80" s="1076"/>
      <c r="I80" s="1076"/>
      <c r="J80" s="1076"/>
      <c r="K80" s="1076"/>
      <c r="L80" s="1076"/>
      <c r="M80" s="1076"/>
      <c r="N80" s="1076"/>
      <c r="O80" s="1076"/>
      <c r="P80" s="1076"/>
      <c r="Q80" s="1076"/>
      <c r="R80" s="1077"/>
    </row>
    <row r="81" spans="2:18" x14ac:dyDescent="0.2">
      <c r="B81" s="1075"/>
      <c r="C81" s="1076"/>
      <c r="D81" s="1076"/>
      <c r="E81" s="1076"/>
      <c r="F81" s="1076"/>
      <c r="G81" s="1076"/>
      <c r="H81" s="1076"/>
      <c r="I81" s="1076"/>
      <c r="J81" s="1076"/>
      <c r="K81" s="1076"/>
      <c r="L81" s="1076"/>
      <c r="M81" s="1076"/>
      <c r="N81" s="1076"/>
      <c r="O81" s="1076"/>
      <c r="P81" s="1076"/>
      <c r="Q81" s="1076"/>
      <c r="R81" s="1077"/>
    </row>
    <row r="82" spans="2:18" x14ac:dyDescent="0.2">
      <c r="B82" s="1075"/>
      <c r="C82" s="1076"/>
      <c r="D82" s="1076"/>
      <c r="E82" s="1076"/>
      <c r="F82" s="1076"/>
      <c r="G82" s="1076"/>
      <c r="H82" s="1076"/>
      <c r="I82" s="1076"/>
      <c r="J82" s="1076"/>
      <c r="K82" s="1076"/>
      <c r="L82" s="1076"/>
      <c r="M82" s="1076"/>
      <c r="N82" s="1076"/>
      <c r="O82" s="1076"/>
      <c r="P82" s="1076"/>
      <c r="Q82" s="1076"/>
      <c r="R82" s="1077"/>
    </row>
    <row r="83" spans="2:18" x14ac:dyDescent="0.2">
      <c r="B83" s="1075"/>
      <c r="C83" s="1076"/>
      <c r="D83" s="1076"/>
      <c r="E83" s="1076"/>
      <c r="F83" s="1076"/>
      <c r="G83" s="1076"/>
      <c r="H83" s="1076"/>
      <c r="I83" s="1076"/>
      <c r="J83" s="1076"/>
      <c r="K83" s="1076"/>
      <c r="L83" s="1076"/>
      <c r="M83" s="1076"/>
      <c r="N83" s="1076"/>
      <c r="O83" s="1076"/>
      <c r="P83" s="1076"/>
      <c r="Q83" s="1076"/>
      <c r="R83" s="1077"/>
    </row>
    <row r="84" spans="2:18" x14ac:dyDescent="0.2">
      <c r="B84" s="1075"/>
      <c r="C84" s="1076"/>
      <c r="D84" s="1076"/>
      <c r="E84" s="1076"/>
      <c r="F84" s="1076"/>
      <c r="G84" s="1076"/>
      <c r="H84" s="1076"/>
      <c r="I84" s="1076"/>
      <c r="J84" s="1076"/>
      <c r="K84" s="1076"/>
      <c r="L84" s="1076"/>
      <c r="M84" s="1076"/>
      <c r="N84" s="1076"/>
      <c r="O84" s="1076"/>
      <c r="P84" s="1076"/>
      <c r="Q84" s="1076"/>
      <c r="R84" s="1077"/>
    </row>
    <row r="85" spans="2:18" x14ac:dyDescent="0.2">
      <c r="B85" s="1075"/>
      <c r="C85" s="1076"/>
      <c r="D85" s="1076"/>
      <c r="E85" s="1076"/>
      <c r="F85" s="1076"/>
      <c r="G85" s="1076"/>
      <c r="H85" s="1076"/>
      <c r="I85" s="1076"/>
      <c r="J85" s="1076"/>
      <c r="K85" s="1076"/>
      <c r="L85" s="1076"/>
      <c r="M85" s="1076"/>
      <c r="N85" s="1076"/>
      <c r="O85" s="1076"/>
      <c r="P85" s="1076"/>
      <c r="Q85" s="1076"/>
      <c r="R85" s="1077"/>
    </row>
    <row r="86" spans="2:18" x14ac:dyDescent="0.2">
      <c r="B86" s="1075"/>
      <c r="C86" s="1076"/>
      <c r="D86" s="1076"/>
      <c r="E86" s="1076"/>
      <c r="F86" s="1076"/>
      <c r="G86" s="1076"/>
      <c r="H86" s="1076"/>
      <c r="I86" s="1076"/>
      <c r="J86" s="1076"/>
      <c r="K86" s="1076"/>
      <c r="L86" s="1076"/>
      <c r="M86" s="1076"/>
      <c r="N86" s="1076"/>
      <c r="O86" s="1076"/>
      <c r="P86" s="1076"/>
      <c r="Q86" s="1076"/>
      <c r="R86" s="1077"/>
    </row>
    <row r="87" spans="2:18" x14ac:dyDescent="0.2">
      <c r="B87" s="1075"/>
      <c r="C87" s="1076"/>
      <c r="D87" s="1076"/>
      <c r="E87" s="1076"/>
      <c r="F87" s="1076"/>
      <c r="G87" s="1076"/>
      <c r="H87" s="1076"/>
      <c r="I87" s="1076"/>
      <c r="J87" s="1076"/>
      <c r="K87" s="1076"/>
      <c r="L87" s="1076"/>
      <c r="M87" s="1076"/>
      <c r="N87" s="1076"/>
      <c r="O87" s="1076"/>
      <c r="P87" s="1076"/>
      <c r="Q87" s="1076"/>
      <c r="R87" s="1077"/>
    </row>
    <row r="88" spans="2:18" x14ac:dyDescent="0.2">
      <c r="B88" s="1075"/>
      <c r="C88" s="1076"/>
      <c r="D88" s="1076"/>
      <c r="E88" s="1076"/>
      <c r="F88" s="1076"/>
      <c r="G88" s="1076"/>
      <c r="H88" s="1076"/>
      <c r="I88" s="1076"/>
      <c r="J88" s="1076"/>
      <c r="K88" s="1076"/>
      <c r="L88" s="1076"/>
      <c r="M88" s="1076"/>
      <c r="N88" s="1076"/>
      <c r="O88" s="1076"/>
      <c r="P88" s="1076"/>
      <c r="Q88" s="1076"/>
      <c r="R88" s="1077"/>
    </row>
    <row r="89" spans="2:18" x14ac:dyDescent="0.2">
      <c r="B89" s="1075"/>
      <c r="C89" s="1076"/>
      <c r="D89" s="1076"/>
      <c r="E89" s="1076"/>
      <c r="F89" s="1076"/>
      <c r="G89" s="1076"/>
      <c r="H89" s="1076"/>
      <c r="I89" s="1076"/>
      <c r="J89" s="1076"/>
      <c r="K89" s="1076"/>
      <c r="L89" s="1076"/>
      <c r="M89" s="1076"/>
      <c r="N89" s="1076"/>
      <c r="O89" s="1076"/>
      <c r="P89" s="1076"/>
      <c r="Q89" s="1076"/>
      <c r="R89" s="1077"/>
    </row>
    <row r="90" spans="2:18" x14ac:dyDescent="0.2">
      <c r="B90" s="1075"/>
      <c r="C90" s="1076"/>
      <c r="D90" s="1076"/>
      <c r="E90" s="1076"/>
      <c r="F90" s="1076"/>
      <c r="G90" s="1076"/>
      <c r="H90" s="1076"/>
      <c r="I90" s="1076"/>
      <c r="J90" s="1076"/>
      <c r="K90" s="1076"/>
      <c r="L90" s="1076"/>
      <c r="M90" s="1076"/>
      <c r="N90" s="1076"/>
      <c r="O90" s="1076"/>
      <c r="P90" s="1076"/>
      <c r="Q90" s="1076"/>
      <c r="R90" s="1077"/>
    </row>
    <row r="91" spans="2:18" x14ac:dyDescent="0.2">
      <c r="B91" s="1075"/>
      <c r="C91" s="1076"/>
      <c r="D91" s="1076"/>
      <c r="E91" s="1076"/>
      <c r="F91" s="1076"/>
      <c r="G91" s="1076"/>
      <c r="H91" s="1076"/>
      <c r="I91" s="1076"/>
      <c r="J91" s="1076"/>
      <c r="K91" s="1076"/>
      <c r="L91" s="1076"/>
      <c r="M91" s="1076"/>
      <c r="N91" s="1076"/>
      <c r="O91" s="1076"/>
      <c r="P91" s="1076"/>
      <c r="Q91" s="1076"/>
      <c r="R91" s="1077"/>
    </row>
    <row r="92" spans="2:18" x14ac:dyDescent="0.2">
      <c r="B92" s="1075"/>
      <c r="C92" s="1076"/>
      <c r="D92" s="1076"/>
      <c r="E92" s="1076"/>
      <c r="F92" s="1076"/>
      <c r="G92" s="1076"/>
      <c r="H92" s="1076"/>
      <c r="I92" s="1076"/>
      <c r="J92" s="1076"/>
      <c r="K92" s="1076"/>
      <c r="L92" s="1076"/>
      <c r="M92" s="1076"/>
      <c r="N92" s="1076"/>
      <c r="O92" s="1076"/>
      <c r="P92" s="1076"/>
      <c r="Q92" s="1076"/>
      <c r="R92" s="1077"/>
    </row>
    <row r="93" spans="2:18" x14ac:dyDescent="0.2">
      <c r="B93" s="1075"/>
      <c r="C93" s="1076"/>
      <c r="D93" s="1076"/>
      <c r="E93" s="1076"/>
      <c r="F93" s="1076"/>
      <c r="G93" s="1076"/>
      <c r="H93" s="1076"/>
      <c r="I93" s="1076"/>
      <c r="J93" s="1076"/>
      <c r="K93" s="1076"/>
      <c r="L93" s="1076"/>
      <c r="M93" s="1076"/>
      <c r="N93" s="1076"/>
      <c r="O93" s="1076"/>
      <c r="P93" s="1076"/>
      <c r="Q93" s="1076"/>
      <c r="R93" s="1077"/>
    </row>
    <row r="94" spans="2:18" x14ac:dyDescent="0.2">
      <c r="B94" s="1075"/>
      <c r="C94" s="1076"/>
      <c r="D94" s="1076"/>
      <c r="E94" s="1076"/>
      <c r="F94" s="1076"/>
      <c r="G94" s="1076"/>
      <c r="H94" s="1076"/>
      <c r="I94" s="1076"/>
      <c r="J94" s="1076"/>
      <c r="K94" s="1076"/>
      <c r="L94" s="1076"/>
      <c r="M94" s="1076"/>
      <c r="N94" s="1076"/>
      <c r="O94" s="1076"/>
      <c r="P94" s="1076"/>
      <c r="Q94" s="1076"/>
      <c r="R94" s="1077"/>
    </row>
    <row r="95" spans="2:18" s="269" customFormat="1" ht="15" x14ac:dyDescent="0.25">
      <c r="B95" s="172"/>
      <c r="C95" s="173"/>
      <c r="D95" s="322"/>
      <c r="E95" s="322"/>
      <c r="F95" s="322"/>
      <c r="G95" s="322"/>
      <c r="H95" s="323"/>
      <c r="I95" s="323"/>
      <c r="J95" s="323"/>
      <c r="K95" s="323"/>
      <c r="L95" s="323"/>
      <c r="M95" s="323"/>
      <c r="N95" s="323"/>
      <c r="O95" s="323"/>
      <c r="P95" s="323"/>
      <c r="Q95" s="176" t="s">
        <v>629</v>
      </c>
      <c r="R95" s="177"/>
    </row>
    <row r="96" spans="2:18" x14ac:dyDescent="0.2">
      <c r="B96" s="1072"/>
      <c r="C96" s="1073"/>
      <c r="D96" s="1073"/>
      <c r="E96" s="1073"/>
      <c r="F96" s="1073"/>
      <c r="G96" s="1073"/>
      <c r="H96" s="1073"/>
      <c r="I96" s="1073"/>
      <c r="J96" s="1073"/>
      <c r="K96" s="1073"/>
      <c r="L96" s="1073"/>
      <c r="M96" s="1073"/>
      <c r="N96" s="1073"/>
      <c r="O96" s="1073"/>
      <c r="P96" s="1073"/>
      <c r="Q96" s="1073"/>
      <c r="R96" s="1074"/>
    </row>
    <row r="97" spans="2:18" x14ac:dyDescent="0.2">
      <c r="B97" s="1075"/>
      <c r="C97" s="1076"/>
      <c r="D97" s="1076"/>
      <c r="E97" s="1076"/>
      <c r="F97" s="1076"/>
      <c r="G97" s="1076"/>
      <c r="H97" s="1076"/>
      <c r="I97" s="1076"/>
      <c r="J97" s="1076"/>
      <c r="K97" s="1076"/>
      <c r="L97" s="1076"/>
      <c r="M97" s="1076"/>
      <c r="N97" s="1076"/>
      <c r="O97" s="1076"/>
      <c r="P97" s="1076"/>
      <c r="Q97" s="1076"/>
      <c r="R97" s="1077"/>
    </row>
    <row r="98" spans="2:18" x14ac:dyDescent="0.2">
      <c r="B98" s="1075"/>
      <c r="C98" s="1076"/>
      <c r="D98" s="1076"/>
      <c r="E98" s="1076"/>
      <c r="F98" s="1076"/>
      <c r="G98" s="1076"/>
      <c r="H98" s="1076"/>
      <c r="I98" s="1076"/>
      <c r="J98" s="1076"/>
      <c r="K98" s="1076"/>
      <c r="L98" s="1076"/>
      <c r="M98" s="1076"/>
      <c r="N98" s="1076"/>
      <c r="O98" s="1076"/>
      <c r="P98" s="1076"/>
      <c r="Q98" s="1076"/>
      <c r="R98" s="1077"/>
    </row>
    <row r="99" spans="2:18" x14ac:dyDescent="0.2">
      <c r="B99" s="1075"/>
      <c r="C99" s="1076"/>
      <c r="D99" s="1076"/>
      <c r="E99" s="1076"/>
      <c r="F99" s="1076"/>
      <c r="G99" s="1076"/>
      <c r="H99" s="1076"/>
      <c r="I99" s="1076"/>
      <c r="J99" s="1076"/>
      <c r="K99" s="1076"/>
      <c r="L99" s="1076"/>
      <c r="M99" s="1076"/>
      <c r="N99" s="1076"/>
      <c r="O99" s="1076"/>
      <c r="P99" s="1076"/>
      <c r="Q99" s="1076"/>
      <c r="R99" s="1077"/>
    </row>
    <row r="100" spans="2:18" x14ac:dyDescent="0.2">
      <c r="B100" s="1075"/>
      <c r="C100" s="1076"/>
      <c r="D100" s="1076"/>
      <c r="E100" s="1076"/>
      <c r="F100" s="1076"/>
      <c r="G100" s="1076"/>
      <c r="H100" s="1076"/>
      <c r="I100" s="1076"/>
      <c r="J100" s="1076"/>
      <c r="K100" s="1076"/>
      <c r="L100" s="1076"/>
      <c r="M100" s="1076"/>
      <c r="N100" s="1076"/>
      <c r="O100" s="1076"/>
      <c r="P100" s="1076"/>
      <c r="Q100" s="1076"/>
      <c r="R100" s="1077"/>
    </row>
    <row r="101" spans="2:18" x14ac:dyDescent="0.2">
      <c r="B101" s="1075"/>
      <c r="C101" s="1076"/>
      <c r="D101" s="1076"/>
      <c r="E101" s="1076"/>
      <c r="F101" s="1076"/>
      <c r="G101" s="1076"/>
      <c r="H101" s="1076"/>
      <c r="I101" s="1076"/>
      <c r="J101" s="1076"/>
      <c r="K101" s="1076"/>
      <c r="L101" s="1076"/>
      <c r="M101" s="1076"/>
      <c r="N101" s="1076"/>
      <c r="O101" s="1076"/>
      <c r="P101" s="1076"/>
      <c r="Q101" s="1076"/>
      <c r="R101" s="1077"/>
    </row>
    <row r="102" spans="2:18" x14ac:dyDescent="0.2">
      <c r="B102" s="1075"/>
      <c r="C102" s="1076"/>
      <c r="D102" s="1076"/>
      <c r="E102" s="1076"/>
      <c r="F102" s="1076"/>
      <c r="G102" s="1076"/>
      <c r="H102" s="1076"/>
      <c r="I102" s="1076"/>
      <c r="J102" s="1076"/>
      <c r="K102" s="1076"/>
      <c r="L102" s="1076"/>
      <c r="M102" s="1076"/>
      <c r="N102" s="1076"/>
      <c r="O102" s="1076"/>
      <c r="P102" s="1076"/>
      <c r="Q102" s="1076"/>
      <c r="R102" s="1077"/>
    </row>
    <row r="103" spans="2:18" x14ac:dyDescent="0.2">
      <c r="B103" s="1075"/>
      <c r="C103" s="1076"/>
      <c r="D103" s="1076"/>
      <c r="E103" s="1076"/>
      <c r="F103" s="1076"/>
      <c r="G103" s="1076"/>
      <c r="H103" s="1076"/>
      <c r="I103" s="1076"/>
      <c r="J103" s="1076"/>
      <c r="K103" s="1076"/>
      <c r="L103" s="1076"/>
      <c r="M103" s="1076"/>
      <c r="N103" s="1076"/>
      <c r="O103" s="1076"/>
      <c r="P103" s="1076"/>
      <c r="Q103" s="1076"/>
      <c r="R103" s="1077"/>
    </row>
    <row r="104" spans="2:18" x14ac:dyDescent="0.2">
      <c r="B104" s="1075"/>
      <c r="C104" s="1076"/>
      <c r="D104" s="1076"/>
      <c r="E104" s="1076"/>
      <c r="F104" s="1076"/>
      <c r="G104" s="1076"/>
      <c r="H104" s="1076"/>
      <c r="I104" s="1076"/>
      <c r="J104" s="1076"/>
      <c r="K104" s="1076"/>
      <c r="L104" s="1076"/>
      <c r="M104" s="1076"/>
      <c r="N104" s="1076"/>
      <c r="O104" s="1076"/>
      <c r="P104" s="1076"/>
      <c r="Q104" s="1076"/>
      <c r="R104" s="1077"/>
    </row>
    <row r="105" spans="2:18" x14ac:dyDescent="0.2">
      <c r="B105" s="1075"/>
      <c r="C105" s="1076"/>
      <c r="D105" s="1076"/>
      <c r="E105" s="1076"/>
      <c r="F105" s="1076"/>
      <c r="G105" s="1076"/>
      <c r="H105" s="1076"/>
      <c r="I105" s="1076"/>
      <c r="J105" s="1076"/>
      <c r="K105" s="1076"/>
      <c r="L105" s="1076"/>
      <c r="M105" s="1076"/>
      <c r="N105" s="1076"/>
      <c r="O105" s="1076"/>
      <c r="P105" s="1076"/>
      <c r="Q105" s="1076"/>
      <c r="R105" s="1077"/>
    </row>
    <row r="106" spans="2:18" x14ac:dyDescent="0.2">
      <c r="B106" s="1075"/>
      <c r="C106" s="1076"/>
      <c r="D106" s="1076"/>
      <c r="E106" s="1076"/>
      <c r="F106" s="1076"/>
      <c r="G106" s="1076"/>
      <c r="H106" s="1076"/>
      <c r="I106" s="1076"/>
      <c r="J106" s="1076"/>
      <c r="K106" s="1076"/>
      <c r="L106" s="1076"/>
      <c r="M106" s="1076"/>
      <c r="N106" s="1076"/>
      <c r="O106" s="1076"/>
      <c r="P106" s="1076"/>
      <c r="Q106" s="1076"/>
      <c r="R106" s="1077"/>
    </row>
    <row r="107" spans="2:18" x14ac:dyDescent="0.2">
      <c r="B107" s="1075"/>
      <c r="C107" s="1076"/>
      <c r="D107" s="1076"/>
      <c r="E107" s="1076"/>
      <c r="F107" s="1076"/>
      <c r="G107" s="1076"/>
      <c r="H107" s="1076"/>
      <c r="I107" s="1076"/>
      <c r="J107" s="1076"/>
      <c r="K107" s="1076"/>
      <c r="L107" s="1076"/>
      <c r="M107" s="1076"/>
      <c r="N107" s="1076"/>
      <c r="O107" s="1076"/>
      <c r="P107" s="1076"/>
      <c r="Q107" s="1076"/>
      <c r="R107" s="1077"/>
    </row>
    <row r="108" spans="2:18" x14ac:dyDescent="0.2">
      <c r="B108" s="1075"/>
      <c r="C108" s="1076"/>
      <c r="D108" s="1076"/>
      <c r="E108" s="1076"/>
      <c r="F108" s="1076"/>
      <c r="G108" s="1076"/>
      <c r="H108" s="1076"/>
      <c r="I108" s="1076"/>
      <c r="J108" s="1076"/>
      <c r="K108" s="1076"/>
      <c r="L108" s="1076"/>
      <c r="M108" s="1076"/>
      <c r="N108" s="1076"/>
      <c r="O108" s="1076"/>
      <c r="P108" s="1076"/>
      <c r="Q108" s="1076"/>
      <c r="R108" s="1077"/>
    </row>
    <row r="109" spans="2:18" x14ac:dyDescent="0.2">
      <c r="B109" s="1075"/>
      <c r="C109" s="1076"/>
      <c r="D109" s="1076"/>
      <c r="E109" s="1076"/>
      <c r="F109" s="1076"/>
      <c r="G109" s="1076"/>
      <c r="H109" s="1076"/>
      <c r="I109" s="1076"/>
      <c r="J109" s="1076"/>
      <c r="K109" s="1076"/>
      <c r="L109" s="1076"/>
      <c r="M109" s="1076"/>
      <c r="N109" s="1076"/>
      <c r="O109" s="1076"/>
      <c r="P109" s="1076"/>
      <c r="Q109" s="1076"/>
      <c r="R109" s="1077"/>
    </row>
    <row r="110" spans="2:18" x14ac:dyDescent="0.2">
      <c r="B110" s="1075"/>
      <c r="C110" s="1076"/>
      <c r="D110" s="1076"/>
      <c r="E110" s="1076"/>
      <c r="F110" s="1076"/>
      <c r="G110" s="1076"/>
      <c r="H110" s="1076"/>
      <c r="I110" s="1076"/>
      <c r="J110" s="1076"/>
      <c r="K110" s="1076"/>
      <c r="L110" s="1076"/>
      <c r="M110" s="1076"/>
      <c r="N110" s="1076"/>
      <c r="O110" s="1076"/>
      <c r="P110" s="1076"/>
      <c r="Q110" s="1076"/>
      <c r="R110" s="1077"/>
    </row>
    <row r="111" spans="2:18" x14ac:dyDescent="0.2">
      <c r="B111" s="1075"/>
      <c r="C111" s="1076"/>
      <c r="D111" s="1076"/>
      <c r="E111" s="1076"/>
      <c r="F111" s="1076"/>
      <c r="G111" s="1076"/>
      <c r="H111" s="1076"/>
      <c r="I111" s="1076"/>
      <c r="J111" s="1076"/>
      <c r="K111" s="1076"/>
      <c r="L111" s="1076"/>
      <c r="M111" s="1076"/>
      <c r="N111" s="1076"/>
      <c r="O111" s="1076"/>
      <c r="P111" s="1076"/>
      <c r="Q111" s="1076"/>
      <c r="R111" s="1077"/>
    </row>
    <row r="112" spans="2:18" x14ac:dyDescent="0.2">
      <c r="B112" s="1075"/>
      <c r="C112" s="1076"/>
      <c r="D112" s="1076"/>
      <c r="E112" s="1076"/>
      <c r="F112" s="1076"/>
      <c r="G112" s="1076"/>
      <c r="H112" s="1076"/>
      <c r="I112" s="1076"/>
      <c r="J112" s="1076"/>
      <c r="K112" s="1076"/>
      <c r="L112" s="1076"/>
      <c r="M112" s="1076"/>
      <c r="N112" s="1076"/>
      <c r="O112" s="1076"/>
      <c r="P112" s="1076"/>
      <c r="Q112" s="1076"/>
      <c r="R112" s="1077"/>
    </row>
    <row r="113" spans="2:18" x14ac:dyDescent="0.2">
      <c r="B113" s="1075"/>
      <c r="C113" s="1076"/>
      <c r="D113" s="1076"/>
      <c r="E113" s="1076"/>
      <c r="F113" s="1076"/>
      <c r="G113" s="1076"/>
      <c r="H113" s="1076"/>
      <c r="I113" s="1076"/>
      <c r="J113" s="1076"/>
      <c r="K113" s="1076"/>
      <c r="L113" s="1076"/>
      <c r="M113" s="1076"/>
      <c r="N113" s="1076"/>
      <c r="O113" s="1076"/>
      <c r="P113" s="1076"/>
      <c r="Q113" s="1076"/>
      <c r="R113" s="1077"/>
    </row>
    <row r="114" spans="2:18" x14ac:dyDescent="0.2">
      <c r="B114" s="1075"/>
      <c r="C114" s="1076"/>
      <c r="D114" s="1076"/>
      <c r="E114" s="1076"/>
      <c r="F114" s="1076"/>
      <c r="G114" s="1076"/>
      <c r="H114" s="1076"/>
      <c r="I114" s="1076"/>
      <c r="J114" s="1076"/>
      <c r="K114" s="1076"/>
      <c r="L114" s="1076"/>
      <c r="M114" s="1076"/>
      <c r="N114" s="1076"/>
      <c r="O114" s="1076"/>
      <c r="P114" s="1076"/>
      <c r="Q114" s="1076"/>
      <c r="R114" s="1077"/>
    </row>
    <row r="115" spans="2:18" x14ac:dyDescent="0.2">
      <c r="B115" s="1075"/>
      <c r="C115" s="1076"/>
      <c r="D115" s="1076"/>
      <c r="E115" s="1076"/>
      <c r="F115" s="1076"/>
      <c r="G115" s="1076"/>
      <c r="H115" s="1076"/>
      <c r="I115" s="1076"/>
      <c r="J115" s="1076"/>
      <c r="K115" s="1076"/>
      <c r="L115" s="1076"/>
      <c r="M115" s="1076"/>
      <c r="N115" s="1076"/>
      <c r="O115" s="1076"/>
      <c r="P115" s="1076"/>
      <c r="Q115" s="1076"/>
      <c r="R115" s="1077"/>
    </row>
    <row r="116" spans="2:18" x14ac:dyDescent="0.2">
      <c r="B116" s="1075"/>
      <c r="C116" s="1076"/>
      <c r="D116" s="1076"/>
      <c r="E116" s="1076"/>
      <c r="F116" s="1076"/>
      <c r="G116" s="1076"/>
      <c r="H116" s="1076"/>
      <c r="I116" s="1076"/>
      <c r="J116" s="1076"/>
      <c r="K116" s="1076"/>
      <c r="L116" s="1076"/>
      <c r="M116" s="1076"/>
      <c r="N116" s="1076"/>
      <c r="O116" s="1076"/>
      <c r="P116" s="1076"/>
      <c r="Q116" s="1076"/>
      <c r="R116" s="1077"/>
    </row>
    <row r="117" spans="2:18" x14ac:dyDescent="0.2">
      <c r="B117" s="1075"/>
      <c r="C117" s="1076"/>
      <c r="D117" s="1076"/>
      <c r="E117" s="1076"/>
      <c r="F117" s="1076"/>
      <c r="G117" s="1076"/>
      <c r="H117" s="1076"/>
      <c r="I117" s="1076"/>
      <c r="J117" s="1076"/>
      <c r="K117" s="1076"/>
      <c r="L117" s="1076"/>
      <c r="M117" s="1076"/>
      <c r="N117" s="1076"/>
      <c r="O117" s="1076"/>
      <c r="P117" s="1076"/>
      <c r="Q117" s="1076"/>
      <c r="R117" s="1077"/>
    </row>
    <row r="118" spans="2:18" x14ac:dyDescent="0.2">
      <c r="B118" s="1075"/>
      <c r="C118" s="1076"/>
      <c r="D118" s="1076"/>
      <c r="E118" s="1076"/>
      <c r="F118" s="1076"/>
      <c r="G118" s="1076"/>
      <c r="H118" s="1076"/>
      <c r="I118" s="1076"/>
      <c r="J118" s="1076"/>
      <c r="K118" s="1076"/>
      <c r="L118" s="1076"/>
      <c r="M118" s="1076"/>
      <c r="N118" s="1076"/>
      <c r="O118" s="1076"/>
      <c r="P118" s="1076"/>
      <c r="Q118" s="1076"/>
      <c r="R118" s="1077"/>
    </row>
    <row r="119" spans="2:18" x14ac:dyDescent="0.2">
      <c r="B119" s="1075"/>
      <c r="C119" s="1076"/>
      <c r="D119" s="1076"/>
      <c r="E119" s="1076"/>
      <c r="F119" s="1076"/>
      <c r="G119" s="1076"/>
      <c r="H119" s="1076"/>
      <c r="I119" s="1076"/>
      <c r="J119" s="1076"/>
      <c r="K119" s="1076"/>
      <c r="L119" s="1076"/>
      <c r="M119" s="1076"/>
      <c r="N119" s="1076"/>
      <c r="O119" s="1076"/>
      <c r="P119" s="1076"/>
      <c r="Q119" s="1076"/>
      <c r="R119" s="1077"/>
    </row>
    <row r="120" spans="2:18" s="1085" customFormat="1" ht="12.75" customHeight="1" x14ac:dyDescent="0.3">
      <c r="B120" s="1086"/>
      <c r="C120" s="1084"/>
      <c r="D120" s="1084"/>
      <c r="E120" s="1084"/>
      <c r="F120" s="1084"/>
      <c r="G120" s="1084"/>
      <c r="H120" s="1084"/>
      <c r="I120" s="1084"/>
      <c r="J120" s="1084"/>
      <c r="K120" s="1084"/>
      <c r="L120" s="1084"/>
      <c r="M120" s="1084"/>
      <c r="N120" s="1084"/>
      <c r="O120" s="1084"/>
      <c r="P120" s="1084"/>
      <c r="Q120" s="1084"/>
      <c r="R120" s="1087"/>
    </row>
    <row r="121" spans="2:18" x14ac:dyDescent="0.2">
      <c r="B121" s="1075"/>
      <c r="C121" s="1076"/>
      <c r="D121" s="1076"/>
      <c r="E121" s="1076"/>
      <c r="F121" s="1076"/>
      <c r="G121" s="1076"/>
      <c r="H121" s="1076"/>
      <c r="I121" s="1076"/>
      <c r="J121" s="1076"/>
      <c r="K121" s="1076"/>
      <c r="L121" s="1076"/>
      <c r="M121" s="1076"/>
      <c r="N121" s="1076"/>
      <c r="O121" s="1076"/>
      <c r="P121" s="1076"/>
      <c r="Q121" s="1076"/>
      <c r="R121" s="1077"/>
    </row>
    <row r="122" spans="2:18" x14ac:dyDescent="0.2">
      <c r="B122" s="1075"/>
      <c r="C122" s="1076"/>
      <c r="D122" s="1076"/>
      <c r="E122" s="1076"/>
      <c r="F122" s="1076"/>
      <c r="G122" s="1076"/>
      <c r="H122" s="1076"/>
      <c r="I122" s="1076"/>
      <c r="J122" s="1076"/>
      <c r="K122" s="1076"/>
      <c r="L122" s="1076"/>
      <c r="M122" s="1076"/>
      <c r="N122" s="1076"/>
      <c r="O122" s="1076"/>
      <c r="P122" s="1076"/>
      <c r="Q122" s="1076"/>
      <c r="R122" s="1077"/>
    </row>
    <row r="123" spans="2:18" x14ac:dyDescent="0.2">
      <c r="B123" s="1075"/>
      <c r="C123" s="1076"/>
      <c r="D123" s="1076"/>
      <c r="E123" s="1076"/>
      <c r="F123" s="1076"/>
      <c r="G123" s="1076"/>
      <c r="H123" s="1076"/>
      <c r="I123" s="1076"/>
      <c r="J123" s="1076"/>
      <c r="K123" s="1076"/>
      <c r="L123" s="1076"/>
      <c r="M123" s="1076"/>
      <c r="N123" s="1076"/>
      <c r="O123" s="1076"/>
      <c r="P123" s="1076"/>
      <c r="Q123" s="1076"/>
      <c r="R123" s="1077"/>
    </row>
    <row r="124" spans="2:18" x14ac:dyDescent="0.2">
      <c r="B124" s="1075"/>
      <c r="C124" s="1076"/>
      <c r="D124" s="1076"/>
      <c r="E124" s="1076"/>
      <c r="F124" s="1076"/>
      <c r="G124" s="1076"/>
      <c r="H124" s="1076"/>
      <c r="I124" s="1076"/>
      <c r="J124" s="1076"/>
      <c r="K124" s="1076"/>
      <c r="L124" s="1076"/>
      <c r="M124" s="1076"/>
      <c r="N124" s="1076"/>
      <c r="O124" s="1076"/>
      <c r="P124" s="1076"/>
      <c r="Q124" s="1076"/>
      <c r="R124" s="1077"/>
    </row>
    <row r="125" spans="2:18" x14ac:dyDescent="0.2">
      <c r="B125" s="1075"/>
      <c r="C125" s="1076"/>
      <c r="D125" s="1076"/>
      <c r="E125" s="1076"/>
      <c r="F125" s="1076"/>
      <c r="G125" s="1076"/>
      <c r="H125" s="1076"/>
      <c r="I125" s="1076"/>
      <c r="J125" s="1076"/>
      <c r="K125" s="1076"/>
      <c r="L125" s="1076"/>
      <c r="M125" s="1076"/>
      <c r="N125" s="1076"/>
      <c r="O125" s="1076"/>
      <c r="P125" s="1076"/>
      <c r="Q125" s="1076"/>
      <c r="R125" s="1077"/>
    </row>
    <row r="126" spans="2:18" x14ac:dyDescent="0.2">
      <c r="B126" s="1075"/>
      <c r="C126" s="1076"/>
      <c r="D126" s="1076"/>
      <c r="E126" s="1076"/>
      <c r="F126" s="1076"/>
      <c r="G126" s="1076"/>
      <c r="H126" s="1076"/>
      <c r="I126" s="1076"/>
      <c r="J126" s="1076"/>
      <c r="K126" s="1076"/>
      <c r="L126" s="1076"/>
      <c r="M126" s="1076"/>
      <c r="N126" s="1076"/>
      <c r="O126" s="1076"/>
      <c r="P126" s="1076"/>
      <c r="Q126" s="1076"/>
      <c r="R126" s="1077"/>
    </row>
    <row r="127" spans="2:18" x14ac:dyDescent="0.2">
      <c r="B127" s="1075"/>
      <c r="C127" s="1076"/>
      <c r="D127" s="1076"/>
      <c r="E127" s="1076"/>
      <c r="F127" s="1076"/>
      <c r="G127" s="1076"/>
      <c r="H127" s="1076"/>
      <c r="I127" s="1076"/>
      <c r="J127" s="1076"/>
      <c r="K127" s="1076"/>
      <c r="L127" s="1076"/>
      <c r="M127" s="1076"/>
      <c r="N127" s="1076"/>
      <c r="O127" s="1076"/>
      <c r="P127" s="1076"/>
      <c r="Q127" s="1076"/>
      <c r="R127" s="1077"/>
    </row>
    <row r="128" spans="2:18" x14ac:dyDescent="0.2">
      <c r="B128" s="1075"/>
      <c r="C128" s="1076"/>
      <c r="D128" s="1076"/>
      <c r="E128" s="1076"/>
      <c r="F128" s="1076"/>
      <c r="G128" s="1076"/>
      <c r="H128" s="1076"/>
      <c r="I128" s="1076"/>
      <c r="J128" s="1076"/>
      <c r="K128" s="1076"/>
      <c r="L128" s="1076"/>
      <c r="M128" s="1076"/>
      <c r="N128" s="1076"/>
      <c r="O128" s="1076"/>
      <c r="P128" s="1076"/>
      <c r="Q128" s="1076"/>
      <c r="R128" s="1077"/>
    </row>
    <row r="129" spans="2:18" x14ac:dyDescent="0.2">
      <c r="B129" s="1075"/>
      <c r="C129" s="1076"/>
      <c r="D129" s="1076"/>
      <c r="E129" s="1076"/>
      <c r="F129" s="1076"/>
      <c r="G129" s="1076"/>
      <c r="H129" s="1076"/>
      <c r="I129" s="1076"/>
      <c r="J129" s="1076"/>
      <c r="K129" s="1076"/>
      <c r="L129" s="1076"/>
      <c r="M129" s="1076"/>
      <c r="N129" s="1076"/>
      <c r="O129" s="1076"/>
      <c r="P129" s="1076"/>
      <c r="Q129" s="1076"/>
      <c r="R129" s="1077"/>
    </row>
    <row r="130" spans="2:18" x14ac:dyDescent="0.2">
      <c r="B130" s="1075"/>
      <c r="C130" s="1076"/>
      <c r="D130" s="1076"/>
      <c r="E130" s="1076"/>
      <c r="F130" s="1076"/>
      <c r="G130" s="1076"/>
      <c r="H130" s="1076"/>
      <c r="I130" s="1076"/>
      <c r="J130" s="1076"/>
      <c r="K130" s="1076"/>
      <c r="L130" s="1076"/>
      <c r="M130" s="1076"/>
      <c r="N130" s="1076"/>
      <c r="O130" s="1076"/>
      <c r="P130" s="1076"/>
      <c r="Q130" s="1076"/>
      <c r="R130" s="1077"/>
    </row>
    <row r="131" spans="2:18" x14ac:dyDescent="0.2">
      <c r="B131" s="1075"/>
      <c r="C131" s="1076"/>
      <c r="D131" s="1076"/>
      <c r="E131" s="1076"/>
      <c r="F131" s="1076"/>
      <c r="G131" s="1076"/>
      <c r="H131" s="1076"/>
      <c r="I131" s="1076"/>
      <c r="J131" s="1076"/>
      <c r="K131" s="1076"/>
      <c r="L131" s="1076"/>
      <c r="M131" s="1076"/>
      <c r="N131" s="1076"/>
      <c r="O131" s="1076"/>
      <c r="P131" s="1076"/>
      <c r="Q131" s="1076"/>
      <c r="R131" s="1077"/>
    </row>
    <row r="132" spans="2:18" x14ac:dyDescent="0.2">
      <c r="B132" s="1075"/>
      <c r="C132" s="1076"/>
      <c r="D132" s="1076"/>
      <c r="E132" s="1076"/>
      <c r="F132" s="1076"/>
      <c r="G132" s="1076"/>
      <c r="H132" s="1076"/>
      <c r="I132" s="1076"/>
      <c r="J132" s="1076"/>
      <c r="K132" s="1076"/>
      <c r="L132" s="1076"/>
      <c r="M132" s="1076"/>
      <c r="N132" s="1076"/>
      <c r="O132" s="1076"/>
      <c r="P132" s="1076"/>
      <c r="Q132" s="1076"/>
      <c r="R132" s="1077"/>
    </row>
    <row r="133" spans="2:18" x14ac:dyDescent="0.2">
      <c r="B133" s="1075"/>
      <c r="C133" s="1076"/>
      <c r="D133" s="1076"/>
      <c r="E133" s="1076"/>
      <c r="F133" s="1076"/>
      <c r="G133" s="1076"/>
      <c r="H133" s="1076"/>
      <c r="I133" s="1076"/>
      <c r="J133" s="1076"/>
      <c r="K133" s="1076"/>
      <c r="L133" s="1076"/>
      <c r="M133" s="1076"/>
      <c r="N133" s="1076"/>
      <c r="O133" s="1076"/>
      <c r="P133" s="1076"/>
      <c r="Q133" s="1076"/>
      <c r="R133" s="1077"/>
    </row>
    <row r="134" spans="2:18" x14ac:dyDescent="0.2">
      <c r="B134" s="1075"/>
      <c r="C134" s="1076"/>
      <c r="D134" s="1076"/>
      <c r="E134" s="1076"/>
      <c r="F134" s="1076"/>
      <c r="G134" s="1076"/>
      <c r="H134" s="1076"/>
      <c r="I134" s="1076"/>
      <c r="J134" s="1076"/>
      <c r="K134" s="1076"/>
      <c r="L134" s="1076"/>
      <c r="M134" s="1076"/>
      <c r="N134" s="1076"/>
      <c r="O134" s="1076"/>
      <c r="P134" s="1076"/>
      <c r="Q134" s="1076"/>
      <c r="R134" s="1077"/>
    </row>
    <row r="135" spans="2:18" x14ac:dyDescent="0.2">
      <c r="B135" s="1075"/>
      <c r="C135" s="1076"/>
      <c r="D135" s="1076"/>
      <c r="E135" s="1076"/>
      <c r="F135" s="1076"/>
      <c r="G135" s="1076"/>
      <c r="H135" s="1076"/>
      <c r="I135" s="1076"/>
      <c r="J135" s="1076"/>
      <c r="K135" s="1076"/>
      <c r="L135" s="1076"/>
      <c r="M135" s="1076"/>
      <c r="N135" s="1076"/>
      <c r="O135" s="1076"/>
      <c r="P135" s="1076"/>
      <c r="Q135" s="1076"/>
      <c r="R135" s="1077"/>
    </row>
    <row r="136" spans="2:18" x14ac:dyDescent="0.2">
      <c r="B136" s="1075"/>
      <c r="C136" s="1076"/>
      <c r="D136" s="1076"/>
      <c r="E136" s="1076"/>
      <c r="F136" s="1076"/>
      <c r="G136" s="1076"/>
      <c r="H136" s="1076"/>
      <c r="I136" s="1076"/>
      <c r="J136" s="1076"/>
      <c r="K136" s="1076"/>
      <c r="L136" s="1076"/>
      <c r="M136" s="1076"/>
      <c r="N136" s="1076"/>
      <c r="O136" s="1076"/>
      <c r="P136" s="1076"/>
      <c r="Q136" s="1076"/>
      <c r="R136" s="1077"/>
    </row>
    <row r="137" spans="2:18" x14ac:dyDescent="0.2">
      <c r="B137" s="1075"/>
      <c r="C137" s="1076"/>
      <c r="D137" s="1076"/>
      <c r="E137" s="1076"/>
      <c r="F137" s="1076"/>
      <c r="G137" s="1076"/>
      <c r="H137" s="1076"/>
      <c r="I137" s="1076"/>
      <c r="J137" s="1076"/>
      <c r="K137" s="1076"/>
      <c r="L137" s="1076"/>
      <c r="M137" s="1076"/>
      <c r="N137" s="1076"/>
      <c r="O137" s="1076"/>
      <c r="P137" s="1076"/>
      <c r="Q137" s="1076"/>
      <c r="R137" s="1077"/>
    </row>
    <row r="138" spans="2:18" x14ac:dyDescent="0.2">
      <c r="B138" s="1075"/>
      <c r="C138" s="1076"/>
      <c r="D138" s="1076"/>
      <c r="E138" s="1076"/>
      <c r="F138" s="1076"/>
      <c r="G138" s="1076"/>
      <c r="H138" s="1076"/>
      <c r="I138" s="1076"/>
      <c r="J138" s="1076"/>
      <c r="K138" s="1076"/>
      <c r="L138" s="1076"/>
      <c r="M138" s="1076"/>
      <c r="N138" s="1076"/>
      <c r="O138" s="1076"/>
      <c r="P138" s="1076"/>
      <c r="Q138" s="1076"/>
      <c r="R138" s="1077"/>
    </row>
    <row r="139" spans="2:18" x14ac:dyDescent="0.2">
      <c r="B139" s="1075"/>
      <c r="C139" s="1076"/>
      <c r="D139" s="1076"/>
      <c r="E139" s="1076"/>
      <c r="F139" s="1076"/>
      <c r="G139" s="1076"/>
      <c r="H139" s="1076"/>
      <c r="I139" s="1076"/>
      <c r="J139" s="1076"/>
      <c r="K139" s="1076"/>
      <c r="L139" s="1076"/>
      <c r="M139" s="1076"/>
      <c r="N139" s="1076"/>
      <c r="O139" s="1076"/>
      <c r="P139" s="1076"/>
      <c r="Q139" s="1076"/>
      <c r="R139" s="1077"/>
    </row>
    <row r="140" spans="2:18" x14ac:dyDescent="0.2">
      <c r="B140" s="1075"/>
      <c r="C140" s="1076"/>
      <c r="D140" s="1076"/>
      <c r="E140" s="1076"/>
      <c r="F140" s="1076"/>
      <c r="G140" s="1076"/>
      <c r="H140" s="1076"/>
      <c r="I140" s="1076"/>
      <c r="J140" s="1076"/>
      <c r="K140" s="1076"/>
      <c r="L140" s="1076"/>
      <c r="M140" s="1076"/>
      <c r="N140" s="1076"/>
      <c r="O140" s="1076"/>
      <c r="P140" s="1076"/>
      <c r="Q140" s="1076"/>
      <c r="R140" s="1077"/>
    </row>
    <row r="141" spans="2:18" x14ac:dyDescent="0.2">
      <c r="B141" s="1075"/>
      <c r="C141" s="1076"/>
      <c r="D141" s="1076"/>
      <c r="E141" s="1076"/>
      <c r="F141" s="1076"/>
      <c r="G141" s="1076"/>
      <c r="H141" s="1076"/>
      <c r="I141" s="1076"/>
      <c r="J141" s="1076"/>
      <c r="K141" s="1076"/>
      <c r="L141" s="1076"/>
      <c r="M141" s="1076"/>
      <c r="N141" s="1076"/>
      <c r="O141" s="1076"/>
      <c r="P141" s="1076"/>
      <c r="Q141" s="1076"/>
      <c r="R141" s="1077"/>
    </row>
    <row r="142" spans="2:18" x14ac:dyDescent="0.2">
      <c r="B142" s="1075"/>
      <c r="C142" s="1076"/>
      <c r="D142" s="1076"/>
      <c r="E142" s="1076"/>
      <c r="F142" s="1076"/>
      <c r="G142" s="1076"/>
      <c r="H142" s="1076"/>
      <c r="I142" s="1076"/>
      <c r="J142" s="1076"/>
      <c r="K142" s="1076"/>
      <c r="L142" s="1076"/>
      <c r="M142" s="1076"/>
      <c r="N142" s="1076"/>
      <c r="O142" s="1076"/>
      <c r="P142" s="1076"/>
      <c r="Q142" s="1076"/>
      <c r="R142" s="1077"/>
    </row>
    <row r="143" spans="2:18" x14ac:dyDescent="0.2">
      <c r="B143" s="1075"/>
      <c r="C143" s="1076"/>
      <c r="D143" s="1076"/>
      <c r="E143" s="1076"/>
      <c r="F143" s="1076"/>
      <c r="G143" s="1076"/>
      <c r="H143" s="1076"/>
      <c r="I143" s="1076"/>
      <c r="J143" s="1076"/>
      <c r="K143" s="1076"/>
      <c r="L143" s="1076"/>
      <c r="M143" s="1076"/>
      <c r="N143" s="1076"/>
      <c r="O143" s="1076"/>
      <c r="P143" s="1076"/>
      <c r="Q143" s="1076"/>
      <c r="R143" s="1077"/>
    </row>
    <row r="144" spans="2:18" x14ac:dyDescent="0.2">
      <c r="B144" s="1075"/>
      <c r="C144" s="1076"/>
      <c r="D144" s="1076"/>
      <c r="E144" s="1076"/>
      <c r="F144" s="1076"/>
      <c r="G144" s="1076"/>
      <c r="H144" s="1076"/>
      <c r="I144" s="1076"/>
      <c r="J144" s="1076"/>
      <c r="K144" s="1076"/>
      <c r="L144" s="1076"/>
      <c r="M144" s="1076"/>
      <c r="N144" s="1076"/>
      <c r="O144" s="1076"/>
      <c r="P144" s="1076"/>
      <c r="Q144" s="1076"/>
      <c r="R144" s="1077"/>
    </row>
    <row r="145" spans="2:18" x14ac:dyDescent="0.2">
      <c r="B145" s="1075"/>
      <c r="C145" s="1076"/>
      <c r="D145" s="1076"/>
      <c r="E145" s="1076"/>
      <c r="F145" s="1076"/>
      <c r="G145" s="1076"/>
      <c r="H145" s="1076"/>
      <c r="I145" s="1076"/>
      <c r="J145" s="1076"/>
      <c r="K145" s="1076"/>
      <c r="L145" s="1076"/>
      <c r="M145" s="1076"/>
      <c r="N145" s="1076"/>
      <c r="O145" s="1076"/>
      <c r="P145" s="1076"/>
      <c r="Q145" s="1076"/>
      <c r="R145" s="1077"/>
    </row>
    <row r="146" spans="2:18" x14ac:dyDescent="0.2">
      <c r="B146" s="1075"/>
      <c r="C146" s="1076"/>
      <c r="D146" s="1076"/>
      <c r="E146" s="1076"/>
      <c r="F146" s="1076"/>
      <c r="G146" s="1076"/>
      <c r="H146" s="1076"/>
      <c r="I146" s="1076"/>
      <c r="J146" s="1076"/>
      <c r="K146" s="1076"/>
      <c r="L146" s="1076"/>
      <c r="M146" s="1076"/>
      <c r="N146" s="1076"/>
      <c r="O146" s="1076"/>
      <c r="P146" s="1076"/>
      <c r="Q146" s="1076"/>
      <c r="R146" s="1077"/>
    </row>
    <row r="147" spans="2:18" x14ac:dyDescent="0.2">
      <c r="B147" s="1075"/>
      <c r="C147" s="1076"/>
      <c r="D147" s="1076"/>
      <c r="E147" s="1076"/>
      <c r="F147" s="1076"/>
      <c r="G147" s="1076"/>
      <c r="H147" s="1076"/>
      <c r="I147" s="1076"/>
      <c r="J147" s="1076"/>
      <c r="K147" s="1076"/>
      <c r="L147" s="1076"/>
      <c r="M147" s="1076"/>
      <c r="N147" s="1076"/>
      <c r="O147" s="1076"/>
      <c r="P147" s="1076"/>
      <c r="Q147" s="1076"/>
      <c r="R147" s="1077"/>
    </row>
    <row r="148" spans="2:18" x14ac:dyDescent="0.2">
      <c r="B148" s="1075"/>
      <c r="C148" s="1076"/>
      <c r="D148" s="1076"/>
      <c r="E148" s="1076"/>
      <c r="F148" s="1076"/>
      <c r="G148" s="1076"/>
      <c r="H148" s="1076"/>
      <c r="I148" s="1076"/>
      <c r="J148" s="1076"/>
      <c r="K148" s="1076"/>
      <c r="L148" s="1076"/>
      <c r="M148" s="1076"/>
      <c r="N148" s="1076"/>
      <c r="O148" s="1076"/>
      <c r="P148" s="1076"/>
      <c r="Q148" s="1076"/>
      <c r="R148" s="1077"/>
    </row>
    <row r="149" spans="2:18" x14ac:dyDescent="0.2">
      <c r="B149" s="1075"/>
      <c r="C149" s="1076"/>
      <c r="D149" s="1076"/>
      <c r="E149" s="1076"/>
      <c r="F149" s="1076"/>
      <c r="G149" s="1076"/>
      <c r="H149" s="1076"/>
      <c r="I149" s="1076"/>
      <c r="J149" s="1076"/>
      <c r="K149" s="1076"/>
      <c r="L149" s="1076"/>
      <c r="M149" s="1076"/>
      <c r="N149" s="1076"/>
      <c r="O149" s="1076"/>
      <c r="P149" s="1076"/>
      <c r="Q149" s="1076"/>
      <c r="R149" s="1077"/>
    </row>
    <row r="150" spans="2:18" x14ac:dyDescent="0.2">
      <c r="B150" s="1075"/>
      <c r="C150" s="1076"/>
      <c r="D150" s="1076"/>
      <c r="E150" s="1076"/>
      <c r="F150" s="1076"/>
      <c r="G150" s="1076"/>
      <c r="H150" s="1076"/>
      <c r="I150" s="1076"/>
      <c r="J150" s="1076"/>
      <c r="K150" s="1076"/>
      <c r="L150" s="1076"/>
      <c r="M150" s="1076"/>
      <c r="N150" s="1076"/>
      <c r="O150" s="1076"/>
      <c r="P150" s="1076"/>
      <c r="Q150" s="1076"/>
      <c r="R150" s="1077"/>
    </row>
    <row r="151" spans="2:18" x14ac:dyDescent="0.2">
      <c r="B151" s="1075"/>
      <c r="C151" s="1076"/>
      <c r="D151" s="1076"/>
      <c r="E151" s="1076"/>
      <c r="F151" s="1076"/>
      <c r="G151" s="1076"/>
      <c r="H151" s="1076"/>
      <c r="I151" s="1076"/>
      <c r="J151" s="1076"/>
      <c r="K151" s="1076"/>
      <c r="L151" s="1076"/>
      <c r="M151" s="1076"/>
      <c r="N151" s="1076"/>
      <c r="O151" s="1076"/>
      <c r="P151" s="1076"/>
      <c r="Q151" s="1076"/>
      <c r="R151" s="1077"/>
    </row>
    <row r="152" spans="2:18" x14ac:dyDescent="0.2">
      <c r="B152" s="1075"/>
      <c r="C152" s="1076"/>
      <c r="D152" s="1076"/>
      <c r="E152" s="1076"/>
      <c r="F152" s="1076"/>
      <c r="G152" s="1076"/>
      <c r="H152" s="1076"/>
      <c r="I152" s="1076"/>
      <c r="J152" s="1076"/>
      <c r="K152" s="1076"/>
      <c r="L152" s="1076"/>
      <c r="M152" s="1076"/>
      <c r="N152" s="1076"/>
      <c r="O152" s="1076"/>
      <c r="P152" s="1076"/>
      <c r="Q152" s="1076"/>
      <c r="R152" s="1077"/>
    </row>
    <row r="153" spans="2:18" x14ac:dyDescent="0.2">
      <c r="B153" s="1075"/>
      <c r="C153" s="1076"/>
      <c r="D153" s="1076"/>
      <c r="E153" s="1076"/>
      <c r="F153" s="1076"/>
      <c r="G153" s="1076"/>
      <c r="H153" s="1076"/>
      <c r="I153" s="1076"/>
      <c r="J153" s="1076"/>
      <c r="K153" s="1076"/>
      <c r="L153" s="1076"/>
      <c r="M153" s="1076"/>
      <c r="N153" s="1076"/>
      <c r="O153" s="1076"/>
      <c r="P153" s="1076"/>
      <c r="Q153" s="1076"/>
      <c r="R153" s="1077"/>
    </row>
    <row r="154" spans="2:18" x14ac:dyDescent="0.2">
      <c r="B154" s="1075"/>
      <c r="C154" s="1076"/>
      <c r="D154" s="1076"/>
      <c r="E154" s="1076"/>
      <c r="F154" s="1076"/>
      <c r="G154" s="1076"/>
      <c r="H154" s="1076"/>
      <c r="I154" s="1076"/>
      <c r="J154" s="1076"/>
      <c r="K154" s="1076"/>
      <c r="L154" s="1076"/>
      <c r="M154" s="1076"/>
      <c r="N154" s="1076"/>
      <c r="O154" s="1076"/>
      <c r="P154" s="1076"/>
      <c r="Q154" s="1076"/>
      <c r="R154" s="1077"/>
    </row>
    <row r="155" spans="2:18" x14ac:dyDescent="0.2">
      <c r="B155" s="1075"/>
      <c r="C155" s="1076"/>
      <c r="D155" s="1076"/>
      <c r="E155" s="1076"/>
      <c r="F155" s="1076"/>
      <c r="G155" s="1076"/>
      <c r="H155" s="1076"/>
      <c r="I155" s="1076"/>
      <c r="J155" s="1076"/>
      <c r="K155" s="1076"/>
      <c r="L155" s="1076"/>
      <c r="M155" s="1076"/>
      <c r="N155" s="1076"/>
      <c r="O155" s="1076"/>
      <c r="P155" s="1076"/>
      <c r="Q155" s="1076"/>
      <c r="R155" s="1077"/>
    </row>
    <row r="156" spans="2:18" x14ac:dyDescent="0.2">
      <c r="B156" s="1075"/>
      <c r="C156" s="1076"/>
      <c r="D156" s="1076"/>
      <c r="E156" s="1076"/>
      <c r="F156" s="1076"/>
      <c r="G156" s="1076"/>
      <c r="H156" s="1076"/>
      <c r="I156" s="1076"/>
      <c r="J156" s="1076"/>
      <c r="K156" s="1076"/>
      <c r="L156" s="1076"/>
      <c r="M156" s="1076"/>
      <c r="N156" s="1076"/>
      <c r="O156" s="1076"/>
      <c r="P156" s="1076"/>
      <c r="Q156" s="1076"/>
      <c r="R156" s="1077"/>
    </row>
    <row r="157" spans="2:18" x14ac:dyDescent="0.2">
      <c r="B157" s="1075"/>
      <c r="C157" s="1076"/>
      <c r="D157" s="1076"/>
      <c r="E157" s="1076"/>
      <c r="F157" s="1076"/>
      <c r="G157" s="1076"/>
      <c r="H157" s="1076"/>
      <c r="I157" s="1076"/>
      <c r="J157" s="1076"/>
      <c r="K157" s="1076"/>
      <c r="L157" s="1076"/>
      <c r="M157" s="1076"/>
      <c r="N157" s="1076"/>
      <c r="O157" s="1076"/>
      <c r="P157" s="1076"/>
      <c r="Q157" s="1076"/>
      <c r="R157" s="1077"/>
    </row>
    <row r="158" spans="2:18" x14ac:dyDescent="0.2">
      <c r="B158" s="1075"/>
      <c r="C158" s="1076"/>
      <c r="D158" s="1076"/>
      <c r="E158" s="1076"/>
      <c r="F158" s="1076"/>
      <c r="G158" s="1076"/>
      <c r="H158" s="1076"/>
      <c r="I158" s="1076"/>
      <c r="J158" s="1076"/>
      <c r="K158" s="1076"/>
      <c r="L158" s="1076"/>
      <c r="M158" s="1076"/>
      <c r="N158" s="1076"/>
      <c r="O158" s="1076"/>
      <c r="P158" s="1076"/>
      <c r="Q158" s="1076"/>
      <c r="R158" s="1077"/>
    </row>
    <row r="159" spans="2:18" x14ac:dyDescent="0.2">
      <c r="B159" s="1075"/>
      <c r="C159" s="1076"/>
      <c r="D159" s="1076"/>
      <c r="E159" s="1076"/>
      <c r="F159" s="1076"/>
      <c r="G159" s="1076"/>
      <c r="H159" s="1076"/>
      <c r="I159" s="1076"/>
      <c r="J159" s="1076"/>
      <c r="K159" s="1076"/>
      <c r="L159" s="1076"/>
      <c r="M159" s="1076"/>
      <c r="N159" s="1076"/>
      <c r="O159" s="1076"/>
      <c r="P159" s="1076"/>
      <c r="Q159" s="1076"/>
      <c r="R159" s="1077"/>
    </row>
    <row r="160" spans="2:18" x14ac:dyDescent="0.2">
      <c r="B160" s="1075"/>
      <c r="C160" s="1076"/>
      <c r="D160" s="1076"/>
      <c r="E160" s="1076"/>
      <c r="F160" s="1076"/>
      <c r="G160" s="1076"/>
      <c r="H160" s="1076"/>
      <c r="I160" s="1076"/>
      <c r="J160" s="1076"/>
      <c r="K160" s="1076"/>
      <c r="L160" s="1076"/>
      <c r="M160" s="1076"/>
      <c r="N160" s="1076"/>
      <c r="O160" s="1076"/>
      <c r="P160" s="1076"/>
      <c r="Q160" s="1076"/>
      <c r="R160" s="1077"/>
    </row>
    <row r="161" spans="2:18" x14ac:dyDescent="0.2">
      <c r="B161" s="1075"/>
      <c r="C161" s="1076"/>
      <c r="D161" s="1076"/>
      <c r="E161" s="1076"/>
      <c r="F161" s="1076"/>
      <c r="G161" s="1076"/>
      <c r="H161" s="1076"/>
      <c r="I161" s="1076"/>
      <c r="J161" s="1076"/>
      <c r="K161" s="1076"/>
      <c r="L161" s="1076"/>
      <c r="M161" s="1076"/>
      <c r="N161" s="1076"/>
      <c r="O161" s="1076"/>
      <c r="P161" s="1076"/>
      <c r="Q161" s="1076"/>
      <c r="R161" s="1077"/>
    </row>
    <row r="162" spans="2:18" x14ac:dyDescent="0.2">
      <c r="B162" s="1075"/>
      <c r="C162" s="1076"/>
      <c r="D162" s="1076"/>
      <c r="E162" s="1076"/>
      <c r="F162" s="1076"/>
      <c r="G162" s="1076"/>
      <c r="H162" s="1076"/>
      <c r="I162" s="1076"/>
      <c r="J162" s="1076"/>
      <c r="K162" s="1076"/>
      <c r="L162" s="1076"/>
      <c r="M162" s="1076"/>
      <c r="N162" s="1076"/>
      <c r="O162" s="1076"/>
      <c r="P162" s="1076"/>
      <c r="Q162" s="1076"/>
      <c r="R162" s="1077"/>
    </row>
    <row r="163" spans="2:18" x14ac:dyDescent="0.2">
      <c r="B163" s="1075"/>
      <c r="C163" s="1076"/>
      <c r="D163" s="1076"/>
      <c r="E163" s="1076"/>
      <c r="F163" s="1076"/>
      <c r="G163" s="1076"/>
      <c r="H163" s="1076"/>
      <c r="I163" s="1076"/>
      <c r="J163" s="1076"/>
      <c r="K163" s="1076"/>
      <c r="L163" s="1076"/>
      <c r="M163" s="1076"/>
      <c r="N163" s="1076"/>
      <c r="O163" s="1076"/>
      <c r="P163" s="1076"/>
      <c r="Q163" s="1076"/>
      <c r="R163" s="1077"/>
    </row>
    <row r="164" spans="2:18" x14ac:dyDescent="0.2">
      <c r="B164" s="1075"/>
      <c r="C164" s="1076"/>
      <c r="D164" s="1076"/>
      <c r="E164" s="1076"/>
      <c r="F164" s="1076"/>
      <c r="G164" s="1076"/>
      <c r="H164" s="1076"/>
      <c r="I164" s="1076"/>
      <c r="J164" s="1076"/>
      <c r="K164" s="1076"/>
      <c r="L164" s="1076"/>
      <c r="M164" s="1076"/>
      <c r="N164" s="1076"/>
      <c r="O164" s="1076"/>
      <c r="P164" s="1076"/>
      <c r="Q164" s="1076"/>
      <c r="R164" s="1077"/>
    </row>
    <row r="165" spans="2:18" x14ac:dyDescent="0.2">
      <c r="B165" s="1075"/>
      <c r="C165" s="1076"/>
      <c r="D165" s="1076"/>
      <c r="E165" s="1076"/>
      <c r="F165" s="1076"/>
      <c r="G165" s="1076"/>
      <c r="H165" s="1076"/>
      <c r="I165" s="1076"/>
      <c r="J165" s="1076"/>
      <c r="K165" s="1076"/>
      <c r="L165" s="1076"/>
      <c r="M165" s="1076"/>
      <c r="N165" s="1076"/>
      <c r="O165" s="1076"/>
      <c r="P165" s="1076"/>
      <c r="Q165" s="1076"/>
      <c r="R165" s="1077"/>
    </row>
    <row r="166" spans="2:18" x14ac:dyDescent="0.2">
      <c r="B166" s="1075"/>
      <c r="C166" s="1076"/>
      <c r="D166" s="1076"/>
      <c r="E166" s="1076"/>
      <c r="F166" s="1076"/>
      <c r="G166" s="1076"/>
      <c r="H166" s="1076"/>
      <c r="I166" s="1076"/>
      <c r="J166" s="1076"/>
      <c r="K166" s="1076"/>
      <c r="L166" s="1076"/>
      <c r="M166" s="1076"/>
      <c r="N166" s="1076"/>
      <c r="O166" s="1076"/>
      <c r="P166" s="1076"/>
      <c r="Q166" s="1076"/>
      <c r="R166" s="1077"/>
    </row>
    <row r="167" spans="2:18" x14ac:dyDescent="0.2">
      <c r="B167" s="1075"/>
      <c r="C167" s="1076"/>
      <c r="D167" s="1076"/>
      <c r="E167" s="1076"/>
      <c r="F167" s="1076"/>
      <c r="G167" s="1076"/>
      <c r="H167" s="1076"/>
      <c r="I167" s="1076"/>
      <c r="J167" s="1076"/>
      <c r="K167" s="1076"/>
      <c r="L167" s="1076"/>
      <c r="M167" s="1076"/>
      <c r="N167" s="1076"/>
      <c r="O167" s="1076"/>
      <c r="P167" s="1076"/>
      <c r="Q167" s="1076"/>
      <c r="R167" s="1077"/>
    </row>
    <row r="168" spans="2:18" x14ac:dyDescent="0.2">
      <c r="B168" s="1075"/>
      <c r="C168" s="1076"/>
      <c r="D168" s="1076"/>
      <c r="E168" s="1076"/>
      <c r="F168" s="1076"/>
      <c r="G168" s="1076"/>
      <c r="H168" s="1076"/>
      <c r="I168" s="1076"/>
      <c r="J168" s="1076"/>
      <c r="K168" s="1076"/>
      <c r="L168" s="1076"/>
      <c r="M168" s="1076"/>
      <c r="N168" s="1076"/>
      <c r="O168" s="1076"/>
      <c r="P168" s="1076"/>
      <c r="Q168" s="1076"/>
      <c r="R168" s="1077"/>
    </row>
    <row r="169" spans="2:18" x14ac:dyDescent="0.2">
      <c r="B169" s="1075"/>
      <c r="C169" s="1076"/>
      <c r="D169" s="1076"/>
      <c r="E169" s="1076"/>
      <c r="F169" s="1076"/>
      <c r="G169" s="1076"/>
      <c r="H169" s="1076"/>
      <c r="I169" s="1076"/>
      <c r="J169" s="1076"/>
      <c r="K169" s="1076"/>
      <c r="L169" s="1076"/>
      <c r="M169" s="1076"/>
      <c r="N169" s="1076"/>
      <c r="O169" s="1076"/>
      <c r="P169" s="1076"/>
      <c r="Q169" s="1076"/>
      <c r="R169" s="1077"/>
    </row>
    <row r="170" spans="2:18" x14ac:dyDescent="0.2">
      <c r="B170" s="1075"/>
      <c r="C170" s="1076"/>
      <c r="D170" s="1076"/>
      <c r="E170" s="1076"/>
      <c r="F170" s="1076"/>
      <c r="G170" s="1076"/>
      <c r="H170" s="1076"/>
      <c r="I170" s="1076"/>
      <c r="J170" s="1076"/>
      <c r="K170" s="1076"/>
      <c r="L170" s="1076"/>
      <c r="M170" s="1076"/>
      <c r="N170" s="1076"/>
      <c r="O170" s="1076"/>
      <c r="P170" s="1076"/>
      <c r="Q170" s="1076"/>
      <c r="R170" s="1077"/>
    </row>
    <row r="171" spans="2:18" x14ac:dyDescent="0.2">
      <c r="B171" s="1075"/>
      <c r="C171" s="1076"/>
      <c r="D171" s="1076"/>
      <c r="E171" s="1076"/>
      <c r="F171" s="1076"/>
      <c r="G171" s="1076"/>
      <c r="H171" s="1076"/>
      <c r="I171" s="1076"/>
      <c r="J171" s="1076"/>
      <c r="K171" s="1076"/>
      <c r="L171" s="1076"/>
      <c r="M171" s="1076"/>
      <c r="N171" s="1076"/>
      <c r="O171" s="1076"/>
      <c r="P171" s="1076"/>
      <c r="Q171" s="1076"/>
      <c r="R171" s="1077"/>
    </row>
    <row r="172" spans="2:18" x14ac:dyDescent="0.2">
      <c r="B172" s="1075"/>
      <c r="C172" s="1076"/>
      <c r="D172" s="1076"/>
      <c r="E172" s="1076"/>
      <c r="F172" s="1076"/>
      <c r="G172" s="1076"/>
      <c r="H172" s="1076"/>
      <c r="I172" s="1076"/>
      <c r="J172" s="1076"/>
      <c r="K172" s="1076"/>
      <c r="L172" s="1076"/>
      <c r="M172" s="1076"/>
      <c r="N172" s="1076"/>
      <c r="O172" s="1076"/>
      <c r="P172" s="1076"/>
      <c r="Q172" s="1076"/>
      <c r="R172" s="1077"/>
    </row>
    <row r="173" spans="2:18" x14ac:dyDescent="0.2">
      <c r="B173" s="1075"/>
      <c r="C173" s="1076"/>
      <c r="D173" s="1076"/>
      <c r="E173" s="1076"/>
      <c r="F173" s="1076"/>
      <c r="G173" s="1076"/>
      <c r="H173" s="1076"/>
      <c r="I173" s="1076"/>
      <c r="J173" s="1076"/>
      <c r="K173" s="1076"/>
      <c r="L173" s="1076"/>
      <c r="M173" s="1076"/>
      <c r="N173" s="1076"/>
      <c r="O173" s="1076"/>
      <c r="P173" s="1076"/>
      <c r="Q173" s="1076"/>
      <c r="R173" s="1077"/>
    </row>
    <row r="174" spans="2:18" x14ac:dyDescent="0.2">
      <c r="B174" s="1075"/>
      <c r="C174" s="1076"/>
      <c r="D174" s="1076"/>
      <c r="E174" s="1076"/>
      <c r="F174" s="1076"/>
      <c r="G174" s="1076"/>
      <c r="H174" s="1076"/>
      <c r="I174" s="1076"/>
      <c r="J174" s="1076"/>
      <c r="K174" s="1076"/>
      <c r="L174" s="1076"/>
      <c r="M174" s="1076"/>
      <c r="N174" s="1076"/>
      <c r="O174" s="1076"/>
      <c r="P174" s="1076"/>
      <c r="Q174" s="1076"/>
      <c r="R174" s="1077"/>
    </row>
    <row r="175" spans="2:18" x14ac:dyDescent="0.2">
      <c r="B175" s="1075"/>
      <c r="C175" s="1076"/>
      <c r="D175" s="1076"/>
      <c r="E175" s="1076"/>
      <c r="F175" s="1076"/>
      <c r="G175" s="1076"/>
      <c r="H175" s="1076"/>
      <c r="I175" s="1076"/>
      <c r="J175" s="1076"/>
      <c r="K175" s="1076"/>
      <c r="L175" s="1076"/>
      <c r="M175" s="1076"/>
      <c r="N175" s="1076"/>
      <c r="O175" s="1076"/>
      <c r="P175" s="1076"/>
      <c r="Q175" s="1076"/>
      <c r="R175" s="1077"/>
    </row>
    <row r="176" spans="2:18" x14ac:dyDescent="0.2">
      <c r="B176" s="1075"/>
      <c r="C176" s="1076"/>
      <c r="D176" s="1076"/>
      <c r="E176" s="1076"/>
      <c r="F176" s="1076"/>
      <c r="G176" s="1076"/>
      <c r="H176" s="1076"/>
      <c r="I176" s="1076"/>
      <c r="J176" s="1076"/>
      <c r="K176" s="1076"/>
      <c r="L176" s="1076"/>
      <c r="M176" s="1076"/>
      <c r="N176" s="1076"/>
      <c r="O176" s="1076"/>
      <c r="P176" s="1076"/>
      <c r="Q176" s="1076"/>
      <c r="R176" s="1077"/>
    </row>
    <row r="177" spans="2:18" x14ac:dyDescent="0.2">
      <c r="B177" s="1075"/>
      <c r="C177" s="1076"/>
      <c r="D177" s="1076"/>
      <c r="E177" s="1076"/>
      <c r="F177" s="1076"/>
      <c r="G177" s="1076"/>
      <c r="H177" s="1076"/>
      <c r="I177" s="1076"/>
      <c r="J177" s="1076"/>
      <c r="K177" s="1076"/>
      <c r="L177" s="1076"/>
      <c r="M177" s="1076"/>
      <c r="N177" s="1076"/>
      <c r="O177" s="1076"/>
      <c r="P177" s="1076"/>
      <c r="Q177" s="1076"/>
      <c r="R177" s="1077"/>
    </row>
    <row r="178" spans="2:18" x14ac:dyDescent="0.2">
      <c r="B178" s="1075"/>
      <c r="C178" s="1076"/>
      <c r="D178" s="1076"/>
      <c r="E178" s="1076"/>
      <c r="F178" s="1076"/>
      <c r="G178" s="1076"/>
      <c r="H178" s="1076"/>
      <c r="I178" s="1076"/>
      <c r="J178" s="1076"/>
      <c r="K178" s="1076"/>
      <c r="L178" s="1076"/>
      <c r="M178" s="1076"/>
      <c r="N178" s="1076"/>
      <c r="O178" s="1076"/>
      <c r="P178" s="1076"/>
      <c r="Q178" s="1076"/>
      <c r="R178" s="1077"/>
    </row>
    <row r="179" spans="2:18" x14ac:dyDescent="0.2">
      <c r="B179" s="1075"/>
      <c r="C179" s="1076"/>
      <c r="D179" s="1076"/>
      <c r="E179" s="1076"/>
      <c r="F179" s="1076"/>
      <c r="G179" s="1076"/>
      <c r="H179" s="1076"/>
      <c r="I179" s="1076"/>
      <c r="J179" s="1076"/>
      <c r="K179" s="1076"/>
      <c r="L179" s="1076"/>
      <c r="M179" s="1076"/>
      <c r="N179" s="1076"/>
      <c r="O179" s="1076"/>
      <c r="P179" s="1076"/>
      <c r="Q179" s="1076"/>
      <c r="R179" s="1077"/>
    </row>
    <row r="180" spans="2:18" x14ac:dyDescent="0.2">
      <c r="B180" s="1075"/>
      <c r="C180" s="1076"/>
      <c r="D180" s="1076"/>
      <c r="E180" s="1076"/>
      <c r="F180" s="1076"/>
      <c r="G180" s="1076"/>
      <c r="H180" s="1076"/>
      <c r="I180" s="1076"/>
      <c r="J180" s="1076"/>
      <c r="K180" s="1076"/>
      <c r="L180" s="1076"/>
      <c r="M180" s="1076"/>
      <c r="N180" s="1076"/>
      <c r="O180" s="1076"/>
      <c r="P180" s="1076"/>
      <c r="Q180" s="1076"/>
      <c r="R180" s="1077"/>
    </row>
    <row r="181" spans="2:18" x14ac:dyDescent="0.2">
      <c r="B181" s="1075"/>
      <c r="C181" s="1076"/>
      <c r="D181" s="1076"/>
      <c r="E181" s="1076"/>
      <c r="F181" s="1076"/>
      <c r="G181" s="1076"/>
      <c r="H181" s="1076"/>
      <c r="I181" s="1076"/>
      <c r="J181" s="1076"/>
      <c r="K181" s="1076"/>
      <c r="L181" s="1076"/>
      <c r="M181" s="1076"/>
      <c r="N181" s="1076"/>
      <c r="O181" s="1076"/>
      <c r="P181" s="1076"/>
      <c r="Q181" s="1076"/>
      <c r="R181" s="1077"/>
    </row>
    <row r="182" spans="2:18" x14ac:dyDescent="0.2">
      <c r="B182" s="1075"/>
      <c r="C182" s="1076"/>
      <c r="D182" s="1076"/>
      <c r="E182" s="1076"/>
      <c r="F182" s="1076"/>
      <c r="G182" s="1076"/>
      <c r="H182" s="1076"/>
      <c r="I182" s="1076"/>
      <c r="J182" s="1076"/>
      <c r="K182" s="1076"/>
      <c r="L182" s="1076"/>
      <c r="M182" s="1076"/>
      <c r="N182" s="1076"/>
      <c r="O182" s="1076"/>
      <c r="P182" s="1076"/>
      <c r="Q182" s="1076"/>
      <c r="R182" s="1077"/>
    </row>
    <row r="183" spans="2:18" x14ac:dyDescent="0.2">
      <c r="B183" s="1075"/>
      <c r="C183" s="1076"/>
      <c r="D183" s="1076"/>
      <c r="E183" s="1076"/>
      <c r="F183" s="1076"/>
      <c r="G183" s="1076"/>
      <c r="H183" s="1076"/>
      <c r="I183" s="1076"/>
      <c r="J183" s="1076"/>
      <c r="K183" s="1076"/>
      <c r="L183" s="1076"/>
      <c r="M183" s="1076"/>
      <c r="N183" s="1076"/>
      <c r="O183" s="1076"/>
      <c r="P183" s="1076"/>
      <c r="Q183" s="1076"/>
      <c r="R183" s="1077"/>
    </row>
    <row r="184" spans="2:18" x14ac:dyDescent="0.2">
      <c r="B184" s="1075"/>
      <c r="C184" s="1076"/>
      <c r="D184" s="1076"/>
      <c r="E184" s="1076"/>
      <c r="F184" s="1076"/>
      <c r="G184" s="1076"/>
      <c r="H184" s="1076"/>
      <c r="I184" s="1076"/>
      <c r="J184" s="1076"/>
      <c r="K184" s="1076"/>
      <c r="L184" s="1076"/>
      <c r="M184" s="1076"/>
      <c r="N184" s="1076"/>
      <c r="O184" s="1076"/>
      <c r="P184" s="1076"/>
      <c r="Q184" s="1076"/>
      <c r="R184" s="1077"/>
    </row>
    <row r="185" spans="2:18" x14ac:dyDescent="0.2">
      <c r="B185" s="1075"/>
      <c r="C185" s="1076"/>
      <c r="D185" s="1076"/>
      <c r="E185" s="1076"/>
      <c r="F185" s="1076"/>
      <c r="G185" s="1076"/>
      <c r="H185" s="1076"/>
      <c r="I185" s="1076"/>
      <c r="J185" s="1076"/>
      <c r="K185" s="1076"/>
      <c r="L185" s="1076"/>
      <c r="M185" s="1076"/>
      <c r="N185" s="1076"/>
      <c r="O185" s="1076"/>
      <c r="P185" s="1076"/>
      <c r="Q185" s="1076"/>
      <c r="R185" s="1077"/>
    </row>
    <row r="186" spans="2:18" s="269" customFormat="1" ht="15" x14ac:dyDescent="0.25">
      <c r="B186" s="172"/>
      <c r="C186" s="173"/>
      <c r="D186" s="322"/>
      <c r="E186" s="322"/>
      <c r="F186" s="322"/>
      <c r="G186" s="322"/>
      <c r="H186" s="323"/>
      <c r="I186" s="323"/>
      <c r="J186" s="323"/>
      <c r="K186" s="323"/>
      <c r="L186" s="323"/>
      <c r="M186" s="323"/>
      <c r="N186" s="323"/>
      <c r="O186" s="323"/>
      <c r="P186" s="323"/>
      <c r="Q186" s="176" t="s">
        <v>629</v>
      </c>
      <c r="R186" s="177"/>
    </row>
    <row r="265" spans="2:3" ht="13.5" customHeight="1" x14ac:dyDescent="0.3">
      <c r="B265" s="1088"/>
      <c r="C265" s="1088"/>
    </row>
  </sheetData>
  <sheetProtection password="DFB1" sheet="1" objects="1" scenarios="1"/>
  <phoneticPr fontId="0" type="noConversion"/>
  <pageMargins left="0.74803149606299213" right="0.74803149606299213" top="0.98425196850393704" bottom="0.98425196850393704" header="0.51181102362204722" footer="0.51181102362204722"/>
  <pageSetup paperSize="9" scale="56" orientation="portrait" r:id="rId1"/>
  <headerFooter alignWithMargins="0">
    <oddHeader>&amp;L&amp;"Arial,Vet"&amp;F&amp;R&amp;"Arial,Vet"&amp;A</oddHeader>
    <oddFooter>&amp;L&amp;"Arial,Vet"PO-Raad&amp;C&amp;"Arial,Vet"&amp;D&amp;R&amp;"Arial,Vet"pagina &amp;P</oddFooter>
  </headerFooter>
  <rowBreaks count="1" manualBreakCount="1">
    <brk id="95" min="1" max="18" man="1"/>
  </rowBreaks>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1"/>
  <dimension ref="A2:K132"/>
  <sheetViews>
    <sheetView zoomScale="85" zoomScaleNormal="85" workbookViewId="0">
      <selection activeCell="B2" sqref="B2"/>
    </sheetView>
  </sheetViews>
  <sheetFormatPr defaultColWidth="9.140625" defaultRowHeight="12.75" x14ac:dyDescent="0.2"/>
  <cols>
    <col min="1" max="1" width="3.7109375" style="86" customWidth="1"/>
    <col min="2" max="2" width="2.7109375" style="86" customWidth="1"/>
    <col min="3" max="3" width="2.85546875" style="86" customWidth="1"/>
    <col min="4" max="4" width="40.7109375" style="86" customWidth="1"/>
    <col min="5" max="5" width="2.7109375" style="86" customWidth="1"/>
    <col min="6" max="9" width="16.85546875" style="86" customWidth="1"/>
    <col min="10" max="11" width="2.7109375" style="86" customWidth="1"/>
    <col min="12" max="16384" width="9.140625" style="86"/>
  </cols>
  <sheetData>
    <row r="2" spans="2:11" x14ac:dyDescent="0.2">
      <c r="B2" s="81"/>
      <c r="C2" s="82"/>
      <c r="D2" s="82"/>
      <c r="E2" s="82"/>
      <c r="F2" s="82"/>
      <c r="G2" s="82"/>
      <c r="H2" s="82"/>
      <c r="I2" s="82"/>
      <c r="J2" s="82"/>
      <c r="K2" s="85"/>
    </row>
    <row r="3" spans="2:11" x14ac:dyDescent="0.2">
      <c r="B3" s="87"/>
      <c r="C3" s="88"/>
      <c r="D3" s="88"/>
      <c r="E3" s="88"/>
      <c r="F3" s="88"/>
      <c r="G3" s="88"/>
      <c r="H3" s="88"/>
      <c r="I3" s="88"/>
      <c r="J3" s="88"/>
      <c r="K3" s="91"/>
    </row>
    <row r="4" spans="2:11" s="205" customFormat="1" ht="18.75" x14ac:dyDescent="0.3">
      <c r="B4" s="98"/>
      <c r="C4" s="94" t="s">
        <v>81</v>
      </c>
      <c r="D4" s="254"/>
      <c r="E4" s="100"/>
      <c r="F4" s="919"/>
      <c r="G4" s="100"/>
      <c r="H4" s="100"/>
      <c r="I4" s="100"/>
      <c r="J4" s="100"/>
      <c r="K4" s="130"/>
    </row>
    <row r="5" spans="2:11" ht="18.75" x14ac:dyDescent="0.3">
      <c r="B5" s="872"/>
      <c r="C5" s="99" t="str">
        <f>geg!G12</f>
        <v>Basisschool</v>
      </c>
      <c r="D5" s="878"/>
      <c r="E5" s="88"/>
      <c r="F5" s="939"/>
      <c r="G5" s="88"/>
      <c r="H5" s="88"/>
      <c r="I5" s="88"/>
      <c r="J5" s="88"/>
      <c r="K5" s="91"/>
    </row>
    <row r="6" spans="2:11" x14ac:dyDescent="0.2">
      <c r="B6" s="87"/>
      <c r="C6" s="88"/>
      <c r="D6" s="88"/>
      <c r="E6" s="88"/>
      <c r="F6" s="88"/>
      <c r="G6" s="88"/>
      <c r="H6" s="88"/>
      <c r="I6" s="88"/>
      <c r="J6" s="88"/>
      <c r="K6" s="91"/>
    </row>
    <row r="7" spans="2:11" x14ac:dyDescent="0.2">
      <c r="B7" s="87"/>
      <c r="C7" s="88"/>
      <c r="D7" s="88"/>
      <c r="E7" s="88"/>
      <c r="F7" s="88"/>
      <c r="G7" s="88"/>
      <c r="H7" s="88"/>
      <c r="I7" s="88"/>
      <c r="J7" s="88"/>
      <c r="K7" s="91"/>
    </row>
    <row r="8" spans="2:11" x14ac:dyDescent="0.2">
      <c r="B8" s="87"/>
      <c r="C8" s="88"/>
      <c r="D8" s="1089" t="s">
        <v>522</v>
      </c>
      <c r="E8" s="88"/>
      <c r="F8" s="88"/>
      <c r="G8" s="88"/>
      <c r="H8" s="88"/>
      <c r="I8" s="88"/>
      <c r="J8" s="88"/>
      <c r="K8" s="91"/>
    </row>
    <row r="9" spans="2:11" x14ac:dyDescent="0.2">
      <c r="B9" s="87"/>
      <c r="C9" s="88"/>
      <c r="D9" s="1090" t="s">
        <v>71</v>
      </c>
      <c r="E9" s="88"/>
      <c r="F9" s="1283"/>
      <c r="G9" s="1283"/>
      <c r="H9" s="1283"/>
      <c r="I9" s="256"/>
      <c r="J9" s="88"/>
      <c r="K9" s="91"/>
    </row>
    <row r="10" spans="2:11" x14ac:dyDescent="0.2">
      <c r="B10" s="87"/>
      <c r="C10" s="88"/>
      <c r="D10" s="1090" t="s">
        <v>82</v>
      </c>
      <c r="E10" s="88"/>
      <c r="F10" s="89"/>
      <c r="G10" s="89"/>
      <c r="H10" s="89"/>
      <c r="I10" s="256"/>
      <c r="J10" s="88"/>
      <c r="K10" s="91"/>
    </row>
    <row r="11" spans="2:11" x14ac:dyDescent="0.2">
      <c r="B11" s="87"/>
      <c r="C11" s="88"/>
      <c r="D11" s="1091" t="s">
        <v>72</v>
      </c>
      <c r="E11" s="88"/>
      <c r="F11" s="89"/>
      <c r="G11" s="89"/>
      <c r="H11" s="89"/>
      <c r="I11" s="256"/>
      <c r="J11" s="88"/>
      <c r="K11" s="91"/>
    </row>
    <row r="12" spans="2:11" x14ac:dyDescent="0.2">
      <c r="B12" s="87"/>
      <c r="C12" s="88"/>
      <c r="D12" s="1091" t="s">
        <v>234</v>
      </c>
      <c r="E12" s="88"/>
      <c r="F12" s="89"/>
      <c r="G12" s="89"/>
      <c r="H12" s="89"/>
      <c r="I12" s="256"/>
      <c r="J12" s="88"/>
      <c r="K12" s="91"/>
    </row>
    <row r="13" spans="2:11" x14ac:dyDescent="0.2">
      <c r="B13" s="87"/>
      <c r="C13" s="88"/>
      <c r="D13" s="1091" t="s">
        <v>641</v>
      </c>
      <c r="E13" s="88"/>
      <c r="F13" s="89"/>
      <c r="G13" s="89"/>
      <c r="H13" s="89"/>
      <c r="I13" s="256"/>
      <c r="J13" s="88"/>
      <c r="K13" s="91"/>
    </row>
    <row r="14" spans="2:11" x14ac:dyDescent="0.2">
      <c r="B14" s="87"/>
      <c r="C14" s="88"/>
      <c r="D14" s="1092"/>
      <c r="E14" s="873"/>
      <c r="F14" s="90"/>
      <c r="G14" s="90"/>
      <c r="H14" s="90"/>
      <c r="I14" s="90"/>
      <c r="J14" s="943"/>
      <c r="K14" s="944"/>
    </row>
    <row r="15" spans="2:11" x14ac:dyDescent="0.2">
      <c r="B15" s="87"/>
      <c r="C15" s="88"/>
      <c r="D15" s="1092"/>
      <c r="E15" s="873"/>
      <c r="F15" s="90"/>
      <c r="G15" s="90"/>
      <c r="H15" s="90"/>
      <c r="I15" s="90"/>
      <c r="J15" s="943"/>
      <c r="K15" s="944"/>
    </row>
    <row r="16" spans="2:11" s="205" customFormat="1" x14ac:dyDescent="0.2">
      <c r="B16" s="101"/>
      <c r="C16" s="100"/>
      <c r="D16" s="880"/>
      <c r="E16" s="1093"/>
      <c r="F16" s="123">
        <f>tab!E4</f>
        <v>2014</v>
      </c>
      <c r="G16" s="123">
        <f>F16+1</f>
        <v>2015</v>
      </c>
      <c r="H16" s="123">
        <f>G16+1</f>
        <v>2016</v>
      </c>
      <c r="I16" s="123">
        <f>H16+1</f>
        <v>2017</v>
      </c>
      <c r="J16" s="1094"/>
      <c r="K16" s="1095"/>
    </row>
    <row r="17" spans="1:11" x14ac:dyDescent="0.2">
      <c r="B17" s="87"/>
      <c r="C17" s="88"/>
      <c r="D17" s="88"/>
      <c r="E17" s="873"/>
      <c r="F17" s="88"/>
      <c r="G17" s="88"/>
      <c r="H17" s="88"/>
      <c r="I17" s="88"/>
      <c r="J17" s="943"/>
      <c r="K17" s="944"/>
    </row>
    <row r="18" spans="1:11" x14ac:dyDescent="0.2">
      <c r="B18" s="87"/>
      <c r="C18" s="104"/>
      <c r="D18" s="905"/>
      <c r="E18" s="105"/>
      <c r="F18" s="906"/>
      <c r="G18" s="468"/>
      <c r="H18" s="468"/>
      <c r="I18" s="105"/>
      <c r="J18" s="186"/>
      <c r="K18" s="91"/>
    </row>
    <row r="19" spans="1:11" x14ac:dyDescent="0.2">
      <c r="B19" s="87"/>
      <c r="C19" s="108"/>
      <c r="D19" s="109" t="s">
        <v>16</v>
      </c>
      <c r="E19" s="110"/>
      <c r="F19" s="1096" t="str">
        <f>geg!G12</f>
        <v>Basisschool</v>
      </c>
      <c r="G19" s="1097"/>
      <c r="H19" s="1097"/>
      <c r="I19" s="1098"/>
      <c r="J19" s="188"/>
      <c r="K19" s="91"/>
    </row>
    <row r="20" spans="1:11" x14ac:dyDescent="0.2">
      <c r="B20" s="87"/>
      <c r="C20" s="108"/>
      <c r="D20" s="109" t="s">
        <v>17</v>
      </c>
      <c r="E20" s="110"/>
      <c r="F20" s="1096" t="str">
        <f>geg!G13</f>
        <v>99ZZ</v>
      </c>
      <c r="G20" s="1097"/>
      <c r="H20" s="1097"/>
      <c r="I20" s="1098"/>
      <c r="J20" s="188"/>
      <c r="K20" s="91"/>
    </row>
    <row r="21" spans="1:11" x14ac:dyDescent="0.2">
      <c r="B21" s="87"/>
      <c r="C21" s="108"/>
      <c r="D21" s="109" t="s">
        <v>18</v>
      </c>
      <c r="E21" s="110"/>
      <c r="F21" s="1099">
        <f ca="1">TODAY()</f>
        <v>41729</v>
      </c>
      <c r="G21" s="1097"/>
      <c r="H21" s="1097"/>
      <c r="I21" s="1098"/>
      <c r="J21" s="188"/>
      <c r="K21" s="91"/>
    </row>
    <row r="22" spans="1:11" x14ac:dyDescent="0.2">
      <c r="B22" s="87"/>
      <c r="C22" s="108"/>
      <c r="D22" s="276"/>
      <c r="E22" s="110"/>
      <c r="F22" s="1100"/>
      <c r="G22" s="1097"/>
      <c r="H22" s="1097"/>
      <c r="I22" s="1098"/>
      <c r="J22" s="188"/>
      <c r="K22" s="91"/>
    </row>
    <row r="23" spans="1:11" x14ac:dyDescent="0.2">
      <c r="A23" s="223"/>
      <c r="B23" s="224"/>
      <c r="C23" s="225"/>
      <c r="D23" s="109" t="s">
        <v>232</v>
      </c>
      <c r="E23" s="110"/>
      <c r="F23" s="1101">
        <f>begr!H14</f>
        <v>991438.47333333339</v>
      </c>
      <c r="G23" s="1101">
        <f>begr!I14</f>
        <v>937947.34666666668</v>
      </c>
      <c r="H23" s="1101">
        <f>begr!J14</f>
        <v>946225.94666666677</v>
      </c>
      <c r="I23" s="1101">
        <f>begr!K14</f>
        <v>954504.54666666663</v>
      </c>
      <c r="J23" s="1102"/>
      <c r="K23" s="230"/>
    </row>
    <row r="24" spans="1:11" x14ac:dyDescent="0.2">
      <c r="A24" s="223"/>
      <c r="B24" s="224"/>
      <c r="C24" s="225"/>
      <c r="D24" s="109" t="s">
        <v>527</v>
      </c>
      <c r="E24" s="226"/>
      <c r="F24" s="1101">
        <f>begr!H15</f>
        <v>0</v>
      </c>
      <c r="G24" s="1101">
        <f>begr!I15</f>
        <v>0</v>
      </c>
      <c r="H24" s="1101">
        <f>begr!J15</f>
        <v>0</v>
      </c>
      <c r="I24" s="1101">
        <f>begr!K15</f>
        <v>0</v>
      </c>
      <c r="J24" s="1102"/>
      <c r="K24" s="230"/>
    </row>
    <row r="25" spans="1:11" x14ac:dyDescent="0.2">
      <c r="A25" s="223"/>
      <c r="B25" s="224"/>
      <c r="C25" s="225"/>
      <c r="D25" s="109" t="s">
        <v>611</v>
      </c>
      <c r="E25" s="226"/>
      <c r="F25" s="1101">
        <f>begr!H16</f>
        <v>0</v>
      </c>
      <c r="G25" s="1101">
        <f>begr!I16</f>
        <v>0</v>
      </c>
      <c r="H25" s="1101">
        <f>begr!J16</f>
        <v>0</v>
      </c>
      <c r="I25" s="1101">
        <f>begr!K16</f>
        <v>0</v>
      </c>
      <c r="J25" s="1102"/>
      <c r="K25" s="230"/>
    </row>
    <row r="26" spans="1:11" x14ac:dyDescent="0.2">
      <c r="A26" s="223"/>
      <c r="B26" s="224"/>
      <c r="C26" s="225"/>
      <c r="D26" s="109" t="s">
        <v>612</v>
      </c>
      <c r="E26" s="226"/>
      <c r="F26" s="1101">
        <f>begr!H17</f>
        <v>0</v>
      </c>
      <c r="G26" s="1101">
        <f>begr!I17</f>
        <v>0</v>
      </c>
      <c r="H26" s="1101">
        <f>begr!J17</f>
        <v>0</v>
      </c>
      <c r="I26" s="1101">
        <f>begr!K17</f>
        <v>0</v>
      </c>
      <c r="J26" s="1102"/>
      <c r="K26" s="230"/>
    </row>
    <row r="27" spans="1:11" x14ac:dyDescent="0.2">
      <c r="B27" s="87"/>
      <c r="C27" s="108"/>
      <c r="D27" s="110" t="s">
        <v>389</v>
      </c>
      <c r="E27" s="110"/>
      <c r="F27" s="1101">
        <f>begr!H18</f>
        <v>0</v>
      </c>
      <c r="G27" s="1101">
        <f>begr!I18</f>
        <v>0</v>
      </c>
      <c r="H27" s="1101">
        <f>begr!J18</f>
        <v>0</v>
      </c>
      <c r="I27" s="1101">
        <f>begr!K18</f>
        <v>0</v>
      </c>
      <c r="J27" s="188"/>
      <c r="K27" s="91"/>
    </row>
    <row r="28" spans="1:11" x14ac:dyDescent="0.2">
      <c r="B28" s="87"/>
      <c r="C28" s="108"/>
      <c r="D28" s="257" t="s">
        <v>485</v>
      </c>
      <c r="E28" s="110"/>
      <c r="F28" s="1101">
        <f>begr!H21</f>
        <v>184671.87</v>
      </c>
      <c r="G28" s="1101">
        <f>begr!I21</f>
        <v>184671.87</v>
      </c>
      <c r="H28" s="1101">
        <f>begr!J21</f>
        <v>184671.87</v>
      </c>
      <c r="I28" s="1101">
        <f>begr!K21</f>
        <v>184671.87</v>
      </c>
      <c r="J28" s="188"/>
      <c r="K28" s="91"/>
    </row>
    <row r="29" spans="1:11" x14ac:dyDescent="0.2">
      <c r="B29" s="87"/>
      <c r="C29" s="108"/>
      <c r="D29" s="257" t="s">
        <v>521</v>
      </c>
      <c r="E29" s="110"/>
      <c r="F29" s="1101">
        <f>begr!H22</f>
        <v>0</v>
      </c>
      <c r="G29" s="1101">
        <f>begr!I22</f>
        <v>0</v>
      </c>
      <c r="H29" s="1101">
        <f>begr!J22</f>
        <v>0</v>
      </c>
      <c r="I29" s="1101">
        <f>begr!K22</f>
        <v>0</v>
      </c>
      <c r="J29" s="188"/>
      <c r="K29" s="91"/>
    </row>
    <row r="30" spans="1:11" x14ac:dyDescent="0.2">
      <c r="B30" s="87"/>
      <c r="C30" s="108"/>
      <c r="D30" s="110" t="s">
        <v>391</v>
      </c>
      <c r="E30" s="110"/>
      <c r="F30" s="1101">
        <f>begr!H24</f>
        <v>10000</v>
      </c>
      <c r="G30" s="1101">
        <f>begr!I24</f>
        <v>10000</v>
      </c>
      <c r="H30" s="1101">
        <f>begr!J24</f>
        <v>10000</v>
      </c>
      <c r="I30" s="1101">
        <f>begr!K24</f>
        <v>10000</v>
      </c>
      <c r="J30" s="188"/>
      <c r="K30" s="91"/>
    </row>
    <row r="31" spans="1:11" x14ac:dyDescent="0.2">
      <c r="B31" s="87"/>
      <c r="C31" s="108"/>
      <c r="D31" s="110" t="s">
        <v>392</v>
      </c>
      <c r="E31" s="110"/>
      <c r="F31" s="1101">
        <f>begr!H25</f>
        <v>0</v>
      </c>
      <c r="G31" s="1101">
        <f>begr!I25</f>
        <v>0</v>
      </c>
      <c r="H31" s="1101">
        <f>begr!J25</f>
        <v>0</v>
      </c>
      <c r="I31" s="1101">
        <f>begr!K25</f>
        <v>0</v>
      </c>
      <c r="J31" s="188"/>
      <c r="K31" s="91"/>
    </row>
    <row r="32" spans="1:11" x14ac:dyDescent="0.2">
      <c r="B32" s="87"/>
      <c r="C32" s="108"/>
      <c r="D32" s="110" t="s">
        <v>608</v>
      </c>
      <c r="E32" s="110"/>
      <c r="F32" s="1101">
        <f>begr!H26</f>
        <v>0</v>
      </c>
      <c r="G32" s="1101">
        <f>begr!I26</f>
        <v>0</v>
      </c>
      <c r="H32" s="1101">
        <f>begr!J26</f>
        <v>0</v>
      </c>
      <c r="I32" s="1101">
        <f>begr!K26</f>
        <v>0</v>
      </c>
      <c r="J32" s="188"/>
      <c r="K32" s="91"/>
    </row>
    <row r="33" spans="2:11" x14ac:dyDescent="0.2">
      <c r="B33" s="87"/>
      <c r="C33" s="108"/>
      <c r="D33" s="109" t="s">
        <v>374</v>
      </c>
      <c r="E33" s="265"/>
      <c r="F33" s="1101">
        <f>begr!H35</f>
        <v>0</v>
      </c>
      <c r="G33" s="1101">
        <f>begr!I35</f>
        <v>0</v>
      </c>
      <c r="H33" s="1101">
        <f>begr!J35</f>
        <v>0</v>
      </c>
      <c r="I33" s="1101">
        <f>begr!K35</f>
        <v>0</v>
      </c>
      <c r="J33" s="188"/>
      <c r="K33" s="91"/>
    </row>
    <row r="34" spans="2:11" x14ac:dyDescent="0.2">
      <c r="B34" s="87"/>
      <c r="C34" s="108"/>
      <c r="D34" s="109" t="s">
        <v>375</v>
      </c>
      <c r="E34" s="265"/>
      <c r="F34" s="1101">
        <f>begr!H36</f>
        <v>0</v>
      </c>
      <c r="G34" s="1101">
        <f>begr!I36</f>
        <v>0</v>
      </c>
      <c r="H34" s="1101">
        <f>begr!J36</f>
        <v>0</v>
      </c>
      <c r="I34" s="1101">
        <f>begr!K36</f>
        <v>0</v>
      </c>
      <c r="J34" s="188"/>
      <c r="K34" s="91"/>
    </row>
    <row r="35" spans="2:11" x14ac:dyDescent="0.2">
      <c r="B35" s="87"/>
      <c r="C35" s="108"/>
      <c r="D35" s="109" t="s">
        <v>610</v>
      </c>
      <c r="E35" s="265"/>
      <c r="F35" s="1101">
        <f>begr!H42</f>
        <v>796766.60333333339</v>
      </c>
      <c r="G35" s="1101">
        <f>begr!I42</f>
        <v>743275.47666666668</v>
      </c>
      <c r="H35" s="1101">
        <f>begr!J42</f>
        <v>751554.07666666678</v>
      </c>
      <c r="I35" s="1101">
        <f>begr!K42</f>
        <v>759832.67666666664</v>
      </c>
      <c r="J35" s="188"/>
      <c r="K35" s="91"/>
    </row>
    <row r="36" spans="2:11" x14ac:dyDescent="0.2">
      <c r="B36" s="87"/>
      <c r="C36" s="108"/>
      <c r="D36" s="109"/>
      <c r="E36" s="265"/>
      <c r="F36" s="1101"/>
      <c r="G36" s="1101"/>
      <c r="H36" s="1101"/>
      <c r="I36" s="1101"/>
      <c r="J36" s="188"/>
      <c r="K36" s="91"/>
    </row>
    <row r="37" spans="2:11" x14ac:dyDescent="0.2">
      <c r="B37" s="87"/>
      <c r="C37" s="108"/>
      <c r="D37" s="110" t="s">
        <v>633</v>
      </c>
      <c r="E37" s="110"/>
      <c r="F37" s="1101">
        <f>bal!G17</f>
        <v>30000</v>
      </c>
      <c r="G37" s="1101">
        <f>bal!H17</f>
        <v>20000</v>
      </c>
      <c r="H37" s="1101">
        <f>bal!I17</f>
        <v>10000</v>
      </c>
      <c r="I37" s="1101">
        <f>bal!J17</f>
        <v>0</v>
      </c>
      <c r="J37" s="188"/>
      <c r="K37" s="91"/>
    </row>
    <row r="38" spans="2:11" x14ac:dyDescent="0.2">
      <c r="B38" s="87"/>
      <c r="C38" s="108"/>
      <c r="D38" s="110" t="s">
        <v>280</v>
      </c>
      <c r="E38" s="110"/>
      <c r="F38" s="1101">
        <f>bal!G23</f>
        <v>806766.60333333339</v>
      </c>
      <c r="G38" s="1101">
        <f>bal!H23</f>
        <v>1560042.08</v>
      </c>
      <c r="H38" s="1101">
        <f>bal!I23</f>
        <v>2321596.1566666667</v>
      </c>
      <c r="I38" s="1101">
        <f>bal!J23</f>
        <v>3091428.8333333335</v>
      </c>
      <c r="J38" s="188"/>
      <c r="K38" s="91"/>
    </row>
    <row r="39" spans="2:11" x14ac:dyDescent="0.2">
      <c r="B39" s="87"/>
      <c r="C39" s="108"/>
      <c r="D39" s="110" t="s">
        <v>233</v>
      </c>
      <c r="E39" s="110"/>
      <c r="F39" s="1101">
        <f>bal!G36</f>
        <v>836766.60333333339</v>
      </c>
      <c r="G39" s="1101">
        <f>bal!H36</f>
        <v>1580042.08</v>
      </c>
      <c r="H39" s="1101">
        <f>bal!I36</f>
        <v>2331596.1566666667</v>
      </c>
      <c r="I39" s="1101">
        <f>bal!J36</f>
        <v>3091428.8333333335</v>
      </c>
      <c r="J39" s="188"/>
      <c r="K39" s="91"/>
    </row>
    <row r="40" spans="2:11" x14ac:dyDescent="0.2">
      <c r="B40" s="87"/>
      <c r="C40" s="108"/>
      <c r="D40" s="110" t="s">
        <v>332</v>
      </c>
      <c r="E40" s="110"/>
      <c r="F40" s="1101">
        <f>bal!G41</f>
        <v>0</v>
      </c>
      <c r="G40" s="1101">
        <f>bal!H41</f>
        <v>0</v>
      </c>
      <c r="H40" s="1101">
        <f>bal!I41</f>
        <v>0</v>
      </c>
      <c r="I40" s="1101">
        <f>bal!J41</f>
        <v>0</v>
      </c>
      <c r="J40" s="188"/>
      <c r="K40" s="91"/>
    </row>
    <row r="41" spans="2:11" x14ac:dyDescent="0.2">
      <c r="B41" s="87"/>
      <c r="C41" s="108"/>
      <c r="D41" s="110" t="s">
        <v>282</v>
      </c>
      <c r="E41" s="110"/>
      <c r="F41" s="1101">
        <f>bal!G45</f>
        <v>0</v>
      </c>
      <c r="G41" s="1101">
        <f>bal!H45</f>
        <v>0</v>
      </c>
      <c r="H41" s="1101">
        <f>bal!I45</f>
        <v>0</v>
      </c>
      <c r="I41" s="1101">
        <f>bal!J45</f>
        <v>0</v>
      </c>
      <c r="J41" s="188"/>
      <c r="K41" s="91"/>
    </row>
    <row r="42" spans="2:11" x14ac:dyDescent="0.2">
      <c r="B42" s="87"/>
      <c r="C42" s="108"/>
      <c r="D42" s="110" t="s">
        <v>283</v>
      </c>
      <c r="E42" s="110"/>
      <c r="F42" s="1101">
        <f>bal!G54</f>
        <v>0</v>
      </c>
      <c r="G42" s="1101">
        <f>bal!H54</f>
        <v>0</v>
      </c>
      <c r="H42" s="1101">
        <f>bal!I54</f>
        <v>0</v>
      </c>
      <c r="I42" s="1101">
        <f>bal!J54</f>
        <v>0</v>
      </c>
      <c r="J42" s="188"/>
      <c r="K42" s="91"/>
    </row>
    <row r="43" spans="2:11" x14ac:dyDescent="0.2">
      <c r="B43" s="87"/>
      <c r="C43" s="108"/>
      <c r="D43" s="110"/>
      <c r="E43" s="110"/>
      <c r="F43" s="1103"/>
      <c r="G43" s="1103"/>
      <c r="H43" s="1104"/>
      <c r="I43" s="1103"/>
      <c r="J43" s="188"/>
      <c r="K43" s="91"/>
    </row>
    <row r="44" spans="2:11" x14ac:dyDescent="0.2">
      <c r="B44" s="87"/>
      <c r="C44" s="108"/>
      <c r="D44" s="110" t="s">
        <v>20</v>
      </c>
      <c r="E44" s="110"/>
      <c r="F44" s="190">
        <f>geg!H25</f>
        <v>110</v>
      </c>
      <c r="G44" s="190">
        <f>geg!I25</f>
        <v>110</v>
      </c>
      <c r="H44" s="190">
        <f>geg!J25</f>
        <v>110</v>
      </c>
      <c r="I44" s="190">
        <f>geg!K25</f>
        <v>110</v>
      </c>
      <c r="J44" s="188"/>
      <c r="K44" s="91"/>
    </row>
    <row r="45" spans="2:11" x14ac:dyDescent="0.2">
      <c r="B45" s="87"/>
      <c r="C45" s="108"/>
      <c r="D45" s="110" t="s">
        <v>21</v>
      </c>
      <c r="E45" s="110"/>
      <c r="F45" s="190">
        <f>geg!H26</f>
        <v>110</v>
      </c>
      <c r="G45" s="190">
        <f>geg!I26</f>
        <v>110</v>
      </c>
      <c r="H45" s="190">
        <f>geg!J26</f>
        <v>110</v>
      </c>
      <c r="I45" s="190">
        <f>geg!K26</f>
        <v>110</v>
      </c>
      <c r="J45" s="188"/>
      <c r="K45" s="91"/>
    </row>
    <row r="46" spans="2:11" x14ac:dyDescent="0.2">
      <c r="B46" s="87"/>
      <c r="C46" s="108"/>
      <c r="D46" s="109" t="s">
        <v>22</v>
      </c>
      <c r="E46" s="110"/>
      <c r="F46" s="190">
        <f>geg!H31</f>
        <v>0</v>
      </c>
      <c r="G46" s="190">
        <f>geg!I31</f>
        <v>0</v>
      </c>
      <c r="H46" s="190">
        <f>geg!J31</f>
        <v>0</v>
      </c>
      <c r="I46" s="190">
        <f>geg!K31</f>
        <v>0</v>
      </c>
      <c r="J46" s="188"/>
      <c r="K46" s="91"/>
    </row>
    <row r="47" spans="2:11" x14ac:dyDescent="0.2">
      <c r="B47" s="87"/>
      <c r="C47" s="108"/>
      <c r="D47" s="109" t="s">
        <v>23</v>
      </c>
      <c r="E47" s="110"/>
      <c r="F47" s="190">
        <f>geg!H27</f>
        <v>220</v>
      </c>
      <c r="G47" s="190">
        <f>geg!I27</f>
        <v>220</v>
      </c>
      <c r="H47" s="190">
        <f>geg!J27</f>
        <v>220</v>
      </c>
      <c r="I47" s="190">
        <f>geg!K27</f>
        <v>220</v>
      </c>
      <c r="J47" s="188"/>
      <c r="K47" s="91"/>
    </row>
    <row r="48" spans="2:11" x14ac:dyDescent="0.2">
      <c r="B48" s="87"/>
      <c r="C48" s="108"/>
      <c r="D48" s="109" t="s">
        <v>24</v>
      </c>
      <c r="E48" s="110"/>
      <c r="F48" s="190"/>
      <c r="G48" s="190"/>
      <c r="H48" s="190"/>
      <c r="I48" s="190"/>
      <c r="J48" s="188"/>
      <c r="K48" s="91"/>
    </row>
    <row r="49" spans="2:11" x14ac:dyDescent="0.2">
      <c r="B49" s="87"/>
      <c r="C49" s="108"/>
      <c r="D49" s="109" t="s">
        <v>567</v>
      </c>
      <c r="E49" s="110"/>
      <c r="F49" s="190"/>
      <c r="G49" s="190"/>
      <c r="H49" s="190"/>
      <c r="I49" s="190"/>
      <c r="J49" s="188"/>
      <c r="K49" s="91"/>
    </row>
    <row r="50" spans="2:11" x14ac:dyDescent="0.2">
      <c r="B50" s="87"/>
      <c r="C50" s="108"/>
      <c r="D50" s="109" t="s">
        <v>568</v>
      </c>
      <c r="E50" s="110"/>
      <c r="F50" s="190"/>
      <c r="G50" s="190"/>
      <c r="H50" s="190"/>
      <c r="I50" s="190"/>
      <c r="J50" s="188"/>
      <c r="K50" s="91"/>
    </row>
    <row r="51" spans="2:11" x14ac:dyDescent="0.2">
      <c r="B51" s="87"/>
      <c r="C51" s="108"/>
      <c r="D51" s="109" t="s">
        <v>569</v>
      </c>
      <c r="E51" s="110"/>
      <c r="F51" s="190"/>
      <c r="G51" s="190"/>
      <c r="H51" s="190"/>
      <c r="I51" s="190"/>
      <c r="J51" s="188"/>
      <c r="K51" s="91"/>
    </row>
    <row r="52" spans="2:11" x14ac:dyDescent="0.2">
      <c r="B52" s="87"/>
      <c r="C52" s="108"/>
      <c r="D52" s="109" t="s">
        <v>570</v>
      </c>
      <c r="E52" s="110"/>
      <c r="F52" s="190"/>
      <c r="G52" s="190"/>
      <c r="H52" s="190"/>
      <c r="I52" s="190"/>
      <c r="J52" s="188"/>
      <c r="K52" s="91"/>
    </row>
    <row r="53" spans="2:11" x14ac:dyDescent="0.2">
      <c r="B53" s="87"/>
      <c r="C53" s="108"/>
      <c r="D53" s="109" t="s">
        <v>571</v>
      </c>
      <c r="E53" s="110"/>
      <c r="F53" s="190"/>
      <c r="G53" s="190"/>
      <c r="H53" s="190"/>
      <c r="I53" s="190"/>
      <c r="J53" s="188"/>
      <c r="K53" s="91"/>
    </row>
    <row r="54" spans="2:11" x14ac:dyDescent="0.2">
      <c r="B54" s="87"/>
      <c r="C54" s="108"/>
      <c r="D54" s="1105" t="s">
        <v>572</v>
      </c>
      <c r="E54" s="110"/>
      <c r="F54" s="190"/>
      <c r="G54" s="190"/>
      <c r="H54" s="190"/>
      <c r="I54" s="190"/>
      <c r="J54" s="188"/>
      <c r="K54" s="91"/>
    </row>
    <row r="55" spans="2:11" x14ac:dyDescent="0.2">
      <c r="B55" s="87"/>
      <c r="C55" s="108"/>
      <c r="D55" s="1105" t="s">
        <v>573</v>
      </c>
      <c r="E55" s="110"/>
      <c r="F55" s="190"/>
      <c r="G55" s="190"/>
      <c r="H55" s="190"/>
      <c r="I55" s="190"/>
      <c r="J55" s="188"/>
      <c r="K55" s="91"/>
    </row>
    <row r="56" spans="2:11" x14ac:dyDescent="0.2">
      <c r="B56" s="87"/>
      <c r="C56" s="108"/>
      <c r="D56" s="1105" t="s">
        <v>574</v>
      </c>
      <c r="E56" s="110"/>
      <c r="F56" s="190"/>
      <c r="G56" s="190"/>
      <c r="H56" s="190"/>
      <c r="I56" s="190"/>
      <c r="J56" s="188"/>
      <c r="K56" s="91"/>
    </row>
    <row r="57" spans="2:11" x14ac:dyDescent="0.2">
      <c r="B57" s="87"/>
      <c r="C57" s="108"/>
      <c r="D57" s="1105" t="s">
        <v>575</v>
      </c>
      <c r="E57" s="110"/>
      <c r="F57" s="190"/>
      <c r="G57" s="190"/>
      <c r="H57" s="190"/>
      <c r="I57" s="190"/>
      <c r="J57" s="188"/>
      <c r="K57" s="91"/>
    </row>
    <row r="58" spans="2:11" x14ac:dyDescent="0.2">
      <c r="B58" s="87"/>
      <c r="C58" s="108"/>
      <c r="D58" s="1105" t="s">
        <v>576</v>
      </c>
      <c r="E58" s="110"/>
      <c r="F58" s="190"/>
      <c r="G58" s="190"/>
      <c r="H58" s="190"/>
      <c r="I58" s="190"/>
      <c r="J58" s="188"/>
      <c r="K58" s="91"/>
    </row>
    <row r="59" spans="2:11" x14ac:dyDescent="0.2">
      <c r="B59" s="87"/>
      <c r="C59" s="108"/>
      <c r="D59" s="1105" t="s">
        <v>577</v>
      </c>
      <c r="E59" s="110"/>
      <c r="F59" s="190"/>
      <c r="G59" s="190"/>
      <c r="H59" s="190"/>
      <c r="I59" s="190"/>
      <c r="J59" s="188"/>
      <c r="K59" s="91"/>
    </row>
    <row r="60" spans="2:11" x14ac:dyDescent="0.2">
      <c r="B60" s="87"/>
      <c r="C60" s="108"/>
      <c r="D60" s="1105" t="s">
        <v>578</v>
      </c>
      <c r="E60" s="110"/>
      <c r="F60" s="190"/>
      <c r="G60" s="190"/>
      <c r="H60" s="190"/>
      <c r="I60" s="190"/>
      <c r="J60" s="188"/>
      <c r="K60" s="91"/>
    </row>
    <row r="61" spans="2:11" x14ac:dyDescent="0.2">
      <c r="B61" s="87"/>
      <c r="C61" s="108"/>
      <c r="D61" s="1105" t="s">
        <v>579</v>
      </c>
      <c r="E61" s="110"/>
      <c r="F61" s="190"/>
      <c r="G61" s="190"/>
      <c r="H61" s="190"/>
      <c r="I61" s="190"/>
      <c r="J61" s="188"/>
      <c r="K61" s="91"/>
    </row>
    <row r="62" spans="2:11" x14ac:dyDescent="0.2">
      <c r="B62" s="87"/>
      <c r="C62" s="108"/>
      <c r="D62" s="109"/>
      <c r="E62" s="110"/>
      <c r="F62" s="190"/>
      <c r="G62" s="190"/>
      <c r="H62" s="190"/>
      <c r="I62" s="190"/>
      <c r="J62" s="188"/>
      <c r="K62" s="91"/>
    </row>
    <row r="63" spans="2:11" x14ac:dyDescent="0.2">
      <c r="B63" s="87"/>
      <c r="C63" s="108"/>
      <c r="D63" s="109" t="s">
        <v>201</v>
      </c>
      <c r="E63" s="110"/>
      <c r="F63" s="1106">
        <f>+ken!F108</f>
        <v>6236.9700000000012</v>
      </c>
      <c r="G63" s="1106">
        <f>+ken!G108</f>
        <v>6236.9700000000012</v>
      </c>
      <c r="H63" s="1106">
        <f>+ken!H108</f>
        <v>6236.9700000000012</v>
      </c>
      <c r="I63" s="1106">
        <f>+ken!I108</f>
        <v>6236.9700000000012</v>
      </c>
      <c r="J63" s="188"/>
      <c r="K63" s="91"/>
    </row>
    <row r="64" spans="2:11" x14ac:dyDescent="0.2">
      <c r="B64" s="87"/>
      <c r="C64" s="108"/>
      <c r="D64" s="109" t="s">
        <v>200</v>
      </c>
      <c r="E64" s="110"/>
      <c r="F64" s="1106">
        <f>pers!I158</f>
        <v>0</v>
      </c>
      <c r="G64" s="1106">
        <f>pers!J158</f>
        <v>0</v>
      </c>
      <c r="H64" s="1106">
        <f>pers!K158</f>
        <v>0</v>
      </c>
      <c r="I64" s="1106">
        <f>pers!L158</f>
        <v>0</v>
      </c>
      <c r="J64" s="188"/>
      <c r="K64" s="91"/>
    </row>
    <row r="65" spans="2:11" x14ac:dyDescent="0.2">
      <c r="B65" s="87"/>
      <c r="C65" s="108"/>
      <c r="D65" s="110" t="s">
        <v>202</v>
      </c>
      <c r="E65" s="110"/>
      <c r="F65" s="1106">
        <f>pers!I159</f>
        <v>0</v>
      </c>
      <c r="G65" s="1106">
        <f>pers!J159</f>
        <v>0</v>
      </c>
      <c r="H65" s="1106">
        <f>pers!K159</f>
        <v>0</v>
      </c>
      <c r="I65" s="1106">
        <f>pers!L159</f>
        <v>0</v>
      </c>
      <c r="J65" s="188"/>
      <c r="K65" s="91"/>
    </row>
    <row r="66" spans="2:11" x14ac:dyDescent="0.2">
      <c r="B66" s="87"/>
      <c r="C66" s="108"/>
      <c r="D66" s="257" t="s">
        <v>26</v>
      </c>
      <c r="E66" s="110"/>
      <c r="F66" s="568">
        <f>7/12*ken!F201+5/12*ken!G201</f>
        <v>0</v>
      </c>
      <c r="G66" s="568">
        <f>7/12*ken!G201+5/12*ken!H201</f>
        <v>0</v>
      </c>
      <c r="H66" s="568">
        <f>7/12*ken!H201+5/12*ken!I201</f>
        <v>0</v>
      </c>
      <c r="I66" s="568">
        <f>7/12*ken!I201+5/12*ken!J201</f>
        <v>0</v>
      </c>
      <c r="J66" s="188"/>
      <c r="K66" s="91"/>
    </row>
    <row r="67" spans="2:11" x14ac:dyDescent="0.2">
      <c r="B67" s="87"/>
      <c r="C67" s="108"/>
      <c r="D67" s="257" t="s">
        <v>35</v>
      </c>
      <c r="E67" s="110"/>
      <c r="F67" s="568">
        <f>7/12*ken!F202+5/12*ken!G202</f>
        <v>0.87500000000000011</v>
      </c>
      <c r="G67" s="568">
        <f>7/12*ken!G202+5/12*ken!H202</f>
        <v>0.87500000000000011</v>
      </c>
      <c r="H67" s="568">
        <f>7/12*ken!H202+5/12*ken!I202</f>
        <v>0.87500000000000011</v>
      </c>
      <c r="I67" s="568">
        <f>7/12*ken!I202+5/12*ken!J202</f>
        <v>0.87500000000000011</v>
      </c>
      <c r="J67" s="188"/>
      <c r="K67" s="91"/>
    </row>
    <row r="68" spans="2:11" x14ac:dyDescent="0.2">
      <c r="B68" s="87"/>
      <c r="C68" s="108"/>
      <c r="D68" s="257" t="s">
        <v>757</v>
      </c>
      <c r="E68" s="110"/>
      <c r="F68" s="568">
        <f>7/12*ken!F203+5/12*ken!G203</f>
        <v>1</v>
      </c>
      <c r="G68" s="568">
        <f>7/12*ken!G203+5/12*ken!H203</f>
        <v>1</v>
      </c>
      <c r="H68" s="568">
        <f>7/12*ken!H203+5/12*ken!I203</f>
        <v>1</v>
      </c>
      <c r="I68" s="568">
        <f>7/12*ken!I203+5/12*ken!J203</f>
        <v>1</v>
      </c>
      <c r="J68" s="188"/>
      <c r="K68" s="91"/>
    </row>
    <row r="69" spans="2:11" x14ac:dyDescent="0.2">
      <c r="B69" s="87"/>
      <c r="C69" s="108"/>
      <c r="D69" s="110"/>
      <c r="E69" s="110"/>
      <c r="F69" s="572"/>
      <c r="G69" s="572"/>
      <c r="H69" s="572"/>
      <c r="I69" s="572"/>
      <c r="J69" s="188"/>
      <c r="K69" s="91"/>
    </row>
    <row r="70" spans="2:11" x14ac:dyDescent="0.2">
      <c r="B70" s="87"/>
      <c r="C70" s="108"/>
      <c r="D70" s="110" t="s">
        <v>14</v>
      </c>
      <c r="E70" s="110"/>
      <c r="F70" s="1106">
        <f>begr!H49</f>
        <v>6782.416666666667</v>
      </c>
      <c r="G70" s="1106">
        <f>begr!I49</f>
        <v>0</v>
      </c>
      <c r="H70" s="1106">
        <f>begr!J49</f>
        <v>0</v>
      </c>
      <c r="I70" s="1106">
        <f>begr!K49</f>
        <v>0</v>
      </c>
      <c r="J70" s="188"/>
      <c r="K70" s="91"/>
    </row>
    <row r="71" spans="2:11" x14ac:dyDescent="0.2">
      <c r="B71" s="87"/>
      <c r="C71" s="108"/>
      <c r="D71" s="110" t="s">
        <v>15</v>
      </c>
      <c r="E71" s="110"/>
      <c r="F71" s="1106">
        <f>begr!H50</f>
        <v>0</v>
      </c>
      <c r="G71" s="1106">
        <f>begr!I50</f>
        <v>0</v>
      </c>
      <c r="H71" s="1106">
        <f>begr!J50</f>
        <v>0</v>
      </c>
      <c r="I71" s="1106">
        <f>begr!K50</f>
        <v>0</v>
      </c>
      <c r="J71" s="188"/>
      <c r="K71" s="91"/>
    </row>
    <row r="72" spans="2:11" x14ac:dyDescent="0.2">
      <c r="B72" s="87"/>
      <c r="C72" s="108"/>
      <c r="D72" s="110"/>
      <c r="E72" s="110"/>
      <c r="F72" s="1106"/>
      <c r="G72" s="1106"/>
      <c r="H72" s="1106"/>
      <c r="I72" s="1106"/>
      <c r="J72" s="188"/>
      <c r="K72" s="91"/>
    </row>
    <row r="73" spans="2:11" x14ac:dyDescent="0.2">
      <c r="B73" s="87"/>
      <c r="C73" s="108"/>
      <c r="D73" s="109" t="s">
        <v>220</v>
      </c>
      <c r="E73" s="110"/>
      <c r="F73" s="1106">
        <f>act!G29</f>
        <v>0</v>
      </c>
      <c r="G73" s="1106">
        <f>act!H29</f>
        <v>0</v>
      </c>
      <c r="H73" s="1106">
        <f>act!I29</f>
        <v>0</v>
      </c>
      <c r="I73" s="1106">
        <f>act!J29</f>
        <v>0</v>
      </c>
      <c r="J73" s="188"/>
      <c r="K73" s="91"/>
    </row>
    <row r="74" spans="2:11" x14ac:dyDescent="0.2">
      <c r="B74" s="87"/>
      <c r="C74" s="108"/>
      <c r="D74" s="109" t="s">
        <v>221</v>
      </c>
      <c r="E74" s="110"/>
      <c r="F74" s="1106">
        <f>mop!G18</f>
        <v>0</v>
      </c>
      <c r="G74" s="1106">
        <f>mop!H18</f>
        <v>0</v>
      </c>
      <c r="H74" s="1106">
        <f>mop!I18</f>
        <v>0</v>
      </c>
      <c r="I74" s="1106">
        <f>mop!J18</f>
        <v>0</v>
      </c>
      <c r="J74" s="188"/>
      <c r="K74" s="91"/>
    </row>
    <row r="75" spans="2:11" x14ac:dyDescent="0.2">
      <c r="B75" s="87"/>
      <c r="C75" s="108"/>
      <c r="D75" s="110"/>
      <c r="E75" s="110"/>
      <c r="F75" s="1106"/>
      <c r="G75" s="1106"/>
      <c r="H75" s="1106"/>
      <c r="I75" s="1106"/>
      <c r="J75" s="188"/>
      <c r="K75" s="91"/>
    </row>
    <row r="76" spans="2:11" x14ac:dyDescent="0.2">
      <c r="B76" s="87"/>
      <c r="C76" s="108"/>
      <c r="D76" s="109" t="s">
        <v>449</v>
      </c>
      <c r="E76" s="110"/>
      <c r="F76" s="1106">
        <f>ken!F16</f>
        <v>991438.47333333339</v>
      </c>
      <c r="G76" s="1106">
        <f>ken!G16</f>
        <v>937947.34666666668</v>
      </c>
      <c r="H76" s="1106">
        <f>ken!H16</f>
        <v>946225.94666666677</v>
      </c>
      <c r="I76" s="1106">
        <f>ken!I16</f>
        <v>954504.54666666663</v>
      </c>
      <c r="J76" s="188"/>
      <c r="K76" s="91"/>
    </row>
    <row r="77" spans="2:11" x14ac:dyDescent="0.2">
      <c r="B77" s="87"/>
      <c r="C77" s="108"/>
      <c r="D77" s="109" t="s">
        <v>484</v>
      </c>
      <c r="E77" s="110"/>
      <c r="F77" s="1106">
        <f>ken!F19</f>
        <v>0</v>
      </c>
      <c r="G77" s="1106">
        <f>ken!G19</f>
        <v>0</v>
      </c>
      <c r="H77" s="1106">
        <f>ken!H19</f>
        <v>0</v>
      </c>
      <c r="I77" s="1106">
        <f>ken!I19</f>
        <v>0</v>
      </c>
      <c r="J77" s="188"/>
      <c r="K77" s="91"/>
    </row>
    <row r="78" spans="2:11" x14ac:dyDescent="0.2">
      <c r="B78" s="87"/>
      <c r="C78" s="108"/>
      <c r="D78" s="109" t="s">
        <v>590</v>
      </c>
      <c r="E78" s="110"/>
      <c r="F78" s="1106">
        <f>ken!F22</f>
        <v>0</v>
      </c>
      <c r="G78" s="1106">
        <f>ken!G22</f>
        <v>0</v>
      </c>
      <c r="H78" s="1106">
        <f>ken!H22</f>
        <v>0</v>
      </c>
      <c r="I78" s="1106">
        <f>ken!I22</f>
        <v>0</v>
      </c>
      <c r="J78" s="188"/>
      <c r="K78" s="91"/>
    </row>
    <row r="79" spans="2:11" x14ac:dyDescent="0.2">
      <c r="B79" s="87"/>
      <c r="C79" s="108"/>
      <c r="D79" s="109" t="s">
        <v>6</v>
      </c>
      <c r="E79" s="110"/>
      <c r="F79" s="1106">
        <f>ken!F28</f>
        <v>194671.87</v>
      </c>
      <c r="G79" s="1106">
        <f>ken!G28</f>
        <v>194671.87</v>
      </c>
      <c r="H79" s="1106">
        <f>ken!H28</f>
        <v>194671.87</v>
      </c>
      <c r="I79" s="1106">
        <f>ken!I28</f>
        <v>194671.87</v>
      </c>
      <c r="J79" s="188"/>
      <c r="K79" s="91"/>
    </row>
    <row r="80" spans="2:11" x14ac:dyDescent="0.2">
      <c r="B80" s="87"/>
      <c r="C80" s="108"/>
      <c r="D80" s="109" t="s">
        <v>7</v>
      </c>
      <c r="E80" s="110"/>
      <c r="F80" s="1106">
        <f>ken!F35</f>
        <v>184671.87</v>
      </c>
      <c r="G80" s="1106">
        <f>ken!G35</f>
        <v>184671.87</v>
      </c>
      <c r="H80" s="1106">
        <f>ken!H35</f>
        <v>184671.87</v>
      </c>
      <c r="I80" s="1106">
        <f>ken!I35</f>
        <v>184671.87</v>
      </c>
      <c r="J80" s="188"/>
      <c r="K80" s="91"/>
    </row>
    <row r="81" spans="2:11" x14ac:dyDescent="0.2">
      <c r="B81" s="87"/>
      <c r="C81" s="108"/>
      <c r="D81" s="109" t="s">
        <v>8</v>
      </c>
      <c r="E81" s="110"/>
      <c r="F81" s="1106">
        <f>ken!F42</f>
        <v>0</v>
      </c>
      <c r="G81" s="1106">
        <f>ken!G42</f>
        <v>0</v>
      </c>
      <c r="H81" s="1106">
        <f>ken!H42</f>
        <v>0</v>
      </c>
      <c r="I81" s="1106">
        <f>ken!I42</f>
        <v>0</v>
      </c>
      <c r="J81" s="188"/>
      <c r="K81" s="91"/>
    </row>
    <row r="82" spans="2:11" x14ac:dyDescent="0.2">
      <c r="B82" s="87"/>
      <c r="C82" s="108"/>
      <c r="D82" s="109" t="s">
        <v>9</v>
      </c>
      <c r="E82" s="110"/>
      <c r="F82" s="1106">
        <f>ken!F49</f>
        <v>0</v>
      </c>
      <c r="G82" s="1106">
        <f>ken!G49</f>
        <v>0</v>
      </c>
      <c r="H82" s="1106">
        <f>ken!H49</f>
        <v>0</v>
      </c>
      <c r="I82" s="1106">
        <f>ken!I49</f>
        <v>0</v>
      </c>
      <c r="J82" s="188"/>
      <c r="K82" s="91"/>
    </row>
    <row r="83" spans="2:11" x14ac:dyDescent="0.2">
      <c r="B83" s="87"/>
      <c r="C83" s="108"/>
      <c r="D83" s="109" t="s">
        <v>10</v>
      </c>
      <c r="E83" s="110"/>
      <c r="F83" s="1106">
        <f>ken!F55</f>
        <v>0</v>
      </c>
      <c r="G83" s="1106">
        <f>ken!G55</f>
        <v>0</v>
      </c>
      <c r="H83" s="1106">
        <f>ken!H55</f>
        <v>0</v>
      </c>
      <c r="I83" s="1106">
        <f>ken!I55</f>
        <v>0</v>
      </c>
      <c r="J83" s="188"/>
      <c r="K83" s="91"/>
    </row>
    <row r="84" spans="2:11" x14ac:dyDescent="0.2">
      <c r="B84" s="87"/>
      <c r="C84" s="108"/>
      <c r="D84" s="109" t="s">
        <v>11</v>
      </c>
      <c r="E84" s="110"/>
      <c r="F84" s="1106">
        <f>ken!F61</f>
        <v>10000</v>
      </c>
      <c r="G84" s="1106">
        <f>ken!G61</f>
        <v>10000</v>
      </c>
      <c r="H84" s="1106">
        <f>ken!H61</f>
        <v>10000</v>
      </c>
      <c r="I84" s="1106">
        <f>ken!I61</f>
        <v>10000</v>
      </c>
      <c r="J84" s="188"/>
      <c r="K84" s="91"/>
    </row>
    <row r="85" spans="2:11" x14ac:dyDescent="0.2">
      <c r="B85" s="87"/>
      <c r="C85" s="108"/>
      <c r="D85" s="109" t="s">
        <v>12</v>
      </c>
      <c r="E85" s="110"/>
      <c r="F85" s="1106">
        <f>ken!F71</f>
        <v>0</v>
      </c>
      <c r="G85" s="1106">
        <f>ken!G71</f>
        <v>0</v>
      </c>
      <c r="H85" s="1106">
        <f>ken!H71</f>
        <v>0</v>
      </c>
      <c r="I85" s="1106">
        <f>ken!I71</f>
        <v>0</v>
      </c>
      <c r="J85" s="188"/>
      <c r="K85" s="91"/>
    </row>
    <row r="86" spans="2:11" x14ac:dyDescent="0.2">
      <c r="B86" s="87"/>
      <c r="C86" s="108"/>
      <c r="D86" s="109" t="s">
        <v>13</v>
      </c>
      <c r="E86" s="110"/>
      <c r="F86" s="1106">
        <f>ken!F74</f>
        <v>0</v>
      </c>
      <c r="G86" s="1106">
        <f>ken!G74</f>
        <v>0</v>
      </c>
      <c r="H86" s="1106">
        <f>ken!H74</f>
        <v>0</v>
      </c>
      <c r="I86" s="1106">
        <f>ken!I74</f>
        <v>0</v>
      </c>
      <c r="J86" s="188"/>
      <c r="K86" s="91"/>
    </row>
    <row r="87" spans="2:11" x14ac:dyDescent="0.2">
      <c r="B87" s="87"/>
      <c r="C87" s="108"/>
      <c r="D87" s="109" t="s">
        <v>589</v>
      </c>
      <c r="E87" s="110"/>
      <c r="F87" s="1106">
        <f>ken!F82</f>
        <v>0</v>
      </c>
      <c r="G87" s="1106">
        <f>ken!G82</f>
        <v>0</v>
      </c>
      <c r="H87" s="1106">
        <f>ken!H82</f>
        <v>0</v>
      </c>
      <c r="I87" s="1106">
        <f>ken!I82</f>
        <v>0</v>
      </c>
      <c r="J87" s="188"/>
      <c r="K87" s="91"/>
    </row>
    <row r="88" spans="2:11" x14ac:dyDescent="0.2">
      <c r="B88" s="87"/>
      <c r="C88" s="108"/>
      <c r="D88" s="109" t="s">
        <v>720</v>
      </c>
      <c r="E88" s="110"/>
      <c r="F88" s="1106">
        <f>ken!F102</f>
        <v>57163.33</v>
      </c>
      <c r="G88" s="1106">
        <f>ken!G102</f>
        <v>0</v>
      </c>
      <c r="H88" s="1106">
        <f>ken!H102</f>
        <v>0</v>
      </c>
      <c r="I88" s="1106">
        <f>ken!I102</f>
        <v>0</v>
      </c>
      <c r="J88" s="188"/>
      <c r="K88" s="91"/>
    </row>
    <row r="89" spans="2:11" x14ac:dyDescent="0.2">
      <c r="B89" s="87"/>
      <c r="C89" s="108"/>
      <c r="D89" s="109" t="s">
        <v>721</v>
      </c>
      <c r="E89" s="110"/>
      <c r="F89" s="1106">
        <f>ken!F99</f>
        <v>0</v>
      </c>
      <c r="G89" s="1106">
        <f>ken!G99</f>
        <v>0</v>
      </c>
      <c r="H89" s="1106">
        <f>ken!H99</f>
        <v>0</v>
      </c>
      <c r="I89" s="1106">
        <f>ken!I99</f>
        <v>0</v>
      </c>
      <c r="J89" s="188"/>
      <c r="K89" s="91"/>
    </row>
    <row r="90" spans="2:11" x14ac:dyDescent="0.2">
      <c r="B90" s="87"/>
      <c r="C90" s="116"/>
      <c r="D90" s="168"/>
      <c r="E90" s="117"/>
      <c r="F90" s="117"/>
      <c r="G90" s="117"/>
      <c r="H90" s="1107"/>
      <c r="I90" s="117"/>
      <c r="J90" s="151"/>
      <c r="K90" s="91"/>
    </row>
    <row r="91" spans="2:11" x14ac:dyDescent="0.2">
      <c r="B91" s="87"/>
      <c r="C91" s="88"/>
      <c r="D91" s="88"/>
      <c r="E91" s="88"/>
      <c r="F91" s="88"/>
      <c r="G91" s="88"/>
      <c r="H91" s="1108"/>
      <c r="I91" s="88"/>
      <c r="J91" s="88"/>
      <c r="K91" s="91"/>
    </row>
    <row r="92" spans="2:11" ht="15" x14ac:dyDescent="0.25">
      <c r="B92" s="199"/>
      <c r="C92" s="200"/>
      <c r="D92" s="200"/>
      <c r="E92" s="200"/>
      <c r="F92" s="200"/>
      <c r="G92" s="200"/>
      <c r="H92" s="1109"/>
      <c r="I92" s="200"/>
      <c r="J92" s="176" t="s">
        <v>629</v>
      </c>
      <c r="K92" s="201"/>
    </row>
    <row r="93" spans="2:11" x14ac:dyDescent="0.2">
      <c r="H93" s="372"/>
    </row>
    <row r="94" spans="2:11" x14ac:dyDescent="0.2">
      <c r="H94" s="372"/>
    </row>
    <row r="95" spans="2:11" x14ac:dyDescent="0.2">
      <c r="H95" s="372"/>
    </row>
    <row r="96" spans="2:11" x14ac:dyDescent="0.2">
      <c r="H96" s="372"/>
    </row>
    <row r="97" spans="8:8" x14ac:dyDescent="0.2">
      <c r="H97" s="372"/>
    </row>
    <row r="98" spans="8:8" x14ac:dyDescent="0.2">
      <c r="H98" s="372"/>
    </row>
    <row r="99" spans="8:8" x14ac:dyDescent="0.2">
      <c r="H99" s="372"/>
    </row>
    <row r="100" spans="8:8" x14ac:dyDescent="0.2">
      <c r="H100" s="372"/>
    </row>
    <row r="101" spans="8:8" x14ac:dyDescent="0.2">
      <c r="H101" s="372"/>
    </row>
    <row r="102" spans="8:8" x14ac:dyDescent="0.2">
      <c r="H102" s="372"/>
    </row>
    <row r="103" spans="8:8" x14ac:dyDescent="0.2">
      <c r="H103" s="372"/>
    </row>
    <row r="104" spans="8:8" x14ac:dyDescent="0.2">
      <c r="H104" s="372"/>
    </row>
    <row r="105" spans="8:8" x14ac:dyDescent="0.2">
      <c r="H105" s="372"/>
    </row>
    <row r="106" spans="8:8" x14ac:dyDescent="0.2">
      <c r="H106" s="372"/>
    </row>
    <row r="107" spans="8:8" x14ac:dyDescent="0.2">
      <c r="H107" s="372"/>
    </row>
    <row r="108" spans="8:8" x14ac:dyDescent="0.2">
      <c r="H108" s="372"/>
    </row>
    <row r="109" spans="8:8" x14ac:dyDescent="0.2">
      <c r="H109" s="372"/>
    </row>
    <row r="110" spans="8:8" x14ac:dyDescent="0.2">
      <c r="H110" s="372"/>
    </row>
    <row r="111" spans="8:8" x14ac:dyDescent="0.2">
      <c r="H111" s="372"/>
    </row>
    <row r="112" spans="8:8" x14ac:dyDescent="0.2">
      <c r="H112" s="372"/>
    </row>
    <row r="113" spans="8:8" x14ac:dyDescent="0.2">
      <c r="H113" s="372"/>
    </row>
    <row r="114" spans="8:8" x14ac:dyDescent="0.2">
      <c r="H114" s="372"/>
    </row>
    <row r="115" spans="8:8" x14ac:dyDescent="0.2">
      <c r="H115" s="372"/>
    </row>
    <row r="116" spans="8:8" x14ac:dyDescent="0.2">
      <c r="H116" s="372"/>
    </row>
    <row r="117" spans="8:8" x14ac:dyDescent="0.2">
      <c r="H117" s="372"/>
    </row>
    <row r="118" spans="8:8" x14ac:dyDescent="0.2">
      <c r="H118" s="372"/>
    </row>
    <row r="119" spans="8:8" x14ac:dyDescent="0.2">
      <c r="H119" s="372"/>
    </row>
    <row r="120" spans="8:8" x14ac:dyDescent="0.2">
      <c r="H120" s="372"/>
    </row>
    <row r="121" spans="8:8" x14ac:dyDescent="0.2">
      <c r="H121" s="372"/>
    </row>
    <row r="122" spans="8:8" x14ac:dyDescent="0.2">
      <c r="H122" s="372"/>
    </row>
    <row r="123" spans="8:8" x14ac:dyDescent="0.2">
      <c r="H123" s="372"/>
    </row>
    <row r="124" spans="8:8" x14ac:dyDescent="0.2">
      <c r="H124" s="372"/>
    </row>
    <row r="125" spans="8:8" x14ac:dyDescent="0.2">
      <c r="H125" s="372"/>
    </row>
    <row r="126" spans="8:8" x14ac:dyDescent="0.2">
      <c r="H126" s="372"/>
    </row>
    <row r="127" spans="8:8" x14ac:dyDescent="0.2">
      <c r="H127" s="372"/>
    </row>
    <row r="128" spans="8:8" x14ac:dyDescent="0.2">
      <c r="H128" s="372"/>
    </row>
    <row r="129" spans="8:8" x14ac:dyDescent="0.2">
      <c r="H129" s="372"/>
    </row>
    <row r="130" spans="8:8" x14ac:dyDescent="0.2">
      <c r="H130" s="372"/>
    </row>
    <row r="131" spans="8:8" x14ac:dyDescent="0.2">
      <c r="H131" s="372"/>
    </row>
    <row r="132" spans="8:8" x14ac:dyDescent="0.2">
      <c r="H132" s="372"/>
    </row>
  </sheetData>
  <sheetProtection password="DFB1" sheet="1" objects="1" scenarios="1"/>
  <mergeCells count="1">
    <mergeCell ref="F9:H9"/>
  </mergeCells>
  <phoneticPr fontId="0" type="noConversion"/>
  <pageMargins left="0.74803149606299213" right="0.74803149606299213" top="0.98425196850393704" bottom="0.98425196850393704" header="0.51181102362204722" footer="0.51181102362204722"/>
  <pageSetup paperSize="9" scale="59" orientation="portrait" r:id="rId1"/>
  <headerFooter alignWithMargins="0">
    <oddHeader>&amp;L&amp;"Arial,Vet"&amp;F&amp;R&amp;"Arial,Vet"&amp;A</oddHeader>
    <oddFooter>&amp;L&amp;"Arial,Vet"PO-Raad&amp;C&amp;"Arial,Vet"&amp;D&amp;R&amp;"Arial,Vet"pagina &amp;P</oddFooter>
  </headerFooter>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X1187"/>
  <sheetViews>
    <sheetView zoomScale="85" zoomScaleNormal="85" workbookViewId="0">
      <pane ySplit="5" topLeftCell="A6" activePane="bottomLeft" state="frozen"/>
      <selection activeCell="B2" sqref="B2"/>
      <selection pane="bottomLeft" activeCell="A6" sqref="A6"/>
    </sheetView>
  </sheetViews>
  <sheetFormatPr defaultColWidth="9.140625" defaultRowHeight="12.75" x14ac:dyDescent="0.2"/>
  <cols>
    <col min="1" max="1" width="45.7109375" style="7" customWidth="1"/>
    <col min="2" max="2" width="14.85546875" style="11" customWidth="1"/>
    <col min="3" max="29" width="14.85546875" style="7" customWidth="1"/>
    <col min="30" max="16384" width="9.140625" style="7"/>
  </cols>
  <sheetData>
    <row r="2" spans="1:9" s="1" customFormat="1" x14ac:dyDescent="0.2">
      <c r="A2" s="2" t="s">
        <v>290</v>
      </c>
      <c r="B2" s="3"/>
      <c r="C2" s="4" t="s">
        <v>147</v>
      </c>
      <c r="D2" s="4" t="s">
        <v>592</v>
      </c>
      <c r="E2" s="4" t="s">
        <v>410</v>
      </c>
      <c r="F2" s="4" t="s">
        <v>635</v>
      </c>
      <c r="G2" s="4" t="s">
        <v>2</v>
      </c>
      <c r="H2" s="4" t="s">
        <v>681</v>
      </c>
      <c r="I2" s="4" t="s">
        <v>730</v>
      </c>
    </row>
    <row r="3" spans="1:9" s="1" customFormat="1" x14ac:dyDescent="0.2">
      <c r="A3" s="2" t="s">
        <v>371</v>
      </c>
      <c r="B3" s="3"/>
      <c r="C3" s="13">
        <v>40817</v>
      </c>
      <c r="D3" s="13">
        <v>41183</v>
      </c>
      <c r="E3" s="13">
        <v>41548</v>
      </c>
      <c r="F3" s="13">
        <v>41913</v>
      </c>
      <c r="G3" s="13">
        <v>42278</v>
      </c>
      <c r="H3" s="13">
        <v>42644</v>
      </c>
      <c r="I3" s="13">
        <v>43009</v>
      </c>
    </row>
    <row r="4" spans="1:9" s="1" customFormat="1" x14ac:dyDescent="0.2">
      <c r="A4" s="2" t="s">
        <v>388</v>
      </c>
      <c r="B4" s="3"/>
      <c r="C4" s="4">
        <v>2012</v>
      </c>
      <c r="D4" s="4">
        <f t="shared" ref="D4" si="0">C4+1</f>
        <v>2013</v>
      </c>
      <c r="E4" s="4">
        <f t="shared" ref="E4" si="1">D4+1</f>
        <v>2014</v>
      </c>
      <c r="F4" s="4">
        <f t="shared" ref="F4" si="2">E4+1</f>
        <v>2015</v>
      </c>
      <c r="G4" s="4">
        <f t="shared" ref="G4" si="3">F4+1</f>
        <v>2016</v>
      </c>
      <c r="H4" s="4">
        <f t="shared" ref="H4" si="4">G4+1</f>
        <v>2017</v>
      </c>
      <c r="I4" s="4">
        <f t="shared" ref="I4" si="5">H4+1</f>
        <v>2018</v>
      </c>
    </row>
    <row r="7" spans="1:9" s="1" customFormat="1" x14ac:dyDescent="0.2">
      <c r="A7" s="15" t="s">
        <v>499</v>
      </c>
      <c r="B7" s="3"/>
      <c r="C7" s="16"/>
      <c r="D7" s="15"/>
      <c r="E7" s="16"/>
    </row>
    <row r="8" spans="1:9" s="1" customFormat="1" x14ac:dyDescent="0.2">
      <c r="A8" s="2" t="s">
        <v>305</v>
      </c>
      <c r="B8" s="3"/>
      <c r="C8" s="15"/>
      <c r="D8" s="2">
        <v>5.9499999999999997E-2</v>
      </c>
      <c r="E8" s="2">
        <v>5.9499999999999997E-2</v>
      </c>
    </row>
    <row r="9" spans="1:9" s="1" customFormat="1" x14ac:dyDescent="0.2">
      <c r="A9" s="2" t="s">
        <v>306</v>
      </c>
      <c r="B9" s="3"/>
      <c r="C9" s="15"/>
      <c r="D9" s="2">
        <v>4.1399999999999999E-2</v>
      </c>
      <c r="E9" s="2">
        <v>4.1399999999999999E-2</v>
      </c>
    </row>
    <row r="10" spans="1:9" s="1" customFormat="1" x14ac:dyDescent="0.2">
      <c r="A10" s="2" t="s">
        <v>309</v>
      </c>
      <c r="B10" s="17"/>
      <c r="C10" s="15"/>
      <c r="D10" s="2">
        <v>5.0299999999999997E-2</v>
      </c>
      <c r="E10" s="2">
        <v>5.0299999999999997E-2</v>
      </c>
    </row>
    <row r="11" spans="1:9" s="1" customFormat="1" x14ac:dyDescent="0.2">
      <c r="A11" s="18" t="s">
        <v>187</v>
      </c>
      <c r="B11" s="17"/>
      <c r="C11" s="15"/>
      <c r="D11" s="18">
        <v>9.4000000000000004E-3</v>
      </c>
      <c r="E11" s="18">
        <v>9.4000000000000004E-3</v>
      </c>
    </row>
    <row r="12" spans="1:9" s="1" customFormat="1" x14ac:dyDescent="0.2">
      <c r="A12" s="2" t="s">
        <v>312</v>
      </c>
      <c r="B12" s="17"/>
      <c r="C12" s="15"/>
      <c r="D12" s="2">
        <v>145</v>
      </c>
      <c r="E12" s="2">
        <v>145</v>
      </c>
    </row>
    <row r="13" spans="1:9" s="1" customFormat="1" x14ac:dyDescent="0.2">
      <c r="A13" s="2" t="s">
        <v>307</v>
      </c>
      <c r="B13" s="17"/>
      <c r="C13" s="15"/>
      <c r="D13" s="2">
        <v>2.1507999999999998</v>
      </c>
      <c r="E13" s="2">
        <v>2.1507999999999998</v>
      </c>
    </row>
    <row r="14" spans="1:9" s="1" customFormat="1" x14ac:dyDescent="0.2">
      <c r="A14" s="2" t="s">
        <v>308</v>
      </c>
      <c r="B14" s="17"/>
      <c r="C14" s="15"/>
      <c r="D14" s="2">
        <v>1.49E-2</v>
      </c>
      <c r="E14" s="2">
        <v>1.49E-2</v>
      </c>
    </row>
    <row r="15" spans="1:9" s="1" customFormat="1" x14ac:dyDescent="0.2">
      <c r="A15" s="2" t="s">
        <v>310</v>
      </c>
      <c r="B15" s="3"/>
      <c r="C15" s="15"/>
      <c r="D15" s="2">
        <v>4.87E-2</v>
      </c>
      <c r="E15" s="2">
        <v>4.87E-2</v>
      </c>
    </row>
    <row r="16" spans="1:9" s="1" customFormat="1" x14ac:dyDescent="0.2">
      <c r="A16" s="2" t="s">
        <v>503</v>
      </c>
      <c r="B16" s="3"/>
      <c r="C16" s="15"/>
      <c r="D16" s="2">
        <v>1.4500000000000001E-2</v>
      </c>
      <c r="E16" s="2">
        <v>1.4500000000000001E-2</v>
      </c>
    </row>
    <row r="17" spans="1:10" s="1" customFormat="1" x14ac:dyDescent="0.2">
      <c r="A17" s="19" t="s">
        <v>621</v>
      </c>
      <c r="B17" s="3"/>
      <c r="C17" s="15"/>
      <c r="D17" s="2">
        <v>2.6926999999999999</v>
      </c>
      <c r="E17" s="2">
        <v>2.6926999999999999</v>
      </c>
    </row>
    <row r="18" spans="1:10" s="1" customFormat="1" x14ac:dyDescent="0.2">
      <c r="A18" s="2" t="s">
        <v>673</v>
      </c>
      <c r="B18" s="17"/>
      <c r="C18" s="15"/>
      <c r="D18" s="2">
        <v>13</v>
      </c>
      <c r="E18" s="2">
        <v>13</v>
      </c>
    </row>
    <row r="19" spans="1:10" s="1" customFormat="1" x14ac:dyDescent="0.2">
      <c r="A19" s="2" t="s">
        <v>515</v>
      </c>
      <c r="B19" s="3"/>
      <c r="C19" s="15"/>
      <c r="D19" s="2">
        <v>6.54E-2</v>
      </c>
      <c r="E19" s="2">
        <v>6.54E-2</v>
      </c>
    </row>
    <row r="20" spans="1:10" x14ac:dyDescent="0.2">
      <c r="A20" s="9"/>
      <c r="B20" s="10" t="s">
        <v>70</v>
      </c>
      <c r="C20" s="8"/>
      <c r="D20" s="9"/>
      <c r="E20" s="9"/>
      <c r="F20" s="9"/>
      <c r="G20" s="1244"/>
      <c r="H20" s="9"/>
      <c r="I20" s="9"/>
    </row>
    <row r="21" spans="1:10" s="26" customFormat="1" x14ac:dyDescent="0.2">
      <c r="A21" s="21" t="s">
        <v>508</v>
      </c>
      <c r="B21" s="22"/>
      <c r="C21" s="77"/>
      <c r="D21" s="24">
        <v>40.43</v>
      </c>
      <c r="E21" s="24">
        <v>40.630000000000003</v>
      </c>
      <c r="F21" s="25"/>
      <c r="G21" s="1251"/>
      <c r="H21" s="1252"/>
      <c r="I21" s="1253"/>
      <c r="J21" s="1253"/>
    </row>
    <row r="22" spans="1:10" s="26" customFormat="1" x14ac:dyDescent="0.2">
      <c r="A22" s="21" t="s">
        <v>505</v>
      </c>
      <c r="B22" s="22"/>
      <c r="C22" s="78"/>
      <c r="D22" s="27">
        <v>57779.28</v>
      </c>
      <c r="E22" s="27">
        <v>57939.91</v>
      </c>
      <c r="F22" s="25"/>
      <c r="G22" s="1254"/>
      <c r="H22" s="1253"/>
      <c r="I22" s="1253"/>
      <c r="J22" s="1253"/>
    </row>
    <row r="23" spans="1:10" s="26" customFormat="1" x14ac:dyDescent="0.2">
      <c r="A23" s="28" t="s">
        <v>504</v>
      </c>
      <c r="B23" s="22"/>
      <c r="C23" s="78"/>
      <c r="D23" s="27">
        <v>74893.14</v>
      </c>
      <c r="E23" s="27">
        <v>74893.14</v>
      </c>
      <c r="F23" s="29"/>
      <c r="G23" s="1255"/>
      <c r="H23" s="1253"/>
      <c r="I23" s="1253"/>
      <c r="J23" s="1253"/>
    </row>
    <row r="24" spans="1:10" s="26" customFormat="1" x14ac:dyDescent="0.2">
      <c r="A24" s="21" t="s">
        <v>506</v>
      </c>
      <c r="B24" s="30"/>
      <c r="C24" s="78"/>
      <c r="D24" s="27">
        <v>27632.37</v>
      </c>
      <c r="E24" s="27">
        <v>27637.85</v>
      </c>
      <c r="F24" s="29"/>
      <c r="G24" s="1254"/>
      <c r="H24" s="1256"/>
      <c r="I24" s="1252"/>
      <c r="J24" s="1253"/>
    </row>
    <row r="25" spans="1:10" s="26" customFormat="1" x14ac:dyDescent="0.2">
      <c r="A25" s="21" t="s">
        <v>507</v>
      </c>
      <c r="B25" s="30"/>
      <c r="C25" s="78"/>
      <c r="D25" s="27">
        <v>745.66</v>
      </c>
      <c r="E25" s="27">
        <v>745.81</v>
      </c>
      <c r="F25" s="29"/>
      <c r="G25" s="1254"/>
      <c r="H25" s="1257"/>
      <c r="I25" s="1252"/>
      <c r="J25" s="1252"/>
    </row>
    <row r="26" spans="1:10" s="26" customFormat="1" x14ac:dyDescent="0.2">
      <c r="A26" s="31" t="s">
        <v>53</v>
      </c>
      <c r="B26" s="22"/>
      <c r="C26" s="78"/>
      <c r="D26" s="27">
        <v>19677.86</v>
      </c>
      <c r="E26" s="27">
        <v>19677.86</v>
      </c>
      <c r="F26" s="29"/>
      <c r="G26" s="1245"/>
      <c r="H26" s="1248"/>
      <c r="I26" s="1247"/>
    </row>
    <row r="27" spans="1:10" s="26" customFormat="1" x14ac:dyDescent="0.2">
      <c r="A27" s="31" t="s">
        <v>54</v>
      </c>
      <c r="B27" s="32"/>
      <c r="C27" s="78"/>
      <c r="D27" s="27">
        <v>36791.72</v>
      </c>
      <c r="E27" s="27">
        <v>36791.72</v>
      </c>
      <c r="F27" s="29"/>
      <c r="G27" s="1245"/>
      <c r="H27" s="28"/>
      <c r="I27" s="25"/>
    </row>
    <row r="28" spans="1:10" s="26" customFormat="1" x14ac:dyDescent="0.2">
      <c r="A28" s="28" t="s">
        <v>591</v>
      </c>
      <c r="B28" s="30"/>
      <c r="C28" s="20"/>
      <c r="D28" s="33">
        <v>0.06</v>
      </c>
      <c r="E28" s="33">
        <v>0.06</v>
      </c>
      <c r="F28" s="29"/>
      <c r="G28" s="1245"/>
      <c r="H28" s="29"/>
      <c r="I28" s="25"/>
    </row>
    <row r="29" spans="1:10" s="26" customFormat="1" x14ac:dyDescent="0.2">
      <c r="A29" s="25" t="s">
        <v>180</v>
      </c>
      <c r="B29" s="34"/>
      <c r="C29" s="78"/>
      <c r="D29" s="27">
        <v>1687</v>
      </c>
      <c r="E29" s="27">
        <v>1687</v>
      </c>
      <c r="F29" s="29"/>
      <c r="G29" s="1246"/>
      <c r="H29" s="29"/>
      <c r="I29" s="25"/>
    </row>
    <row r="30" spans="1:10" s="26" customFormat="1" x14ac:dyDescent="0.2">
      <c r="A30" s="23"/>
      <c r="B30" s="22"/>
      <c r="C30" s="78"/>
      <c r="D30" s="28"/>
      <c r="E30" s="28"/>
      <c r="F30" s="28"/>
      <c r="G30" s="28"/>
      <c r="H30" s="28"/>
      <c r="I30" s="25"/>
    </row>
    <row r="31" spans="1:10" s="26" customFormat="1" x14ac:dyDescent="0.2">
      <c r="A31" s="28" t="s">
        <v>189</v>
      </c>
      <c r="B31" s="22"/>
      <c r="C31" s="78"/>
      <c r="D31" s="29">
        <f>ROUND(D24*tab!D8,2)</f>
        <v>1644.13</v>
      </c>
      <c r="E31" s="29">
        <f>ROUND(E24*tab!E8,2)</f>
        <v>1644.45</v>
      </c>
      <c r="F31" s="29"/>
      <c r="G31" s="29"/>
      <c r="H31" s="29"/>
      <c r="I31" s="25"/>
    </row>
    <row r="32" spans="1:10" s="26" customFormat="1" x14ac:dyDescent="0.2">
      <c r="A32" s="28" t="s">
        <v>191</v>
      </c>
      <c r="B32" s="22"/>
      <c r="C32" s="78"/>
      <c r="D32" s="29">
        <f>ROUND(tab!D8*D25,2)</f>
        <v>44.37</v>
      </c>
      <c r="E32" s="29">
        <f>ROUND(tab!E8*E25,2)</f>
        <v>44.38</v>
      </c>
      <c r="F32" s="29"/>
      <c r="G32" s="29"/>
      <c r="H32" s="29"/>
      <c r="I32" s="25"/>
    </row>
    <row r="33" spans="1:9" s="26" customFormat="1" x14ac:dyDescent="0.2">
      <c r="A33" s="28" t="s">
        <v>190</v>
      </c>
      <c r="B33" s="22"/>
      <c r="C33" s="78"/>
      <c r="D33" s="29">
        <f>ROUND(D24*tab!D9,2)</f>
        <v>1143.98</v>
      </c>
      <c r="E33" s="29">
        <f>ROUND(E24*tab!E9,2)</f>
        <v>1144.21</v>
      </c>
      <c r="F33" s="29"/>
      <c r="G33" s="29"/>
      <c r="H33" s="29"/>
      <c r="I33" s="25"/>
    </row>
    <row r="34" spans="1:9" s="26" customFormat="1" x14ac:dyDescent="0.2">
      <c r="A34" s="28" t="s">
        <v>192</v>
      </c>
      <c r="B34" s="22"/>
      <c r="C34" s="78"/>
      <c r="D34" s="29">
        <f>ROUND(tab!D9*D25,2)</f>
        <v>30.87</v>
      </c>
      <c r="E34" s="29">
        <f>ROUND(tab!E9*E25,2)</f>
        <v>30.88</v>
      </c>
      <c r="F34" s="29"/>
      <c r="G34" s="29"/>
      <c r="H34" s="29"/>
      <c r="I34" s="25"/>
    </row>
    <row r="35" spans="1:9" s="26" customFormat="1" x14ac:dyDescent="0.2">
      <c r="A35" s="28" t="s">
        <v>193</v>
      </c>
      <c r="B35" s="30"/>
      <c r="C35" s="78"/>
      <c r="D35" s="29">
        <f>ROUND(D24*tab!D10,2)</f>
        <v>1389.91</v>
      </c>
      <c r="E35" s="29">
        <f>ROUND(E24*tab!E10,2)</f>
        <v>1390.18</v>
      </c>
      <c r="F35" s="29"/>
      <c r="G35" s="29"/>
      <c r="H35" s="29"/>
      <c r="I35" s="25"/>
    </row>
    <row r="36" spans="1:9" s="26" customFormat="1" x14ac:dyDescent="0.2">
      <c r="A36" s="28" t="s">
        <v>194</v>
      </c>
      <c r="B36" s="30"/>
      <c r="C36" s="78"/>
      <c r="D36" s="29">
        <f>ROUND(tab!D10*D25,2)</f>
        <v>37.51</v>
      </c>
      <c r="E36" s="29">
        <f>ROUND(tab!E10*E25,2)</f>
        <v>37.51</v>
      </c>
      <c r="F36" s="29"/>
      <c r="G36" s="29"/>
      <c r="H36" s="29"/>
      <c r="I36" s="25"/>
    </row>
    <row r="37" spans="1:9" s="38" customFormat="1" x14ac:dyDescent="0.2">
      <c r="A37" s="35" t="s">
        <v>195</v>
      </c>
      <c r="B37" s="30"/>
      <c r="C37" s="78"/>
      <c r="D37" s="36">
        <f>ROUND(D11*D24,2)</f>
        <v>259.74</v>
      </c>
      <c r="E37" s="36">
        <f>ROUND(E11*E24,2)</f>
        <v>259.8</v>
      </c>
      <c r="F37" s="36"/>
      <c r="G37" s="36"/>
      <c r="H37" s="36"/>
      <c r="I37" s="37"/>
    </row>
    <row r="38" spans="1:9" s="38" customFormat="1" x14ac:dyDescent="0.2">
      <c r="A38" s="35" t="s">
        <v>188</v>
      </c>
      <c r="B38" s="30"/>
      <c r="C38" s="78"/>
      <c r="D38" s="36">
        <f>ROUND(D11*D25,2)</f>
        <v>7.01</v>
      </c>
      <c r="E38" s="36">
        <f>ROUND(E11*E25,2)</f>
        <v>7.01</v>
      </c>
      <c r="F38" s="36"/>
      <c r="G38" s="36"/>
      <c r="H38" s="36"/>
      <c r="I38" s="37"/>
    </row>
    <row r="39" spans="1:9" s="26" customFormat="1" x14ac:dyDescent="0.2">
      <c r="A39" s="28" t="s">
        <v>348</v>
      </c>
      <c r="B39" s="30"/>
      <c r="C39" s="78"/>
      <c r="D39" s="29">
        <f>ROUND(D24*tab!D13,2)</f>
        <v>59431.7</v>
      </c>
      <c r="E39" s="29">
        <f>ROUND(E24*tab!E13,2)</f>
        <v>59443.49</v>
      </c>
      <c r="F39" s="29"/>
      <c r="G39" s="29"/>
      <c r="H39" s="29"/>
      <c r="I39" s="25"/>
    </row>
    <row r="40" spans="1:9" s="26" customFormat="1" x14ac:dyDescent="0.2">
      <c r="A40" s="28" t="s">
        <v>349</v>
      </c>
      <c r="B40" s="30"/>
      <c r="C40" s="78"/>
      <c r="D40" s="29">
        <f>ROUND(tab!D13*D25,2)</f>
        <v>1603.77</v>
      </c>
      <c r="E40" s="29">
        <f>ROUND(tab!E13*E25,2)</f>
        <v>1604.09</v>
      </c>
      <c r="F40" s="29"/>
      <c r="G40" s="29"/>
      <c r="H40" s="29"/>
      <c r="I40" s="25"/>
    </row>
    <row r="41" spans="1:9" s="26" customFormat="1" x14ac:dyDescent="0.2">
      <c r="A41" s="28" t="s">
        <v>350</v>
      </c>
      <c r="B41" s="30"/>
      <c r="C41" s="78"/>
      <c r="D41" s="29">
        <f>ROUND(D24*tab!D14,2)</f>
        <v>411.72</v>
      </c>
      <c r="E41" s="29">
        <f>ROUND(E24*tab!E14,2)</f>
        <v>411.8</v>
      </c>
      <c r="F41" s="29"/>
      <c r="G41" s="29"/>
      <c r="H41" s="29"/>
      <c r="I41" s="25"/>
    </row>
    <row r="42" spans="1:9" s="26" customFormat="1" x14ac:dyDescent="0.2">
      <c r="A42" s="28" t="s">
        <v>351</v>
      </c>
      <c r="B42" s="22"/>
      <c r="C42" s="78"/>
      <c r="D42" s="29">
        <f>ROUND(tab!D14*D25,2)</f>
        <v>11.11</v>
      </c>
      <c r="E42" s="29">
        <f>ROUND(tab!E14*E25,2)</f>
        <v>11.11</v>
      </c>
      <c r="F42" s="29"/>
      <c r="G42" s="29"/>
      <c r="H42" s="29"/>
      <c r="I42" s="25"/>
    </row>
    <row r="43" spans="1:9" s="26" customFormat="1" x14ac:dyDescent="0.2">
      <c r="A43" s="28" t="s">
        <v>352</v>
      </c>
      <c r="B43" s="30"/>
      <c r="C43" s="78"/>
      <c r="D43" s="29">
        <f>ROUND(D24*tab!D17+D26,2)</f>
        <v>94083.54</v>
      </c>
      <c r="E43" s="29">
        <f>ROUND(E24*tab!E17+E26,2)</f>
        <v>94098.3</v>
      </c>
      <c r="F43" s="29"/>
      <c r="G43" s="29"/>
      <c r="H43" s="29"/>
      <c r="I43" s="25"/>
    </row>
    <row r="44" spans="1:9" s="26" customFormat="1" x14ac:dyDescent="0.2">
      <c r="A44" s="28" t="s">
        <v>353</v>
      </c>
      <c r="B44" s="30"/>
      <c r="C44" s="78"/>
      <c r="D44" s="29">
        <f>ROUND(D25*tab!D17,2)</f>
        <v>2007.84</v>
      </c>
      <c r="E44" s="29">
        <f>ROUND(E25*tab!E17,2)</f>
        <v>2008.24</v>
      </c>
      <c r="F44" s="29"/>
      <c r="G44" s="29"/>
      <c r="H44" s="29"/>
      <c r="I44" s="25"/>
    </row>
    <row r="45" spans="1:9" s="26" customFormat="1" x14ac:dyDescent="0.2">
      <c r="A45" s="28" t="s">
        <v>347</v>
      </c>
      <c r="B45" s="30"/>
      <c r="C45" s="78"/>
      <c r="D45" s="39">
        <v>98</v>
      </c>
      <c r="E45" s="39">
        <v>98</v>
      </c>
      <c r="F45" s="40"/>
      <c r="G45" s="40"/>
      <c r="H45" s="40"/>
      <c r="I45" s="25"/>
    </row>
    <row r="46" spans="1:9" s="26" customFormat="1" x14ac:dyDescent="0.2">
      <c r="A46" s="28" t="s">
        <v>311</v>
      </c>
      <c r="B46" s="30"/>
      <c r="C46" s="78"/>
      <c r="D46" s="41">
        <f>D26</f>
        <v>19677.86</v>
      </c>
      <c r="E46" s="29">
        <f>E26</f>
        <v>19677.86</v>
      </c>
      <c r="F46" s="29"/>
      <c r="G46" s="29"/>
      <c r="H46" s="29"/>
      <c r="I46" s="25"/>
    </row>
    <row r="47" spans="1:9" x14ac:dyDescent="0.2">
      <c r="A47" s="9"/>
      <c r="B47" s="10"/>
      <c r="C47" s="1250" t="s">
        <v>729</v>
      </c>
      <c r="D47" s="1249">
        <v>62818.33</v>
      </c>
      <c r="E47" s="1276">
        <v>62992.959999999999</v>
      </c>
      <c r="F47" s="9"/>
      <c r="G47" s="9"/>
      <c r="H47" s="9"/>
      <c r="I47" s="9"/>
    </row>
    <row r="48" spans="1:9" s="26" customFormat="1" x14ac:dyDescent="0.2">
      <c r="A48" s="28" t="s">
        <v>514</v>
      </c>
      <c r="D48" s="29">
        <f>ROUND(D47*D19,2)</f>
        <v>4108.32</v>
      </c>
      <c r="E48" s="29">
        <f>ROUND(E47*E19,2)</f>
        <v>4119.74</v>
      </c>
      <c r="F48" s="29"/>
      <c r="G48" s="29"/>
      <c r="H48" s="29"/>
      <c r="I48" s="25"/>
    </row>
    <row r="49" spans="1:24" x14ac:dyDescent="0.2">
      <c r="A49" s="9"/>
      <c r="B49" s="10"/>
      <c r="C49" s="8"/>
      <c r="D49" s="9"/>
      <c r="E49" s="9"/>
      <c r="F49" s="9"/>
      <c r="G49" s="9"/>
      <c r="H49" s="9"/>
      <c r="I49" s="9"/>
    </row>
    <row r="50" spans="1:24" x14ac:dyDescent="0.2">
      <c r="A50" s="1193" t="s">
        <v>693</v>
      </c>
      <c r="B50" s="10" t="s">
        <v>731</v>
      </c>
      <c r="C50" s="8"/>
      <c r="D50" s="9"/>
      <c r="E50" s="9"/>
      <c r="F50" s="9"/>
      <c r="G50" s="9"/>
      <c r="H50" s="9"/>
      <c r="I50" s="9"/>
    </row>
    <row r="51" spans="1:24" s="26" customFormat="1" x14ac:dyDescent="0.2">
      <c r="A51" s="1188" t="s">
        <v>694</v>
      </c>
      <c r="B51" s="34"/>
      <c r="C51" s="23"/>
      <c r="D51" s="1207">
        <v>89.85</v>
      </c>
      <c r="E51" s="1207">
        <f>D51</f>
        <v>89.85</v>
      </c>
      <c r="F51" s="25"/>
      <c r="G51" s="25"/>
      <c r="H51" s="25"/>
      <c r="I51" s="25"/>
    </row>
    <row r="52" spans="1:24" x14ac:dyDescent="0.2">
      <c r="A52" s="2" t="s">
        <v>695</v>
      </c>
      <c r="B52" s="6"/>
      <c r="C52" s="5"/>
      <c r="D52" s="1207">
        <v>1986</v>
      </c>
      <c r="E52" s="1207">
        <f>D52</f>
        <v>1986</v>
      </c>
      <c r="F52" s="5"/>
      <c r="G52" s="5"/>
      <c r="H52" s="5"/>
      <c r="I52" s="9"/>
    </row>
    <row r="53" spans="1:24" x14ac:dyDescent="0.2">
      <c r="C53" s="8"/>
      <c r="F53" s="9"/>
      <c r="G53" s="9"/>
      <c r="H53" s="9"/>
      <c r="I53" s="9"/>
    </row>
    <row r="54" spans="1:24" x14ac:dyDescent="0.2">
      <c r="C54" s="8"/>
      <c r="F54" s="9"/>
      <c r="G54" s="9"/>
      <c r="H54" s="9"/>
      <c r="I54" s="9"/>
    </row>
    <row r="55" spans="1:24" s="26" customFormat="1" x14ac:dyDescent="0.2">
      <c r="A55" s="28" t="s">
        <v>459</v>
      </c>
      <c r="B55" s="34"/>
      <c r="C55" s="23"/>
      <c r="D55" s="79">
        <v>0.62</v>
      </c>
      <c r="E55" s="79">
        <v>0.62</v>
      </c>
      <c r="F55" s="25"/>
      <c r="G55" s="25"/>
      <c r="H55" s="25"/>
      <c r="I55" s="25"/>
    </row>
    <row r="56" spans="1:24" s="26" customFormat="1" x14ac:dyDescent="0.2">
      <c r="A56" s="28" t="s">
        <v>260</v>
      </c>
      <c r="B56" s="34"/>
      <c r="C56" s="23"/>
      <c r="D56" s="42">
        <v>0.35</v>
      </c>
      <c r="E56" s="42">
        <f>tab!D56</f>
        <v>0.35</v>
      </c>
      <c r="H56" s="25"/>
      <c r="I56" s="34"/>
    </row>
    <row r="57" spans="1:24" s="26" customFormat="1" x14ac:dyDescent="0.2">
      <c r="A57" s="28" t="s">
        <v>181</v>
      </c>
      <c r="B57" s="34"/>
      <c r="C57" s="23"/>
      <c r="D57" s="42">
        <f>tab!D55-D56</f>
        <v>0.27</v>
      </c>
      <c r="E57" s="42">
        <f>tab!E55-E56</f>
        <v>0.27</v>
      </c>
      <c r="F57" s="43">
        <f>(1+$D$55-E56)/(1+$D$55)</f>
        <v>0.78395061728395055</v>
      </c>
      <c r="G57" s="25"/>
      <c r="H57" s="25"/>
      <c r="I57" s="34"/>
      <c r="J57" s="43"/>
    </row>
    <row r="58" spans="1:24" s="26" customFormat="1" x14ac:dyDescent="0.2">
      <c r="A58" s="28" t="s">
        <v>261</v>
      </c>
      <c r="B58" s="34"/>
      <c r="C58" s="23"/>
      <c r="D58" s="42">
        <v>0.25</v>
      </c>
      <c r="E58" s="42">
        <f>tab!D58</f>
        <v>0.25</v>
      </c>
      <c r="G58" s="25"/>
      <c r="H58" s="25"/>
      <c r="I58" s="25"/>
    </row>
    <row r="59" spans="1:24" s="26" customFormat="1" x14ac:dyDescent="0.2">
      <c r="A59" s="28" t="s">
        <v>181</v>
      </c>
      <c r="B59" s="34"/>
      <c r="C59" s="23"/>
      <c r="D59" s="42">
        <f>tab!D55-D58</f>
        <v>0.37</v>
      </c>
      <c r="E59" s="42">
        <f>tab!E55-E58</f>
        <v>0.37</v>
      </c>
      <c r="F59" s="43">
        <f>(1+$D$55-E58)/(1+$D$55)</f>
        <v>0.84567901234567899</v>
      </c>
      <c r="G59" s="25"/>
      <c r="H59" s="25"/>
      <c r="I59" s="25"/>
    </row>
    <row r="60" spans="1:24" x14ac:dyDescent="0.2">
      <c r="A60" s="9"/>
      <c r="B60" s="10"/>
      <c r="C60" s="9"/>
      <c r="D60" s="9"/>
      <c r="E60" s="9"/>
      <c r="F60" s="9"/>
      <c r="G60" s="16" t="s">
        <v>765</v>
      </c>
      <c r="H60" s="16">
        <v>2013</v>
      </c>
      <c r="I60" s="16">
        <v>2014</v>
      </c>
      <c r="J60" s="1252"/>
    </row>
    <row r="61" spans="1:24" x14ac:dyDescent="0.2">
      <c r="A61" s="16" t="s">
        <v>762</v>
      </c>
      <c r="B61" s="10"/>
      <c r="C61" s="9"/>
      <c r="D61" s="1270">
        <v>183.9</v>
      </c>
      <c r="E61" s="9"/>
      <c r="F61" s="9"/>
      <c r="G61" s="16" t="s">
        <v>766</v>
      </c>
      <c r="H61" s="1270">
        <f>+geg!G27*tab!D61</f>
        <v>40458</v>
      </c>
      <c r="I61" s="1270">
        <v>0</v>
      </c>
      <c r="J61" s="61" t="s">
        <v>767</v>
      </c>
    </row>
    <row r="62" spans="1:24" x14ac:dyDescent="0.2">
      <c r="A62" s="16" t="s">
        <v>763</v>
      </c>
      <c r="B62" s="10"/>
      <c r="C62" s="9"/>
      <c r="D62" s="1270">
        <v>52.85</v>
      </c>
      <c r="E62" s="9"/>
      <c r="F62" s="9"/>
      <c r="G62" s="16" t="s">
        <v>768</v>
      </c>
      <c r="H62" s="1270">
        <f>geg!G27*tab!D62*5/12</f>
        <v>4844.583333333333</v>
      </c>
      <c r="I62" s="1270">
        <f>geg!G27*tab!D62*7/12</f>
        <v>6782.416666666667</v>
      </c>
      <c r="J62" s="61" t="s">
        <v>769</v>
      </c>
    </row>
    <row r="63" spans="1:24" x14ac:dyDescent="0.2">
      <c r="A63" s="9"/>
      <c r="B63" s="10"/>
      <c r="C63" s="9"/>
      <c r="D63" s="9"/>
      <c r="E63" s="9"/>
      <c r="F63" s="9"/>
      <c r="G63" s="9"/>
      <c r="H63" s="9"/>
      <c r="I63" s="9"/>
    </row>
    <row r="64" spans="1:24" s="26" customFormat="1" x14ac:dyDescent="0.2">
      <c r="A64" s="1205" t="s">
        <v>105</v>
      </c>
      <c r="B64" s="22"/>
      <c r="C64" s="1204">
        <v>41640</v>
      </c>
      <c r="E64" s="23"/>
      <c r="F64" s="28"/>
      <c r="G64" s="28"/>
      <c r="H64" s="28"/>
      <c r="I64" s="28"/>
      <c r="J64" s="28"/>
      <c r="K64" s="28"/>
      <c r="L64" s="28"/>
      <c r="M64" s="28"/>
      <c r="N64" s="28"/>
      <c r="O64" s="28"/>
      <c r="P64" s="28"/>
      <c r="Q64" s="28"/>
      <c r="R64" s="28"/>
      <c r="S64" s="28"/>
      <c r="T64" s="28"/>
      <c r="U64" s="28"/>
      <c r="V64" s="28"/>
      <c r="W64" s="28"/>
      <c r="X64" s="28"/>
    </row>
    <row r="65" spans="1:24" s="26" customFormat="1" x14ac:dyDescent="0.2">
      <c r="A65" s="28"/>
      <c r="B65" s="30"/>
      <c r="C65" s="28"/>
      <c r="D65" s="28"/>
      <c r="E65" s="28"/>
      <c r="F65" s="28"/>
      <c r="G65" s="28"/>
      <c r="H65" s="28"/>
      <c r="I65" s="28"/>
      <c r="J65" s="28"/>
      <c r="K65" s="28"/>
      <c r="L65" s="28"/>
      <c r="M65" s="28"/>
      <c r="N65" s="28"/>
      <c r="O65" s="28"/>
      <c r="P65" s="28"/>
      <c r="Q65" s="28"/>
      <c r="R65" s="28"/>
      <c r="S65" s="28"/>
      <c r="T65" s="28"/>
      <c r="U65" s="28"/>
      <c r="V65" s="28"/>
      <c r="W65" s="28"/>
      <c r="X65" s="28"/>
    </row>
    <row r="66" spans="1:24" s="26" customFormat="1" x14ac:dyDescent="0.2">
      <c r="A66" s="28" t="s">
        <v>265</v>
      </c>
      <c r="B66" s="22"/>
      <c r="C66" s="44"/>
      <c r="D66" s="45"/>
      <c r="E66" s="23"/>
      <c r="F66" s="23"/>
      <c r="G66" s="28"/>
      <c r="H66" s="28"/>
      <c r="I66" s="23"/>
      <c r="J66" s="28"/>
      <c r="K66" s="46"/>
      <c r="L66" s="28"/>
      <c r="M66" s="28"/>
      <c r="N66" s="28"/>
      <c r="O66" s="28"/>
      <c r="P66" s="28"/>
      <c r="Q66" s="39"/>
      <c r="R66" s="39"/>
      <c r="S66" s="39"/>
      <c r="T66" s="39"/>
      <c r="U66" s="39"/>
      <c r="V66" s="39"/>
      <c r="W66" s="39"/>
      <c r="X66" s="28"/>
    </row>
    <row r="67" spans="1:24" s="26" customFormat="1" x14ac:dyDescent="0.2">
      <c r="A67" s="23" t="s">
        <v>266</v>
      </c>
      <c r="B67" s="22"/>
      <c r="C67" s="47">
        <v>1</v>
      </c>
      <c r="D67" s="47">
        <v>2</v>
      </c>
      <c r="E67" s="47">
        <v>3</v>
      </c>
      <c r="F67" s="47">
        <v>4</v>
      </c>
      <c r="G67" s="47">
        <v>5</v>
      </c>
      <c r="H67" s="47">
        <v>6</v>
      </c>
      <c r="I67" s="47">
        <v>7</v>
      </c>
      <c r="J67" s="47">
        <v>8</v>
      </c>
      <c r="K67" s="47">
        <v>9</v>
      </c>
      <c r="L67" s="47">
        <v>10</v>
      </c>
      <c r="M67" s="47">
        <v>11</v>
      </c>
      <c r="N67" s="47">
        <v>12</v>
      </c>
      <c r="O67" s="47">
        <v>13</v>
      </c>
      <c r="P67" s="47">
        <v>14</v>
      </c>
      <c r="Q67" s="47">
        <v>15</v>
      </c>
      <c r="R67" s="47">
        <v>16</v>
      </c>
      <c r="S67" s="47">
        <v>17</v>
      </c>
      <c r="T67" s="47">
        <v>18</v>
      </c>
      <c r="U67" s="47">
        <v>19</v>
      </c>
      <c r="V67" s="47">
        <v>20</v>
      </c>
      <c r="W67" s="47" t="s">
        <v>267</v>
      </c>
    </row>
    <row r="68" spans="1:24" s="26" customFormat="1" x14ac:dyDescent="0.2">
      <c r="A68" s="48" t="s">
        <v>245</v>
      </c>
      <c r="B68" s="49"/>
      <c r="C68" s="50">
        <v>2332</v>
      </c>
      <c r="D68" s="50">
        <v>2439</v>
      </c>
      <c r="E68" s="50">
        <v>2549</v>
      </c>
      <c r="F68" s="50">
        <v>2666</v>
      </c>
      <c r="G68" s="50">
        <v>2797</v>
      </c>
      <c r="H68" s="50">
        <v>2908</v>
      </c>
      <c r="I68" s="50">
        <v>3022</v>
      </c>
      <c r="J68" s="50">
        <v>3129</v>
      </c>
      <c r="K68" s="50">
        <v>3235</v>
      </c>
      <c r="L68" s="50">
        <v>3353</v>
      </c>
      <c r="M68" s="50">
        <v>3456</v>
      </c>
      <c r="N68" s="50"/>
      <c r="O68" s="50"/>
      <c r="P68" s="50"/>
      <c r="Q68" s="50"/>
      <c r="R68" s="50"/>
      <c r="S68" s="50"/>
      <c r="T68" s="50"/>
      <c r="U68" s="50"/>
      <c r="V68" s="50"/>
      <c r="W68" s="51">
        <f t="shared" ref="W68:W110" si="6">COUNTA(C68:V68)</f>
        <v>11</v>
      </c>
    </row>
    <row r="69" spans="1:24" s="26" customFormat="1" x14ac:dyDescent="0.2">
      <c r="A69" s="48" t="s">
        <v>246</v>
      </c>
      <c r="B69" s="49"/>
      <c r="C69" s="50">
        <v>2385</v>
      </c>
      <c r="D69" s="50">
        <v>2493</v>
      </c>
      <c r="E69" s="50">
        <v>2611</v>
      </c>
      <c r="F69" s="50">
        <v>2741</v>
      </c>
      <c r="G69" s="50">
        <v>2852</v>
      </c>
      <c r="H69" s="50">
        <v>2966</v>
      </c>
      <c r="I69" s="50">
        <v>3072</v>
      </c>
      <c r="J69" s="50">
        <v>3179</v>
      </c>
      <c r="K69" s="50">
        <v>3294</v>
      </c>
      <c r="L69" s="50">
        <v>3400</v>
      </c>
      <c r="M69" s="50">
        <v>3503</v>
      </c>
      <c r="N69" s="50">
        <v>3608</v>
      </c>
      <c r="O69" s="50">
        <v>3786</v>
      </c>
      <c r="P69" s="50"/>
      <c r="Q69" s="50"/>
      <c r="R69" s="50"/>
      <c r="S69" s="50"/>
      <c r="T69" s="50"/>
      <c r="U69" s="50"/>
      <c r="V69" s="50"/>
      <c r="W69" s="51">
        <f t="shared" si="6"/>
        <v>13</v>
      </c>
    </row>
    <row r="70" spans="1:24" s="26" customFormat="1" x14ac:dyDescent="0.2">
      <c r="A70" s="48" t="s">
        <v>247</v>
      </c>
      <c r="B70" s="49"/>
      <c r="C70" s="50">
        <v>2436</v>
      </c>
      <c r="D70" s="50">
        <v>2556</v>
      </c>
      <c r="E70" s="50">
        <v>2683</v>
      </c>
      <c r="F70" s="50">
        <v>2797</v>
      </c>
      <c r="G70" s="50">
        <v>2909</v>
      </c>
      <c r="H70" s="50">
        <v>3018</v>
      </c>
      <c r="I70" s="50">
        <v>3123</v>
      </c>
      <c r="J70" s="50">
        <v>3240</v>
      </c>
      <c r="K70" s="50">
        <v>3344</v>
      </c>
      <c r="L70" s="50">
        <v>3449</v>
      </c>
      <c r="M70" s="50">
        <v>3554</v>
      </c>
      <c r="N70" s="50">
        <v>3669</v>
      </c>
      <c r="O70" s="50">
        <v>3786</v>
      </c>
      <c r="P70" s="50">
        <v>3897</v>
      </c>
      <c r="Q70" s="50">
        <v>4006</v>
      </c>
      <c r="R70" s="50">
        <v>4114</v>
      </c>
      <c r="S70" s="50">
        <v>4220</v>
      </c>
      <c r="T70" s="50">
        <v>4275</v>
      </c>
      <c r="U70" s="50"/>
      <c r="V70" s="50"/>
      <c r="W70" s="51">
        <f t="shared" si="6"/>
        <v>18</v>
      </c>
    </row>
    <row r="71" spans="1:24" s="26" customFormat="1" x14ac:dyDescent="0.2">
      <c r="A71" s="48" t="s">
        <v>248</v>
      </c>
      <c r="B71" s="49"/>
      <c r="C71" s="50">
        <v>2556</v>
      </c>
      <c r="D71" s="50">
        <v>2683</v>
      </c>
      <c r="E71" s="50">
        <v>2909</v>
      </c>
      <c r="F71" s="50">
        <v>3123</v>
      </c>
      <c r="G71" s="50">
        <v>3240</v>
      </c>
      <c r="H71" s="50">
        <v>3344</v>
      </c>
      <c r="I71" s="50">
        <v>3449</v>
      </c>
      <c r="J71" s="50">
        <v>3554</v>
      </c>
      <c r="K71" s="50">
        <v>3669</v>
      </c>
      <c r="L71" s="50">
        <v>3786</v>
      </c>
      <c r="M71" s="50">
        <v>3897</v>
      </c>
      <c r="N71" s="50">
        <v>4006</v>
      </c>
      <c r="O71" s="50">
        <v>4114</v>
      </c>
      <c r="P71" s="50">
        <v>4220</v>
      </c>
      <c r="Q71" s="50">
        <v>4331</v>
      </c>
      <c r="R71" s="50">
        <v>4441</v>
      </c>
      <c r="S71" s="50">
        <v>4545</v>
      </c>
      <c r="T71" s="50">
        <v>4655</v>
      </c>
      <c r="U71" s="50">
        <v>4792</v>
      </c>
      <c r="V71" s="50">
        <v>4859</v>
      </c>
      <c r="W71" s="51">
        <f t="shared" si="6"/>
        <v>20</v>
      </c>
    </row>
    <row r="72" spans="1:24" s="26" customFormat="1" x14ac:dyDescent="0.2">
      <c r="A72" s="48" t="s">
        <v>251</v>
      </c>
      <c r="B72" s="49"/>
      <c r="C72" s="50">
        <v>2683</v>
      </c>
      <c r="D72" s="50">
        <v>2909</v>
      </c>
      <c r="E72" s="50">
        <v>3123</v>
      </c>
      <c r="F72" s="50">
        <v>3344</v>
      </c>
      <c r="G72" s="50">
        <v>3554</v>
      </c>
      <c r="H72" s="50">
        <v>2622</v>
      </c>
      <c r="I72" s="50">
        <v>3897</v>
      </c>
      <c r="J72" s="50">
        <v>4006</v>
      </c>
      <c r="K72" s="50">
        <v>4114</v>
      </c>
      <c r="L72" s="50">
        <v>4220</v>
      </c>
      <c r="M72" s="50">
        <v>4331</v>
      </c>
      <c r="N72" s="50">
        <v>4441</v>
      </c>
      <c r="O72" s="50">
        <v>4545</v>
      </c>
      <c r="P72" s="50">
        <v>4655</v>
      </c>
      <c r="Q72" s="50">
        <v>4792</v>
      </c>
      <c r="R72" s="50">
        <v>4927</v>
      </c>
      <c r="S72" s="50">
        <v>5064</v>
      </c>
      <c r="T72" s="50">
        <v>5201</v>
      </c>
      <c r="U72" s="50">
        <v>5266</v>
      </c>
      <c r="V72" s="50"/>
      <c r="W72" s="51">
        <f t="shared" si="6"/>
        <v>19</v>
      </c>
    </row>
    <row r="73" spans="1:24" s="26" customFormat="1" x14ac:dyDescent="0.2">
      <c r="A73" s="48" t="s">
        <v>239</v>
      </c>
      <c r="B73" s="49"/>
      <c r="C73" s="50">
        <v>2605</v>
      </c>
      <c r="D73" s="50">
        <v>2707</v>
      </c>
      <c r="E73" s="50">
        <v>2811</v>
      </c>
      <c r="F73" s="50">
        <v>2912</v>
      </c>
      <c r="G73" s="50">
        <v>3014</v>
      </c>
      <c r="H73" s="50">
        <v>3118</v>
      </c>
      <c r="I73" s="50">
        <v>3220</v>
      </c>
      <c r="J73" s="50">
        <v>3323</v>
      </c>
      <c r="K73" s="50">
        <v>3424</v>
      </c>
      <c r="L73" s="50">
        <v>3527</v>
      </c>
      <c r="M73" s="50">
        <v>3631</v>
      </c>
      <c r="N73" s="50">
        <v>3733</v>
      </c>
      <c r="O73" s="50">
        <v>3837</v>
      </c>
      <c r="P73" s="50"/>
      <c r="Q73" s="50"/>
      <c r="R73" s="50"/>
      <c r="S73" s="50"/>
      <c r="T73" s="50"/>
      <c r="U73" s="50"/>
      <c r="V73" s="50"/>
      <c r="W73" s="51">
        <f t="shared" si="6"/>
        <v>13</v>
      </c>
    </row>
    <row r="74" spans="1:24" s="26" customFormat="1" x14ac:dyDescent="0.2">
      <c r="A74" s="48" t="s">
        <v>240</v>
      </c>
      <c r="B74" s="49"/>
      <c r="C74" s="50">
        <v>2707</v>
      </c>
      <c r="D74" s="50">
        <v>2912</v>
      </c>
      <c r="E74" s="50">
        <v>3118</v>
      </c>
      <c r="F74" s="50">
        <v>3220</v>
      </c>
      <c r="G74" s="50">
        <v>3323</v>
      </c>
      <c r="H74" s="50">
        <v>3424</v>
      </c>
      <c r="I74" s="50">
        <v>3527</v>
      </c>
      <c r="J74" s="50">
        <v>3631</v>
      </c>
      <c r="K74" s="50">
        <v>3733</v>
      </c>
      <c r="L74" s="50">
        <v>3837</v>
      </c>
      <c r="M74" s="50">
        <v>3940</v>
      </c>
      <c r="N74" s="50">
        <v>4041</v>
      </c>
      <c r="O74" s="50">
        <v>4144</v>
      </c>
      <c r="P74" s="50">
        <v>4245</v>
      </c>
      <c r="Q74" s="50">
        <v>4350</v>
      </c>
      <c r="R74" s="50"/>
      <c r="S74" s="50"/>
      <c r="T74" s="50"/>
      <c r="U74" s="50"/>
      <c r="V74" s="50"/>
      <c r="W74" s="51">
        <f t="shared" si="6"/>
        <v>15</v>
      </c>
    </row>
    <row r="75" spans="1:24" s="26" customFormat="1" x14ac:dyDescent="0.2">
      <c r="A75" s="48" t="s">
        <v>268</v>
      </c>
      <c r="B75" s="49"/>
      <c r="C75" s="50">
        <v>2707</v>
      </c>
      <c r="D75" s="50">
        <v>2912</v>
      </c>
      <c r="E75" s="50">
        <v>3118</v>
      </c>
      <c r="F75" s="50">
        <v>3220</v>
      </c>
      <c r="G75" s="50">
        <v>3323</v>
      </c>
      <c r="H75" s="50">
        <v>3424</v>
      </c>
      <c r="I75" s="50">
        <v>3527</v>
      </c>
      <c r="J75" s="50">
        <v>3631</v>
      </c>
      <c r="K75" s="50">
        <v>3733</v>
      </c>
      <c r="L75" s="50">
        <v>3837</v>
      </c>
      <c r="M75" s="50">
        <v>3940</v>
      </c>
      <c r="N75" s="50">
        <v>4041</v>
      </c>
      <c r="O75" s="50">
        <v>4144</v>
      </c>
      <c r="P75" s="50">
        <v>4245</v>
      </c>
      <c r="Q75" s="50">
        <v>4350</v>
      </c>
      <c r="R75" s="50">
        <v>4452</v>
      </c>
      <c r="S75" s="50">
        <v>4555</v>
      </c>
      <c r="T75" s="50"/>
      <c r="U75" s="50"/>
      <c r="V75" s="50"/>
      <c r="W75" s="51">
        <f t="shared" si="6"/>
        <v>17</v>
      </c>
    </row>
    <row r="76" spans="1:24" s="26" customFormat="1" x14ac:dyDescent="0.2">
      <c r="A76" s="48" t="s">
        <v>241</v>
      </c>
      <c r="B76" s="49"/>
      <c r="C76" s="50">
        <v>2811</v>
      </c>
      <c r="D76" s="50">
        <v>3118</v>
      </c>
      <c r="E76" s="50">
        <v>3323</v>
      </c>
      <c r="F76" s="50">
        <v>3527</v>
      </c>
      <c r="G76" s="50">
        <v>3733</v>
      </c>
      <c r="H76" s="50">
        <v>3837</v>
      </c>
      <c r="I76" s="50">
        <v>3940</v>
      </c>
      <c r="J76" s="50">
        <v>4041</v>
      </c>
      <c r="K76" s="50">
        <v>4144</v>
      </c>
      <c r="L76" s="50">
        <v>4245</v>
      </c>
      <c r="M76" s="50">
        <v>4350</v>
      </c>
      <c r="N76" s="50">
        <v>4452</v>
      </c>
      <c r="O76" s="50">
        <v>4555</v>
      </c>
      <c r="P76" s="50">
        <v>4656</v>
      </c>
      <c r="Q76" s="50">
        <v>4759</v>
      </c>
      <c r="R76" s="50">
        <v>4863</v>
      </c>
      <c r="S76" s="50"/>
      <c r="T76" s="50"/>
      <c r="U76" s="50"/>
      <c r="V76" s="50"/>
      <c r="W76" s="51">
        <f t="shared" si="6"/>
        <v>16</v>
      </c>
    </row>
    <row r="77" spans="1:24" s="26" customFormat="1" x14ac:dyDescent="0.2">
      <c r="A77" s="48" t="s">
        <v>269</v>
      </c>
      <c r="B77" s="49"/>
      <c r="C77" s="50">
        <v>2811</v>
      </c>
      <c r="D77" s="50">
        <v>3118</v>
      </c>
      <c r="E77" s="50">
        <v>3323</v>
      </c>
      <c r="F77" s="50">
        <v>3527</v>
      </c>
      <c r="G77" s="50">
        <v>3733</v>
      </c>
      <c r="H77" s="50">
        <v>3837</v>
      </c>
      <c r="I77" s="50">
        <v>3940</v>
      </c>
      <c r="J77" s="50">
        <v>4041</v>
      </c>
      <c r="K77" s="50">
        <v>4144</v>
      </c>
      <c r="L77" s="50">
        <v>4245</v>
      </c>
      <c r="M77" s="50">
        <v>4350</v>
      </c>
      <c r="N77" s="50">
        <v>4452</v>
      </c>
      <c r="O77" s="50">
        <v>4555</v>
      </c>
      <c r="P77" s="50">
        <v>4656</v>
      </c>
      <c r="Q77" s="50">
        <v>4759</v>
      </c>
      <c r="R77" s="50">
        <v>4863</v>
      </c>
      <c r="S77" s="50">
        <v>4965</v>
      </c>
      <c r="T77" s="50">
        <v>5067</v>
      </c>
      <c r="U77" s="50"/>
      <c r="V77" s="50"/>
      <c r="W77" s="51">
        <f t="shared" si="6"/>
        <v>18</v>
      </c>
    </row>
    <row r="78" spans="1:24" s="26" customFormat="1" x14ac:dyDescent="0.2">
      <c r="A78" s="48" t="s">
        <v>249</v>
      </c>
      <c r="B78" s="49"/>
      <c r="C78" s="50">
        <v>2854</v>
      </c>
      <c r="D78" s="50">
        <v>3067</v>
      </c>
      <c r="E78" s="50">
        <v>3285</v>
      </c>
      <c r="F78" s="50">
        <v>3494</v>
      </c>
      <c r="G78" s="50">
        <v>3725</v>
      </c>
      <c r="H78" s="50">
        <v>3837</v>
      </c>
      <c r="I78" s="50">
        <v>3944</v>
      </c>
      <c r="J78" s="50">
        <v>4053</v>
      </c>
      <c r="K78" s="50">
        <v>4157</v>
      </c>
      <c r="L78" s="50">
        <v>4269</v>
      </c>
      <c r="M78" s="50">
        <v>4377</v>
      </c>
      <c r="N78" s="50">
        <v>4482</v>
      </c>
      <c r="O78" s="50">
        <v>4590</v>
      </c>
      <c r="P78" s="50">
        <v>4726</v>
      </c>
      <c r="Q78" s="50">
        <v>4862</v>
      </c>
      <c r="R78" s="50">
        <v>4997</v>
      </c>
      <c r="S78" s="50">
        <v>5133</v>
      </c>
      <c r="T78" s="50">
        <v>5198</v>
      </c>
      <c r="U78" s="50"/>
      <c r="V78" s="50"/>
      <c r="W78" s="51">
        <f t="shared" si="6"/>
        <v>18</v>
      </c>
    </row>
    <row r="79" spans="1:24" s="26" customFormat="1" x14ac:dyDescent="0.2">
      <c r="A79" s="48" t="s">
        <v>250</v>
      </c>
      <c r="B79" s="49"/>
      <c r="C79" s="50">
        <v>2961</v>
      </c>
      <c r="D79" s="50">
        <v>3182</v>
      </c>
      <c r="E79" s="50">
        <v>3390</v>
      </c>
      <c r="F79" s="50">
        <v>3609</v>
      </c>
      <c r="G79" s="50">
        <v>3837</v>
      </c>
      <c r="H79" s="50">
        <v>4053</v>
      </c>
      <c r="I79" s="50">
        <v>4269</v>
      </c>
      <c r="J79" s="50">
        <v>4377</v>
      </c>
      <c r="K79" s="50">
        <v>4482</v>
      </c>
      <c r="L79" s="50">
        <v>4590</v>
      </c>
      <c r="M79" s="50">
        <v>4726</v>
      </c>
      <c r="N79" s="50">
        <v>4862</v>
      </c>
      <c r="O79" s="50">
        <v>4997</v>
      </c>
      <c r="P79" s="50">
        <v>5133</v>
      </c>
      <c r="Q79" s="50">
        <v>5270</v>
      </c>
      <c r="R79" s="50">
        <v>5414</v>
      </c>
      <c r="S79" s="50">
        <v>5561</v>
      </c>
      <c r="T79" s="50">
        <v>5713</v>
      </c>
      <c r="U79" s="50"/>
      <c r="V79" s="50"/>
      <c r="W79" s="51">
        <f t="shared" si="6"/>
        <v>18</v>
      </c>
    </row>
    <row r="80" spans="1:24" s="26" customFormat="1" x14ac:dyDescent="0.2">
      <c r="A80" s="28" t="s">
        <v>272</v>
      </c>
      <c r="B80" s="30"/>
      <c r="C80" s="52">
        <f>+C95</f>
        <v>1485.65</v>
      </c>
      <c r="D80" s="52">
        <f t="shared" ref="D80:I80" si="7">+D95</f>
        <v>1485.65</v>
      </c>
      <c r="E80" s="52">
        <f t="shared" si="7"/>
        <v>1538</v>
      </c>
      <c r="F80" s="52">
        <f t="shared" si="7"/>
        <v>1566</v>
      </c>
      <c r="G80" s="52">
        <f t="shared" si="7"/>
        <v>1598</v>
      </c>
      <c r="H80" s="52">
        <f t="shared" si="7"/>
        <v>1631</v>
      </c>
      <c r="I80" s="52">
        <f t="shared" si="7"/>
        <v>1674</v>
      </c>
      <c r="J80" s="50"/>
      <c r="K80" s="50"/>
      <c r="L80" s="50"/>
      <c r="M80" s="50"/>
      <c r="N80" s="50"/>
      <c r="O80" s="50"/>
      <c r="P80" s="50"/>
      <c r="Q80" s="50"/>
      <c r="R80" s="50"/>
      <c r="S80" s="50"/>
      <c r="T80" s="50"/>
      <c r="U80" s="50"/>
      <c r="V80" s="50"/>
      <c r="W80" s="51">
        <f t="shared" si="6"/>
        <v>7</v>
      </c>
    </row>
    <row r="81" spans="1:23" s="26" customFormat="1" x14ac:dyDescent="0.2">
      <c r="A81" s="28" t="s">
        <v>286</v>
      </c>
      <c r="B81" s="30"/>
      <c r="C81" s="52">
        <f>+C96</f>
        <v>1485.65</v>
      </c>
      <c r="D81" s="52">
        <f t="shared" ref="D81:J81" si="8">+D96</f>
        <v>1508</v>
      </c>
      <c r="E81" s="52">
        <f t="shared" si="8"/>
        <v>1566</v>
      </c>
      <c r="F81" s="52">
        <f t="shared" si="8"/>
        <v>1631</v>
      </c>
      <c r="G81" s="52">
        <f t="shared" si="8"/>
        <v>1674</v>
      </c>
      <c r="H81" s="52">
        <f t="shared" si="8"/>
        <v>1723</v>
      </c>
      <c r="I81" s="52">
        <f t="shared" si="8"/>
        <v>1783</v>
      </c>
      <c r="J81" s="52">
        <f t="shared" si="8"/>
        <v>1840</v>
      </c>
      <c r="K81" s="50"/>
      <c r="L81" s="50"/>
      <c r="M81" s="50"/>
      <c r="N81" s="50"/>
      <c r="O81" s="50"/>
      <c r="P81" s="50"/>
      <c r="Q81" s="50"/>
      <c r="R81" s="50"/>
      <c r="S81" s="50"/>
      <c r="T81" s="50"/>
      <c r="U81" s="50"/>
      <c r="V81" s="50"/>
      <c r="W81" s="51">
        <f t="shared" si="6"/>
        <v>8</v>
      </c>
    </row>
    <row r="82" spans="1:23" s="26" customFormat="1" x14ac:dyDescent="0.2">
      <c r="A82" s="28" t="s">
        <v>273</v>
      </c>
      <c r="B82" s="30"/>
      <c r="C82" s="52">
        <f>+C97</f>
        <v>1485.65</v>
      </c>
      <c r="D82" s="52">
        <f t="shared" ref="D82:I82" si="9">+D97</f>
        <v>1566</v>
      </c>
      <c r="E82" s="52">
        <f t="shared" si="9"/>
        <v>1631</v>
      </c>
      <c r="F82" s="52">
        <f t="shared" si="9"/>
        <v>1723</v>
      </c>
      <c r="G82" s="52">
        <f t="shared" si="9"/>
        <v>1783</v>
      </c>
      <c r="H82" s="52">
        <f t="shared" si="9"/>
        <v>1840</v>
      </c>
      <c r="I82" s="52">
        <f t="shared" si="9"/>
        <v>1896</v>
      </c>
      <c r="J82" s="50"/>
      <c r="K82" s="50"/>
      <c r="L82" s="50"/>
      <c r="M82" s="50"/>
      <c r="N82" s="50"/>
      <c r="O82" s="50"/>
      <c r="P82" s="50"/>
      <c r="Q82" s="50"/>
      <c r="R82" s="50"/>
      <c r="S82" s="50"/>
      <c r="T82" s="50"/>
      <c r="U82" s="50"/>
      <c r="V82" s="50"/>
      <c r="W82" s="51">
        <f t="shared" si="6"/>
        <v>7</v>
      </c>
    </row>
    <row r="83" spans="1:23" s="26" customFormat="1" x14ac:dyDescent="0.2">
      <c r="A83" s="48" t="s">
        <v>242</v>
      </c>
      <c r="B83" s="49"/>
      <c r="C83" s="50">
        <v>2290</v>
      </c>
      <c r="D83" s="50">
        <v>2336</v>
      </c>
      <c r="E83" s="50">
        <v>2387</v>
      </c>
      <c r="F83" s="50">
        <v>2438</v>
      </c>
      <c r="G83" s="50">
        <v>2489</v>
      </c>
      <c r="H83" s="50">
        <v>2548</v>
      </c>
      <c r="I83" s="50">
        <v>2610</v>
      </c>
      <c r="J83" s="50">
        <v>2677</v>
      </c>
      <c r="K83" s="50">
        <v>2752</v>
      </c>
      <c r="L83" s="50">
        <v>2829</v>
      </c>
      <c r="M83" s="50">
        <v>2914</v>
      </c>
      <c r="N83" s="50">
        <v>3003</v>
      </c>
      <c r="O83" s="50">
        <v>3099</v>
      </c>
      <c r="P83" s="50">
        <v>3198</v>
      </c>
      <c r="Q83" s="50">
        <v>3274</v>
      </c>
      <c r="R83" s="50"/>
      <c r="S83" s="50"/>
      <c r="T83" s="50"/>
      <c r="U83" s="50"/>
      <c r="V83" s="50"/>
      <c r="W83" s="51">
        <f t="shared" si="6"/>
        <v>15</v>
      </c>
    </row>
    <row r="84" spans="1:23" s="26" customFormat="1" x14ac:dyDescent="0.2">
      <c r="A84" s="48" t="s">
        <v>243</v>
      </c>
      <c r="B84" s="49"/>
      <c r="C84" s="50">
        <v>2374</v>
      </c>
      <c r="D84" s="50">
        <v>2431</v>
      </c>
      <c r="E84" s="50">
        <v>2496</v>
      </c>
      <c r="F84" s="50">
        <v>2559</v>
      </c>
      <c r="G84" s="50">
        <v>2622</v>
      </c>
      <c r="H84" s="50">
        <v>2694</v>
      </c>
      <c r="I84" s="50">
        <v>2771</v>
      </c>
      <c r="J84" s="50">
        <v>2855</v>
      </c>
      <c r="K84" s="50">
        <v>2953</v>
      </c>
      <c r="L84" s="50">
        <v>3052</v>
      </c>
      <c r="M84" s="50">
        <v>3159</v>
      </c>
      <c r="N84" s="50">
        <v>3269</v>
      </c>
      <c r="O84" s="50">
        <v>3384</v>
      </c>
      <c r="P84" s="50">
        <v>3504</v>
      </c>
      <c r="Q84" s="50">
        <v>3597</v>
      </c>
      <c r="R84" s="50"/>
      <c r="S84" s="50"/>
      <c r="T84" s="50"/>
      <c r="U84" s="50"/>
      <c r="V84" s="50"/>
      <c r="W84" s="51">
        <f t="shared" si="6"/>
        <v>15</v>
      </c>
    </row>
    <row r="85" spans="1:23" s="26" customFormat="1" x14ac:dyDescent="0.2">
      <c r="A85" s="48" t="s">
        <v>244</v>
      </c>
      <c r="B85" s="49"/>
      <c r="C85" s="50">
        <v>2387</v>
      </c>
      <c r="D85" s="50">
        <v>2503</v>
      </c>
      <c r="E85" s="50">
        <v>2621</v>
      </c>
      <c r="F85" s="50">
        <v>2741</v>
      </c>
      <c r="G85" s="50">
        <v>2859</v>
      </c>
      <c r="H85" s="50">
        <v>2981</v>
      </c>
      <c r="I85" s="50">
        <v>3106</v>
      </c>
      <c r="J85" s="50">
        <v>3234</v>
      </c>
      <c r="K85" s="50">
        <v>3368</v>
      </c>
      <c r="L85" s="50">
        <v>3505</v>
      </c>
      <c r="M85" s="50">
        <v>3642</v>
      </c>
      <c r="N85" s="50">
        <v>3786</v>
      </c>
      <c r="O85" s="50">
        <v>3933</v>
      </c>
      <c r="P85" s="50">
        <v>4082</v>
      </c>
      <c r="Q85" s="50">
        <v>4197</v>
      </c>
      <c r="R85" s="50"/>
      <c r="S85" s="50"/>
      <c r="T85" s="50"/>
      <c r="U85" s="50"/>
      <c r="V85" s="50"/>
      <c r="W85" s="51">
        <f t="shared" si="6"/>
        <v>15</v>
      </c>
    </row>
    <row r="86" spans="1:23" s="26" customFormat="1" x14ac:dyDescent="0.2">
      <c r="A86" s="48" t="s">
        <v>252</v>
      </c>
      <c r="B86" s="49"/>
      <c r="C86" s="50">
        <v>2396</v>
      </c>
      <c r="D86" s="50">
        <v>2540</v>
      </c>
      <c r="E86" s="50">
        <v>2688</v>
      </c>
      <c r="F86" s="50">
        <v>2838</v>
      </c>
      <c r="G86" s="50">
        <v>2988</v>
      </c>
      <c r="H86" s="50">
        <v>3145</v>
      </c>
      <c r="I86" s="50">
        <v>3308</v>
      </c>
      <c r="J86" s="50">
        <v>3473</v>
      </c>
      <c r="K86" s="50">
        <v>3647</v>
      </c>
      <c r="L86" s="50">
        <v>3828</v>
      </c>
      <c r="M86" s="50">
        <v>4014</v>
      </c>
      <c r="N86" s="50">
        <v>4206</v>
      </c>
      <c r="O86" s="50">
        <v>4405</v>
      </c>
      <c r="P86" s="50">
        <v>4609</v>
      </c>
      <c r="Q86" s="50">
        <v>4775</v>
      </c>
      <c r="R86" s="50"/>
      <c r="S86" s="50"/>
      <c r="T86" s="50"/>
      <c r="U86" s="50"/>
      <c r="V86" s="50"/>
      <c r="W86" s="51">
        <f t="shared" si="6"/>
        <v>15</v>
      </c>
    </row>
    <row r="87" spans="1:23" s="26" customFormat="1" x14ac:dyDescent="0.2">
      <c r="A87" s="48" t="s">
        <v>253</v>
      </c>
      <c r="B87" s="49"/>
      <c r="C87" s="50">
        <v>3083</v>
      </c>
      <c r="D87" s="50">
        <v>3200</v>
      </c>
      <c r="E87" s="50">
        <v>3304</v>
      </c>
      <c r="F87" s="50">
        <v>3514</v>
      </c>
      <c r="G87" s="50">
        <v>3746</v>
      </c>
      <c r="H87" s="50">
        <v>3892</v>
      </c>
      <c r="I87" s="50">
        <v>4040</v>
      </c>
      <c r="J87" s="50">
        <v>4188</v>
      </c>
      <c r="K87" s="50">
        <v>4336</v>
      </c>
      <c r="L87" s="50">
        <v>4483</v>
      </c>
      <c r="M87" s="50">
        <v>4632</v>
      </c>
      <c r="N87" s="50">
        <v>4781</v>
      </c>
      <c r="O87" s="50">
        <v>4930</v>
      </c>
      <c r="P87" s="50">
        <v>5077</v>
      </c>
      <c r="Q87" s="50">
        <v>5178</v>
      </c>
      <c r="R87" s="50"/>
      <c r="S87" s="50"/>
      <c r="T87" s="50"/>
      <c r="U87" s="50"/>
      <c r="V87" s="50"/>
      <c r="W87" s="51">
        <f t="shared" si="6"/>
        <v>15</v>
      </c>
    </row>
    <row r="88" spans="1:23" s="26" customFormat="1" x14ac:dyDescent="0.2">
      <c r="A88" s="28" t="s">
        <v>270</v>
      </c>
      <c r="B88" s="30"/>
      <c r="C88" s="52">
        <f>+C83/2</f>
        <v>1145</v>
      </c>
      <c r="D88" s="53"/>
      <c r="E88" s="53"/>
      <c r="F88" s="53"/>
      <c r="G88" s="53"/>
      <c r="H88" s="53"/>
      <c r="I88" s="53"/>
      <c r="J88" s="53"/>
      <c r="K88" s="53"/>
      <c r="L88" s="53"/>
      <c r="M88" s="53"/>
      <c r="N88" s="53"/>
      <c r="O88" s="53"/>
      <c r="P88" s="53"/>
      <c r="Q88" s="53"/>
      <c r="R88" s="50"/>
      <c r="S88" s="53"/>
      <c r="T88" s="53"/>
      <c r="U88" s="53"/>
      <c r="V88" s="53"/>
      <c r="W88" s="51">
        <f t="shared" si="6"/>
        <v>1</v>
      </c>
    </row>
    <row r="89" spans="1:23" s="26" customFormat="1" x14ac:dyDescent="0.2">
      <c r="A89" s="28" t="s">
        <v>271</v>
      </c>
      <c r="B89" s="30"/>
      <c r="C89" s="52">
        <f>+C84/2</f>
        <v>1187</v>
      </c>
      <c r="D89" s="53"/>
      <c r="E89" s="53"/>
      <c r="F89" s="53"/>
      <c r="G89" s="53"/>
      <c r="H89" s="53"/>
      <c r="I89" s="53"/>
      <c r="J89" s="53"/>
      <c r="K89" s="53"/>
      <c r="L89" s="53"/>
      <c r="M89" s="53"/>
      <c r="N89" s="53"/>
      <c r="O89" s="53"/>
      <c r="P89" s="53"/>
      <c r="Q89" s="53"/>
      <c r="R89" s="50"/>
      <c r="S89" s="53"/>
      <c r="T89" s="53"/>
      <c r="U89" s="53"/>
      <c r="V89" s="53"/>
      <c r="W89" s="51">
        <f t="shared" si="6"/>
        <v>1</v>
      </c>
    </row>
    <row r="90" spans="1:23" s="26" customFormat="1" x14ac:dyDescent="0.2">
      <c r="A90" s="25" t="s">
        <v>517</v>
      </c>
      <c r="B90" s="22"/>
      <c r="C90" s="50">
        <v>2605</v>
      </c>
      <c r="D90" s="50">
        <v>2707</v>
      </c>
      <c r="E90" s="50">
        <v>2811</v>
      </c>
      <c r="F90" s="50">
        <v>2912</v>
      </c>
      <c r="G90" s="50">
        <v>3014</v>
      </c>
      <c r="H90" s="50">
        <v>3118</v>
      </c>
      <c r="I90" s="50">
        <v>3220</v>
      </c>
      <c r="J90" s="50">
        <v>3323</v>
      </c>
      <c r="K90" s="50">
        <v>3424</v>
      </c>
      <c r="L90" s="50">
        <v>3527</v>
      </c>
      <c r="M90" s="50">
        <v>3631</v>
      </c>
      <c r="N90" s="50"/>
      <c r="O90" s="50"/>
      <c r="P90" s="50"/>
      <c r="Q90" s="50"/>
      <c r="R90" s="50"/>
      <c r="S90" s="50"/>
      <c r="T90" s="50"/>
      <c r="U90" s="50"/>
      <c r="V90" s="50"/>
      <c r="W90" s="51">
        <f t="shared" si="6"/>
        <v>11</v>
      </c>
    </row>
    <row r="91" spans="1:23" s="26" customFormat="1" x14ac:dyDescent="0.2">
      <c r="A91" s="25" t="s">
        <v>509</v>
      </c>
      <c r="B91" s="22"/>
      <c r="C91" s="50">
        <v>2707</v>
      </c>
      <c r="D91" s="50">
        <v>2912</v>
      </c>
      <c r="E91" s="50">
        <v>3118</v>
      </c>
      <c r="F91" s="50">
        <v>3220</v>
      </c>
      <c r="G91" s="50">
        <v>3323</v>
      </c>
      <c r="H91" s="50">
        <v>3424</v>
      </c>
      <c r="I91" s="50">
        <v>3527</v>
      </c>
      <c r="J91" s="50">
        <v>3631</v>
      </c>
      <c r="K91" s="50">
        <v>3733</v>
      </c>
      <c r="L91" s="50">
        <v>3837</v>
      </c>
      <c r="M91" s="50"/>
      <c r="N91" s="50"/>
      <c r="O91" s="50"/>
      <c r="P91" s="50"/>
      <c r="Q91" s="50"/>
      <c r="R91" s="50"/>
      <c r="S91" s="50"/>
      <c r="T91" s="50"/>
      <c r="U91" s="50"/>
      <c r="V91" s="50"/>
      <c r="W91" s="51">
        <f t="shared" si="6"/>
        <v>10</v>
      </c>
    </row>
    <row r="92" spans="1:23" s="26" customFormat="1" x14ac:dyDescent="0.2">
      <c r="A92" s="25" t="s">
        <v>510</v>
      </c>
      <c r="B92" s="22"/>
      <c r="C92" s="50">
        <v>2707</v>
      </c>
      <c r="D92" s="50">
        <v>2912</v>
      </c>
      <c r="E92" s="50">
        <v>3118</v>
      </c>
      <c r="F92" s="50">
        <v>3220</v>
      </c>
      <c r="G92" s="50">
        <v>3323</v>
      </c>
      <c r="H92" s="50">
        <v>3424</v>
      </c>
      <c r="I92" s="50">
        <v>3527</v>
      </c>
      <c r="J92" s="50">
        <v>3631</v>
      </c>
      <c r="K92" s="50">
        <v>3733</v>
      </c>
      <c r="L92" s="50">
        <v>3837</v>
      </c>
      <c r="M92" s="50">
        <v>3940</v>
      </c>
      <c r="N92" s="50"/>
      <c r="O92" s="50"/>
      <c r="P92" s="50"/>
      <c r="Q92" s="50"/>
      <c r="R92" s="50"/>
      <c r="S92" s="50"/>
      <c r="T92" s="50"/>
      <c r="U92" s="50"/>
      <c r="V92" s="50"/>
      <c r="W92" s="51">
        <f t="shared" si="6"/>
        <v>11</v>
      </c>
    </row>
    <row r="93" spans="1:23" s="26" customFormat="1" x14ac:dyDescent="0.2">
      <c r="A93" s="25" t="s">
        <v>512</v>
      </c>
      <c r="B93" s="22"/>
      <c r="C93" s="50">
        <v>2811</v>
      </c>
      <c r="D93" s="50">
        <v>3118</v>
      </c>
      <c r="E93" s="50">
        <v>3323</v>
      </c>
      <c r="F93" s="50">
        <v>3527</v>
      </c>
      <c r="G93" s="50">
        <v>3733</v>
      </c>
      <c r="H93" s="50">
        <v>3837</v>
      </c>
      <c r="I93" s="50">
        <v>3940</v>
      </c>
      <c r="J93" s="50">
        <v>4041</v>
      </c>
      <c r="K93" s="50">
        <v>4144</v>
      </c>
      <c r="L93" s="50">
        <v>4245</v>
      </c>
      <c r="M93" s="50">
        <v>4350</v>
      </c>
      <c r="N93" s="50">
        <v>4452</v>
      </c>
      <c r="O93" s="50">
        <v>4555</v>
      </c>
      <c r="P93" s="50"/>
      <c r="Q93" s="50"/>
      <c r="R93" s="50"/>
      <c r="S93" s="50"/>
      <c r="T93" s="50"/>
      <c r="U93" s="50"/>
      <c r="V93" s="50"/>
      <c r="W93" s="51">
        <f t="shared" si="6"/>
        <v>13</v>
      </c>
    </row>
    <row r="94" spans="1:23" s="26" customFormat="1" x14ac:dyDescent="0.2">
      <c r="A94" s="25" t="s">
        <v>511</v>
      </c>
      <c r="B94" s="22"/>
      <c r="C94" s="50">
        <v>2811</v>
      </c>
      <c r="D94" s="50">
        <v>3118</v>
      </c>
      <c r="E94" s="50">
        <v>3323</v>
      </c>
      <c r="F94" s="50">
        <v>3527</v>
      </c>
      <c r="G94" s="50">
        <v>3733</v>
      </c>
      <c r="H94" s="50">
        <v>3837</v>
      </c>
      <c r="I94" s="50">
        <v>3940</v>
      </c>
      <c r="J94" s="50">
        <v>4041</v>
      </c>
      <c r="K94" s="50">
        <v>4144</v>
      </c>
      <c r="L94" s="50">
        <v>4245</v>
      </c>
      <c r="M94" s="50">
        <v>4350</v>
      </c>
      <c r="N94" s="50">
        <v>4452</v>
      </c>
      <c r="O94" s="50">
        <v>4555</v>
      </c>
      <c r="P94" s="50">
        <v>4656</v>
      </c>
      <c r="Q94" s="50">
        <v>4759</v>
      </c>
      <c r="R94" s="50"/>
      <c r="S94" s="50"/>
      <c r="T94" s="50"/>
      <c r="U94" s="50"/>
      <c r="V94" s="50"/>
      <c r="W94" s="51">
        <f t="shared" si="6"/>
        <v>15</v>
      </c>
    </row>
    <row r="95" spans="1:23" s="26" customFormat="1" x14ac:dyDescent="0.2">
      <c r="A95" s="28">
        <v>1</v>
      </c>
      <c r="B95" s="30"/>
      <c r="C95" s="50">
        <v>1485.65</v>
      </c>
      <c r="D95" s="50">
        <f>+C95</f>
        <v>1485.65</v>
      </c>
      <c r="E95" s="50">
        <v>1538</v>
      </c>
      <c r="F95" s="50">
        <v>1566</v>
      </c>
      <c r="G95" s="50">
        <v>1598</v>
      </c>
      <c r="H95" s="50">
        <v>1631</v>
      </c>
      <c r="I95" s="50">
        <v>1674</v>
      </c>
      <c r="J95" s="50"/>
      <c r="K95" s="50"/>
      <c r="L95" s="50"/>
      <c r="M95" s="50"/>
      <c r="N95" s="50"/>
      <c r="O95" s="50"/>
      <c r="P95" s="50"/>
      <c r="Q95" s="50"/>
      <c r="R95" s="50"/>
      <c r="S95" s="50"/>
      <c r="T95" s="50"/>
      <c r="U95" s="50"/>
      <c r="V95" s="50"/>
      <c r="W95" s="51">
        <f t="shared" si="6"/>
        <v>7</v>
      </c>
    </row>
    <row r="96" spans="1:23" s="26" customFormat="1" x14ac:dyDescent="0.2">
      <c r="A96" s="28">
        <v>2</v>
      </c>
      <c r="B96" s="30"/>
      <c r="C96" s="50">
        <v>1485.65</v>
      </c>
      <c r="D96" s="50">
        <v>1508</v>
      </c>
      <c r="E96" s="50">
        <v>1566</v>
      </c>
      <c r="F96" s="50">
        <v>1631</v>
      </c>
      <c r="G96" s="50">
        <v>1674</v>
      </c>
      <c r="H96" s="50">
        <v>1723</v>
      </c>
      <c r="I96" s="50">
        <v>1783</v>
      </c>
      <c r="J96" s="50">
        <v>1840</v>
      </c>
      <c r="K96" s="50"/>
      <c r="L96" s="50"/>
      <c r="M96" s="50"/>
      <c r="N96" s="50"/>
      <c r="O96" s="50"/>
      <c r="P96" s="50"/>
      <c r="Q96" s="50"/>
      <c r="R96" s="50"/>
      <c r="S96" s="50"/>
      <c r="T96" s="50"/>
      <c r="U96" s="50"/>
      <c r="V96" s="50"/>
      <c r="W96" s="51">
        <f t="shared" si="6"/>
        <v>8</v>
      </c>
    </row>
    <row r="97" spans="1:23" s="26" customFormat="1" x14ac:dyDescent="0.2">
      <c r="A97" s="28">
        <v>3</v>
      </c>
      <c r="B97" s="30"/>
      <c r="C97" s="50">
        <v>1485.65</v>
      </c>
      <c r="D97" s="50">
        <v>1566</v>
      </c>
      <c r="E97" s="50">
        <v>1631</v>
      </c>
      <c r="F97" s="50">
        <v>1723</v>
      </c>
      <c r="G97" s="50">
        <v>1783</v>
      </c>
      <c r="H97" s="50">
        <v>1840</v>
      </c>
      <c r="I97" s="50">
        <v>1896</v>
      </c>
      <c r="J97" s="50">
        <v>1950</v>
      </c>
      <c r="K97" s="50">
        <v>2004</v>
      </c>
      <c r="L97" s="50"/>
      <c r="M97" s="50"/>
      <c r="N97" s="50"/>
      <c r="O97" s="50"/>
      <c r="P97" s="50"/>
      <c r="Q97" s="50"/>
      <c r="R97" s="50"/>
      <c r="S97" s="50"/>
      <c r="T97" s="50"/>
      <c r="U97" s="50"/>
      <c r="V97" s="50"/>
      <c r="W97" s="51">
        <f t="shared" si="6"/>
        <v>9</v>
      </c>
    </row>
    <row r="98" spans="1:23" s="26" customFormat="1" x14ac:dyDescent="0.2">
      <c r="A98" s="28">
        <v>4</v>
      </c>
      <c r="B98" s="30"/>
      <c r="C98" s="50">
        <v>1485.65</v>
      </c>
      <c r="D98" s="50">
        <v>1538</v>
      </c>
      <c r="E98" s="50">
        <v>1598</v>
      </c>
      <c r="F98" s="50">
        <v>1674</v>
      </c>
      <c r="G98" s="50">
        <v>1783</v>
      </c>
      <c r="H98" s="50">
        <v>1840</v>
      </c>
      <c r="I98" s="50">
        <v>1896</v>
      </c>
      <c r="J98" s="50">
        <v>1950</v>
      </c>
      <c r="K98" s="50">
        <v>2004</v>
      </c>
      <c r="L98" s="50">
        <v>2056</v>
      </c>
      <c r="M98" s="50">
        <v>2108</v>
      </c>
      <c r="N98" s="50"/>
      <c r="O98" s="50"/>
      <c r="P98" s="50"/>
      <c r="Q98" s="50"/>
      <c r="R98" s="50"/>
      <c r="S98" s="50"/>
      <c r="T98" s="50"/>
      <c r="U98" s="50"/>
      <c r="V98" s="50"/>
      <c r="W98" s="51">
        <f t="shared" si="6"/>
        <v>11</v>
      </c>
    </row>
    <row r="99" spans="1:23" s="26" customFormat="1" x14ac:dyDescent="0.2">
      <c r="A99" s="28">
        <v>5</v>
      </c>
      <c r="B99" s="30"/>
      <c r="C99" s="50">
        <v>1508</v>
      </c>
      <c r="D99" s="50">
        <v>1538</v>
      </c>
      <c r="E99" s="50">
        <v>1631</v>
      </c>
      <c r="F99" s="50">
        <v>1723</v>
      </c>
      <c r="G99" s="50">
        <v>1840</v>
      </c>
      <c r="H99" s="50">
        <v>1896</v>
      </c>
      <c r="I99" s="50">
        <v>1950</v>
      </c>
      <c r="J99" s="50">
        <v>2004</v>
      </c>
      <c r="K99" s="50">
        <v>2056</v>
      </c>
      <c r="L99" s="50">
        <v>2108</v>
      </c>
      <c r="M99" s="50">
        <v>2158</v>
      </c>
      <c r="N99" s="50">
        <v>2216</v>
      </c>
      <c r="O99" s="50"/>
      <c r="P99" s="50"/>
      <c r="Q99" s="50"/>
      <c r="R99" s="50"/>
      <c r="S99" s="50"/>
      <c r="T99" s="50"/>
      <c r="U99" s="50"/>
      <c r="V99" s="50"/>
      <c r="W99" s="51">
        <f t="shared" si="6"/>
        <v>12</v>
      </c>
    </row>
    <row r="100" spans="1:23" s="26" customFormat="1" x14ac:dyDescent="0.2">
      <c r="A100" s="28">
        <v>6</v>
      </c>
      <c r="B100" s="30"/>
      <c r="C100" s="50">
        <v>1566</v>
      </c>
      <c r="D100" s="50">
        <v>1631</v>
      </c>
      <c r="E100" s="50">
        <v>1840</v>
      </c>
      <c r="F100" s="50">
        <v>1950</v>
      </c>
      <c r="G100" s="50">
        <v>2004</v>
      </c>
      <c r="H100" s="50">
        <v>2056</v>
      </c>
      <c r="I100" s="50">
        <v>2108</v>
      </c>
      <c r="J100" s="50">
        <v>2158</v>
      </c>
      <c r="K100" s="50">
        <v>2216</v>
      </c>
      <c r="L100" s="50">
        <v>2270</v>
      </c>
      <c r="M100" s="50">
        <v>2322</v>
      </c>
      <c r="N100" s="50"/>
      <c r="O100" s="50"/>
      <c r="P100" s="50"/>
      <c r="Q100" s="50"/>
      <c r="R100" s="50"/>
      <c r="S100" s="50"/>
      <c r="T100" s="50"/>
      <c r="U100" s="50"/>
      <c r="V100" s="50"/>
      <c r="W100" s="51">
        <f t="shared" si="6"/>
        <v>11</v>
      </c>
    </row>
    <row r="101" spans="1:23" s="26" customFormat="1" x14ac:dyDescent="0.2">
      <c r="A101" s="28">
        <v>7</v>
      </c>
      <c r="B101" s="30"/>
      <c r="C101" s="50">
        <v>1674</v>
      </c>
      <c r="D101" s="50">
        <v>1723</v>
      </c>
      <c r="E101" s="50">
        <v>1840</v>
      </c>
      <c r="F101" s="50">
        <v>2056</v>
      </c>
      <c r="G101" s="50">
        <v>2158</v>
      </c>
      <c r="H101" s="50">
        <v>2216</v>
      </c>
      <c r="I101" s="50">
        <v>2270</v>
      </c>
      <c r="J101" s="50">
        <v>2322</v>
      </c>
      <c r="K101" s="50">
        <v>2376</v>
      </c>
      <c r="L101" s="50">
        <v>2434</v>
      </c>
      <c r="M101" s="50">
        <v>2494</v>
      </c>
      <c r="N101" s="50">
        <v>2560</v>
      </c>
      <c r="O101" s="50"/>
      <c r="P101" s="50"/>
      <c r="Q101" s="50"/>
      <c r="R101" s="50"/>
      <c r="S101" s="50"/>
      <c r="T101" s="50"/>
      <c r="U101" s="50"/>
      <c r="V101" s="50"/>
      <c r="W101" s="51">
        <f t="shared" si="6"/>
        <v>12</v>
      </c>
    </row>
    <row r="102" spans="1:23" s="26" customFormat="1" x14ac:dyDescent="0.2">
      <c r="A102" s="28">
        <v>8</v>
      </c>
      <c r="B102" s="30"/>
      <c r="C102" s="50">
        <v>1896</v>
      </c>
      <c r="D102" s="50">
        <v>1950</v>
      </c>
      <c r="E102" s="50">
        <v>2056</v>
      </c>
      <c r="F102" s="50">
        <v>2270</v>
      </c>
      <c r="G102" s="50">
        <v>2376</v>
      </c>
      <c r="H102" s="50">
        <v>2494</v>
      </c>
      <c r="I102" s="50">
        <v>2560</v>
      </c>
      <c r="J102" s="50">
        <v>2621</v>
      </c>
      <c r="K102" s="50">
        <v>2675</v>
      </c>
      <c r="L102" s="50">
        <v>2733</v>
      </c>
      <c r="M102" s="50">
        <v>2791</v>
      </c>
      <c r="N102" s="50">
        <v>2845</v>
      </c>
      <c r="O102" s="50">
        <v>2896</v>
      </c>
      <c r="P102" s="50"/>
      <c r="Q102" s="50"/>
      <c r="R102" s="50"/>
      <c r="S102" s="50"/>
      <c r="T102" s="50"/>
      <c r="U102" s="50"/>
      <c r="V102" s="50"/>
      <c r="W102" s="51">
        <f t="shared" si="6"/>
        <v>13</v>
      </c>
    </row>
    <row r="103" spans="1:23" s="26" customFormat="1" x14ac:dyDescent="0.2">
      <c r="A103" s="28">
        <v>9</v>
      </c>
      <c r="B103" s="30"/>
      <c r="C103" s="50">
        <f>2158+22</f>
        <v>2180</v>
      </c>
      <c r="D103" s="50">
        <f>2270+22</f>
        <v>2292</v>
      </c>
      <c r="E103" s="50">
        <f>2494+24</f>
        <v>2518</v>
      </c>
      <c r="F103" s="50">
        <f>2621+26</f>
        <v>2647</v>
      </c>
      <c r="G103" s="50">
        <f>2733+26</f>
        <v>2759</v>
      </c>
      <c r="H103" s="50">
        <f>2845+28</f>
        <v>2873</v>
      </c>
      <c r="I103" s="50">
        <f>2952+28</f>
        <v>2980</v>
      </c>
      <c r="J103" s="50">
        <f>3057+30</f>
        <v>3087</v>
      </c>
      <c r="K103" s="50">
        <f>3172+32</f>
        <v>3204</v>
      </c>
      <c r="L103" s="50">
        <f>3274+32</f>
        <v>3306</v>
      </c>
      <c r="M103" s="50"/>
      <c r="N103" s="50"/>
      <c r="O103" s="50"/>
      <c r="P103" s="50"/>
      <c r="Q103" s="50"/>
      <c r="R103" s="50"/>
      <c r="S103" s="50"/>
      <c r="T103" s="50"/>
      <c r="U103" s="50"/>
      <c r="V103" s="50"/>
      <c r="W103" s="51">
        <f t="shared" si="6"/>
        <v>10</v>
      </c>
    </row>
    <row r="104" spans="1:23" s="26" customFormat="1" x14ac:dyDescent="0.2">
      <c r="A104" s="28">
        <v>10</v>
      </c>
      <c r="B104" s="30"/>
      <c r="C104" s="50">
        <f>2158+22</f>
        <v>2180</v>
      </c>
      <c r="D104" s="50">
        <f>2376+24</f>
        <v>2400</v>
      </c>
      <c r="E104" s="50">
        <f>2494+24</f>
        <v>2518</v>
      </c>
      <c r="F104" s="50">
        <f>2621+26</f>
        <v>2647</v>
      </c>
      <c r="G104" s="50">
        <f>2733+26</f>
        <v>2759</v>
      </c>
      <c r="H104" s="50">
        <f>2845+28</f>
        <v>2873</v>
      </c>
      <c r="I104" s="50">
        <f>2952+28</f>
        <v>2980</v>
      </c>
      <c r="J104" s="50">
        <f>3057+30</f>
        <v>3087</v>
      </c>
      <c r="K104" s="50">
        <f>3172+32</f>
        <v>3204</v>
      </c>
      <c r="L104" s="50">
        <f>3274+32</f>
        <v>3306</v>
      </c>
      <c r="M104" s="50">
        <f>3379+34</f>
        <v>3413</v>
      </c>
      <c r="N104" s="50">
        <f>3482+34</f>
        <v>3516</v>
      </c>
      <c r="O104" s="50">
        <f>3597+36</f>
        <v>3633</v>
      </c>
      <c r="P104" s="50"/>
      <c r="Q104" s="50"/>
      <c r="R104" s="50"/>
      <c r="S104" s="50"/>
      <c r="T104" s="50"/>
      <c r="U104" s="50"/>
      <c r="V104" s="50"/>
      <c r="W104" s="51">
        <f t="shared" si="6"/>
        <v>13</v>
      </c>
    </row>
    <row r="105" spans="1:23" s="26" customFormat="1" x14ac:dyDescent="0.2">
      <c r="A105" s="28">
        <v>11</v>
      </c>
      <c r="B105" s="30"/>
      <c r="C105" s="50">
        <f>2270+22</f>
        <v>2292</v>
      </c>
      <c r="D105" s="50">
        <f>2376+24</f>
        <v>2400</v>
      </c>
      <c r="E105" s="50">
        <f>2494+24</f>
        <v>2518</v>
      </c>
      <c r="F105" s="50">
        <f>2621+26</f>
        <v>2647</v>
      </c>
      <c r="G105" s="50">
        <f>2733+26</f>
        <v>2759</v>
      </c>
      <c r="H105" s="50">
        <f>2845+28</f>
        <v>2873</v>
      </c>
      <c r="I105" s="50">
        <f>2952+28</f>
        <v>2980</v>
      </c>
      <c r="J105" s="50">
        <f>3172+32</f>
        <v>3204</v>
      </c>
      <c r="K105" s="50">
        <f>3274+32</f>
        <v>3306</v>
      </c>
      <c r="L105" s="50">
        <f>3379+34</f>
        <v>3413</v>
      </c>
      <c r="M105" s="50">
        <f>3482+34</f>
        <v>3516</v>
      </c>
      <c r="N105" s="50">
        <f>3597+36</f>
        <v>3633</v>
      </c>
      <c r="O105" s="50">
        <f>3712+36</f>
        <v>3748</v>
      </c>
      <c r="P105" s="50">
        <f>3823+38</f>
        <v>3861</v>
      </c>
      <c r="Q105" s="50">
        <f>3930+38</f>
        <v>3968</v>
      </c>
      <c r="R105" s="50">
        <f>4038+40</f>
        <v>4078</v>
      </c>
      <c r="S105" s="50">
        <f>4142+40</f>
        <v>4182</v>
      </c>
      <c r="T105" s="50">
        <f>4197+42</f>
        <v>4239</v>
      </c>
      <c r="U105" s="50"/>
      <c r="V105" s="50"/>
      <c r="W105" s="51">
        <f t="shared" si="6"/>
        <v>18</v>
      </c>
    </row>
    <row r="106" spans="1:23" s="26" customFormat="1" x14ac:dyDescent="0.2">
      <c r="A106" s="28">
        <v>12</v>
      </c>
      <c r="B106" s="30"/>
      <c r="C106" s="50">
        <f>3057+30</f>
        <v>3087</v>
      </c>
      <c r="D106" s="50">
        <f>3172+32</f>
        <v>3204</v>
      </c>
      <c r="E106" s="50">
        <f>3274+32</f>
        <v>3306</v>
      </c>
      <c r="F106" s="50">
        <f>3379+34</f>
        <v>3413</v>
      </c>
      <c r="G106" s="50">
        <f>3482+34</f>
        <v>3516</v>
      </c>
      <c r="H106" s="50">
        <f>3597+36</f>
        <v>3633</v>
      </c>
      <c r="I106" s="50">
        <f>3823+38</f>
        <v>3861</v>
      </c>
      <c r="J106" s="50">
        <f>3930+38</f>
        <v>3968</v>
      </c>
      <c r="K106" s="50">
        <f>4038+40</f>
        <v>4078</v>
      </c>
      <c r="L106" s="50">
        <f>4142+40</f>
        <v>4182</v>
      </c>
      <c r="M106" s="50">
        <f>4253+42</f>
        <v>4295</v>
      </c>
      <c r="N106" s="50">
        <f>4361+44</f>
        <v>4405</v>
      </c>
      <c r="O106" s="50">
        <f>4465+44</f>
        <v>4509</v>
      </c>
      <c r="P106" s="50">
        <f>4573+46</f>
        <v>4619</v>
      </c>
      <c r="Q106" s="50">
        <f>4708+46</f>
        <v>4754</v>
      </c>
      <c r="R106" s="50">
        <f>4775+48</f>
        <v>4823</v>
      </c>
      <c r="S106" s="50"/>
      <c r="T106" s="50"/>
      <c r="U106" s="50"/>
      <c r="V106" s="50"/>
      <c r="W106" s="51">
        <f t="shared" si="6"/>
        <v>16</v>
      </c>
    </row>
    <row r="107" spans="1:23" s="26" customFormat="1" x14ac:dyDescent="0.2">
      <c r="A107" s="28">
        <v>13</v>
      </c>
      <c r="B107" s="30"/>
      <c r="C107" s="50">
        <f>3712+36</f>
        <v>3748</v>
      </c>
      <c r="D107" s="50">
        <f>3823+38</f>
        <v>3861</v>
      </c>
      <c r="E107" s="50">
        <f>3930+38</f>
        <v>3968</v>
      </c>
      <c r="F107" s="50">
        <f>4038+40</f>
        <v>4078</v>
      </c>
      <c r="G107" s="50">
        <f>4142+40</f>
        <v>4182</v>
      </c>
      <c r="H107" s="50">
        <f>4361+44</f>
        <v>4405</v>
      </c>
      <c r="I107" s="50">
        <f>4465+44</f>
        <v>4509</v>
      </c>
      <c r="J107" s="50">
        <f>4573+46</f>
        <v>4619</v>
      </c>
      <c r="K107" s="50">
        <f>4708+46</f>
        <v>4754</v>
      </c>
      <c r="L107" s="50">
        <f>4843+48</f>
        <v>4891</v>
      </c>
      <c r="M107" s="50">
        <f>4978+50</f>
        <v>5028</v>
      </c>
      <c r="N107" s="50">
        <f>5113+50</f>
        <v>5163</v>
      </c>
      <c r="O107" s="50">
        <f>5178+52</f>
        <v>5230</v>
      </c>
      <c r="P107" s="50"/>
      <c r="Q107" s="50"/>
      <c r="R107" s="50"/>
      <c r="S107" s="50"/>
      <c r="T107" s="50"/>
      <c r="U107" s="50"/>
      <c r="V107" s="50"/>
      <c r="W107" s="51">
        <f t="shared" si="6"/>
        <v>13</v>
      </c>
    </row>
    <row r="108" spans="1:23" s="26" customFormat="1" x14ac:dyDescent="0.2">
      <c r="A108" s="28">
        <v>14</v>
      </c>
      <c r="B108" s="30"/>
      <c r="C108" s="50">
        <f>4253+42</f>
        <v>4295</v>
      </c>
      <c r="D108" s="50">
        <f>4361+44</f>
        <v>4405</v>
      </c>
      <c r="E108" s="50">
        <f>4573+46</f>
        <v>4619</v>
      </c>
      <c r="F108" s="50">
        <f>4708+46</f>
        <v>4754</v>
      </c>
      <c r="G108" s="50">
        <f>4843+48</f>
        <v>4891</v>
      </c>
      <c r="H108" s="50">
        <f>4978+50</f>
        <v>5028</v>
      </c>
      <c r="I108" s="50">
        <f>5113+50</f>
        <v>5163</v>
      </c>
      <c r="J108" s="50">
        <f>5249+52</f>
        <v>5301</v>
      </c>
      <c r="K108" s="50">
        <f>5393+54</f>
        <v>5447</v>
      </c>
      <c r="L108" s="50">
        <f>5539+54</f>
        <v>5593</v>
      </c>
      <c r="M108" s="50">
        <f>5690+56</f>
        <v>5746</v>
      </c>
      <c r="N108" s="50"/>
      <c r="O108" s="50"/>
      <c r="P108" s="50"/>
      <c r="Q108" s="50"/>
      <c r="R108" s="50"/>
      <c r="S108" s="50"/>
      <c r="T108" s="50"/>
      <c r="U108" s="50"/>
      <c r="V108" s="50"/>
      <c r="W108" s="51">
        <f t="shared" si="6"/>
        <v>11</v>
      </c>
    </row>
    <row r="109" spans="1:23" s="26" customFormat="1" x14ac:dyDescent="0.2">
      <c r="A109" s="28">
        <v>15</v>
      </c>
      <c r="B109" s="30"/>
      <c r="C109" s="1263">
        <v>4509</v>
      </c>
      <c r="D109" s="1263">
        <v>4619</v>
      </c>
      <c r="E109" s="1263">
        <v>4754</v>
      </c>
      <c r="F109" s="1263">
        <v>5028</v>
      </c>
      <c r="G109" s="1263">
        <v>5163</v>
      </c>
      <c r="H109" s="1263">
        <v>5301</v>
      </c>
      <c r="I109" s="1263">
        <v>5447</v>
      </c>
      <c r="J109" s="1263">
        <v>5593</v>
      </c>
      <c r="K109" s="1263">
        <v>5746</v>
      </c>
      <c r="L109" s="1263">
        <v>5928</v>
      </c>
      <c r="M109" s="1263">
        <v>6119</v>
      </c>
      <c r="N109" s="1263">
        <v>6314</v>
      </c>
      <c r="O109" s="1263"/>
      <c r="P109" s="1263"/>
      <c r="Q109" s="1263"/>
      <c r="R109" s="1263"/>
      <c r="S109" s="1263"/>
      <c r="T109" s="1263"/>
      <c r="U109" s="1263"/>
      <c r="V109" s="1263"/>
      <c r="W109" s="51">
        <f t="shared" si="6"/>
        <v>12</v>
      </c>
    </row>
    <row r="110" spans="1:23" x14ac:dyDescent="0.2">
      <c r="A110" s="16">
        <v>16</v>
      </c>
      <c r="B110" s="10"/>
      <c r="C110" s="1263">
        <v>4891</v>
      </c>
      <c r="D110" s="1263">
        <v>5028</v>
      </c>
      <c r="E110" s="1263">
        <v>5163</v>
      </c>
      <c r="F110" s="1263">
        <v>5447</v>
      </c>
      <c r="G110" s="1263">
        <v>5593</v>
      </c>
      <c r="H110" s="1263">
        <v>5746</v>
      </c>
      <c r="I110" s="1263">
        <v>5928</v>
      </c>
      <c r="J110" s="1263">
        <v>6119</v>
      </c>
      <c r="K110" s="1263">
        <v>6314</v>
      </c>
      <c r="L110" s="1263">
        <v>6516</v>
      </c>
      <c r="M110" s="1263">
        <v>6721</v>
      </c>
      <c r="N110" s="1263">
        <v>6936</v>
      </c>
      <c r="O110" s="1263"/>
      <c r="P110" s="1263"/>
      <c r="Q110" s="1263"/>
      <c r="R110" s="1263"/>
      <c r="S110" s="1263"/>
      <c r="T110" s="1263"/>
      <c r="U110" s="1263"/>
      <c r="V110" s="1263"/>
      <c r="W110" s="51">
        <f t="shared" si="6"/>
        <v>12</v>
      </c>
    </row>
    <row r="111" spans="1:23" x14ac:dyDescent="0.2">
      <c r="A111" s="9"/>
      <c r="B111" s="10"/>
      <c r="C111" s="9"/>
      <c r="D111" s="9"/>
      <c r="E111" s="9"/>
      <c r="F111" s="9"/>
      <c r="G111" s="9"/>
      <c r="H111" s="9"/>
      <c r="I111" s="9"/>
    </row>
    <row r="112" spans="1:23" s="26" customFormat="1" x14ac:dyDescent="0.2">
      <c r="A112" s="54" t="s">
        <v>182</v>
      </c>
      <c r="B112" s="34" t="s">
        <v>69</v>
      </c>
      <c r="C112" s="25"/>
      <c r="D112" s="25"/>
      <c r="E112" s="25"/>
      <c r="F112" s="25"/>
      <c r="G112" s="25"/>
      <c r="H112" s="25"/>
      <c r="I112" s="25"/>
    </row>
    <row r="113" spans="1:9" s="26" customFormat="1" x14ac:dyDescent="0.2">
      <c r="A113" s="39" t="s">
        <v>204</v>
      </c>
      <c r="B113" s="55"/>
      <c r="C113" s="25"/>
      <c r="D113" s="27">
        <v>7993.26</v>
      </c>
      <c r="E113" s="27">
        <v>8015.48</v>
      </c>
      <c r="F113" s="29"/>
    </row>
    <row r="114" spans="1:9" s="1" customFormat="1" x14ac:dyDescent="0.2">
      <c r="A114" s="58" t="s">
        <v>205</v>
      </c>
      <c r="B114" s="3"/>
      <c r="C114" s="16"/>
      <c r="D114" s="57">
        <v>4896</v>
      </c>
      <c r="E114" s="27">
        <v>4910</v>
      </c>
      <c r="F114" s="59"/>
    </row>
    <row r="115" spans="1:9" s="26" customFormat="1" x14ac:dyDescent="0.2">
      <c r="A115" s="39" t="s">
        <v>206</v>
      </c>
      <c r="B115" s="22"/>
      <c r="C115" s="25"/>
      <c r="D115" s="27">
        <v>338.83</v>
      </c>
      <c r="E115" s="27">
        <v>339.77</v>
      </c>
      <c r="F115" s="29"/>
    </row>
    <row r="116" spans="1:9" s="26" customFormat="1" x14ac:dyDescent="0.2">
      <c r="A116" s="39" t="s">
        <v>207</v>
      </c>
      <c r="B116" s="22"/>
      <c r="C116" s="25"/>
      <c r="D116" s="27">
        <v>259.92</v>
      </c>
      <c r="E116" s="27">
        <v>260.64</v>
      </c>
      <c r="F116" s="29"/>
    </row>
    <row r="117" spans="1:9" s="26" customFormat="1" x14ac:dyDescent="0.2">
      <c r="A117" s="39" t="s">
        <v>208</v>
      </c>
      <c r="B117" s="22"/>
      <c r="C117" s="25"/>
      <c r="D117" s="27">
        <v>11050.84</v>
      </c>
      <c r="E117" s="27">
        <v>11081.56</v>
      </c>
      <c r="F117" s="29"/>
    </row>
    <row r="118" spans="1:9" s="26" customFormat="1" x14ac:dyDescent="0.2">
      <c r="A118" s="39" t="s">
        <v>209</v>
      </c>
      <c r="B118" s="22"/>
      <c r="C118" s="25"/>
      <c r="D118" s="27">
        <v>76.23</v>
      </c>
      <c r="E118" s="27">
        <v>76.44</v>
      </c>
      <c r="F118" s="29"/>
    </row>
    <row r="119" spans="1:9" s="26" customFormat="1" x14ac:dyDescent="0.2">
      <c r="A119" s="39" t="s">
        <v>312</v>
      </c>
      <c r="B119" s="22"/>
      <c r="C119" s="25"/>
      <c r="D119" s="56">
        <v>145</v>
      </c>
      <c r="E119" s="56">
        <f t="shared" ref="E119" si="10">D119</f>
        <v>145</v>
      </c>
      <c r="F119" s="39"/>
    </row>
    <row r="120" spans="1:9" x14ac:dyDescent="0.2">
      <c r="C120" s="9"/>
      <c r="F120" s="12"/>
      <c r="G120" s="12"/>
      <c r="H120" s="12"/>
      <c r="I120" s="9"/>
    </row>
    <row r="121" spans="1:9" x14ac:dyDescent="0.2">
      <c r="A121" s="9"/>
      <c r="B121" s="10"/>
      <c r="C121" s="9"/>
      <c r="D121" s="9"/>
      <c r="E121" s="9"/>
      <c r="F121" s="9"/>
      <c r="G121" s="9"/>
      <c r="H121" s="9"/>
      <c r="I121" s="9"/>
    </row>
    <row r="122" spans="1:9" s="1" customFormat="1" x14ac:dyDescent="0.2">
      <c r="A122" s="1205" t="s">
        <v>99</v>
      </c>
      <c r="B122" s="17"/>
      <c r="C122" s="15"/>
      <c r="D122" s="15"/>
      <c r="E122" s="15"/>
    </row>
    <row r="123" spans="1:9" s="1" customFormat="1" x14ac:dyDescent="0.2">
      <c r="A123" s="15"/>
      <c r="B123" s="17"/>
      <c r="C123" s="15"/>
      <c r="D123" s="15"/>
      <c r="E123" s="15"/>
    </row>
    <row r="124" spans="1:9" s="1" customFormat="1" x14ac:dyDescent="0.2">
      <c r="A124" s="18" t="s">
        <v>101</v>
      </c>
      <c r="B124" s="3" t="s">
        <v>66</v>
      </c>
      <c r="C124" s="1274" t="s">
        <v>770</v>
      </c>
      <c r="D124" s="15"/>
      <c r="E124" s="15"/>
    </row>
    <row r="125" spans="1:9" s="1" customFormat="1" x14ac:dyDescent="0.2">
      <c r="A125" s="16" t="s">
        <v>92</v>
      </c>
      <c r="B125" s="60" t="s">
        <v>58</v>
      </c>
      <c r="C125" s="1208">
        <v>12570.57</v>
      </c>
      <c r="D125" s="57">
        <v>12590.11</v>
      </c>
      <c r="E125" s="9"/>
    </row>
    <row r="126" spans="1:9" s="1" customFormat="1" x14ac:dyDescent="0.2">
      <c r="A126" s="2" t="s">
        <v>93</v>
      </c>
      <c r="B126" s="3" t="s">
        <v>59</v>
      </c>
      <c r="C126" s="1208">
        <v>6120.87</v>
      </c>
      <c r="D126" s="57">
        <v>6130.38</v>
      </c>
      <c r="E126" s="9"/>
    </row>
    <row r="127" spans="1:9" s="1" customFormat="1" x14ac:dyDescent="0.2">
      <c r="A127" s="2" t="s">
        <v>102</v>
      </c>
      <c r="B127" s="3" t="s">
        <v>60</v>
      </c>
      <c r="C127" s="1208">
        <v>6120.87</v>
      </c>
      <c r="D127" s="57">
        <v>6130.38</v>
      </c>
      <c r="E127" s="9"/>
    </row>
    <row r="128" spans="1:9" s="1" customFormat="1" x14ac:dyDescent="0.2">
      <c r="A128" s="2" t="s">
        <v>94</v>
      </c>
      <c r="B128" s="3" t="s">
        <v>61</v>
      </c>
      <c r="C128" s="1208">
        <v>6120.87</v>
      </c>
      <c r="D128" s="57">
        <v>6130.38</v>
      </c>
      <c r="E128" s="9"/>
    </row>
    <row r="129" spans="1:5" s="1" customFormat="1" x14ac:dyDescent="0.2">
      <c r="A129" s="2" t="s">
        <v>95</v>
      </c>
      <c r="B129" s="3" t="s">
        <v>62</v>
      </c>
      <c r="C129" s="1208">
        <v>6120.87</v>
      </c>
      <c r="D129" s="57">
        <v>6130.38</v>
      </c>
      <c r="E129" s="9"/>
    </row>
    <row r="130" spans="1:5" s="1" customFormat="1" x14ac:dyDescent="0.2">
      <c r="A130" s="2" t="s">
        <v>547</v>
      </c>
      <c r="B130" s="3" t="s">
        <v>63</v>
      </c>
      <c r="C130" s="1208">
        <v>6120.87</v>
      </c>
      <c r="D130" s="57">
        <v>6130.38</v>
      </c>
      <c r="E130" s="9"/>
    </row>
    <row r="131" spans="1:5" s="1" customFormat="1" x14ac:dyDescent="0.2">
      <c r="A131" s="2" t="s">
        <v>96</v>
      </c>
      <c r="B131" s="3" t="s">
        <v>64</v>
      </c>
      <c r="C131" s="1208">
        <f>+C125</f>
        <v>12570.57</v>
      </c>
      <c r="D131" s="57">
        <v>12590.11</v>
      </c>
      <c r="E131" s="9"/>
    </row>
    <row r="132" spans="1:5" s="1" customFormat="1" x14ac:dyDescent="0.2">
      <c r="A132" s="2" t="s">
        <v>97</v>
      </c>
      <c r="B132" s="3" t="s">
        <v>65</v>
      </c>
      <c r="C132" s="1208">
        <v>6120.87</v>
      </c>
      <c r="D132" s="57">
        <v>6130.38</v>
      </c>
      <c r="E132" s="9"/>
    </row>
    <row r="133" spans="1:5" s="1" customFormat="1" x14ac:dyDescent="0.2">
      <c r="A133" s="2" t="s">
        <v>494</v>
      </c>
      <c r="B133" s="3" t="s">
        <v>68</v>
      </c>
      <c r="C133" s="1208">
        <f>+C125</f>
        <v>12570.57</v>
      </c>
      <c r="D133" s="57">
        <v>12590.11</v>
      </c>
      <c r="E133" s="9"/>
    </row>
    <row r="134" spans="1:5" s="1" customFormat="1" x14ac:dyDescent="0.2">
      <c r="A134" s="2" t="s">
        <v>495</v>
      </c>
      <c r="B134" s="3" t="s">
        <v>68</v>
      </c>
      <c r="C134" s="1208">
        <v>6120.87</v>
      </c>
      <c r="D134" s="57">
        <v>6130.38</v>
      </c>
      <c r="E134" s="9"/>
    </row>
    <row r="135" spans="1:5" s="1" customFormat="1" x14ac:dyDescent="0.2">
      <c r="A135" s="2" t="s">
        <v>563</v>
      </c>
      <c r="B135" s="3" t="s">
        <v>727</v>
      </c>
      <c r="C135" s="1208">
        <v>6443.93</v>
      </c>
      <c r="D135" s="57">
        <v>6453.95</v>
      </c>
      <c r="E135" s="9"/>
    </row>
    <row r="136" spans="1:5" s="1" customFormat="1" x14ac:dyDescent="0.2">
      <c r="A136" s="2"/>
      <c r="B136" s="3"/>
      <c r="C136" s="1205"/>
      <c r="D136" s="59"/>
      <c r="E136" s="9"/>
    </row>
    <row r="137" spans="1:5" s="1" customFormat="1" x14ac:dyDescent="0.2">
      <c r="A137" s="61" t="s">
        <v>103</v>
      </c>
      <c r="B137" s="60" t="s">
        <v>67</v>
      </c>
      <c r="C137" s="1209"/>
      <c r="D137" s="16"/>
      <c r="E137" s="9"/>
    </row>
    <row r="138" spans="1:5" s="1" customFormat="1" x14ac:dyDescent="0.2">
      <c r="A138" s="16" t="s">
        <v>92</v>
      </c>
      <c r="B138" s="60" t="s">
        <v>58</v>
      </c>
      <c r="C138" s="1210">
        <v>1118</v>
      </c>
      <c r="D138" s="62">
        <v>1138</v>
      </c>
      <c r="E138" s="9"/>
    </row>
    <row r="139" spans="1:5" s="1" customFormat="1" x14ac:dyDescent="0.2">
      <c r="A139" s="2" t="s">
        <v>93</v>
      </c>
      <c r="B139" s="3" t="s">
        <v>59</v>
      </c>
      <c r="C139" s="1210">
        <v>997</v>
      </c>
      <c r="D139" s="62">
        <v>1015</v>
      </c>
      <c r="E139" s="9"/>
    </row>
    <row r="140" spans="1:5" s="1" customFormat="1" x14ac:dyDescent="0.2">
      <c r="A140" s="2" t="s">
        <v>102</v>
      </c>
      <c r="B140" s="3" t="s">
        <v>60</v>
      </c>
      <c r="C140" s="1210">
        <v>997</v>
      </c>
      <c r="D140" s="62">
        <v>1015</v>
      </c>
      <c r="E140" s="9"/>
    </row>
    <row r="141" spans="1:5" s="1" customFormat="1" x14ac:dyDescent="0.2">
      <c r="A141" s="2" t="s">
        <v>94</v>
      </c>
      <c r="B141" s="3" t="s">
        <v>61</v>
      </c>
      <c r="C141" s="1210">
        <v>998</v>
      </c>
      <c r="D141" s="62">
        <v>1015</v>
      </c>
      <c r="E141" s="9"/>
    </row>
    <row r="142" spans="1:5" s="1" customFormat="1" x14ac:dyDescent="0.2">
      <c r="A142" s="2" t="s">
        <v>95</v>
      </c>
      <c r="B142" s="3" t="s">
        <v>62</v>
      </c>
      <c r="C142" s="1210">
        <v>997</v>
      </c>
      <c r="D142" s="62">
        <v>1015</v>
      </c>
      <c r="E142" s="9"/>
    </row>
    <row r="143" spans="1:5" s="1" customFormat="1" x14ac:dyDescent="0.2">
      <c r="A143" s="2" t="s">
        <v>547</v>
      </c>
      <c r="B143" s="3" t="s">
        <v>63</v>
      </c>
      <c r="C143" s="1210">
        <v>941</v>
      </c>
      <c r="D143" s="62">
        <v>958</v>
      </c>
      <c r="E143" s="9"/>
    </row>
    <row r="144" spans="1:5" s="1" customFormat="1" x14ac:dyDescent="0.2">
      <c r="A144" s="2" t="s">
        <v>96</v>
      </c>
      <c r="B144" s="3" t="s">
        <v>64</v>
      </c>
      <c r="C144" s="1210">
        <v>997</v>
      </c>
      <c r="D144" s="62">
        <v>1015</v>
      </c>
      <c r="E144" s="9"/>
    </row>
    <row r="145" spans="1:10" s="1" customFormat="1" x14ac:dyDescent="0.2">
      <c r="A145" s="2" t="s">
        <v>97</v>
      </c>
      <c r="B145" s="3" t="s">
        <v>65</v>
      </c>
      <c r="C145" s="1210">
        <v>997</v>
      </c>
      <c r="D145" s="62">
        <v>1015</v>
      </c>
      <c r="E145" s="9"/>
    </row>
    <row r="146" spans="1:10" s="1" customFormat="1" x14ac:dyDescent="0.2">
      <c r="A146" s="2" t="s">
        <v>494</v>
      </c>
      <c r="B146" s="3" t="s">
        <v>68</v>
      </c>
      <c r="C146" s="1210">
        <v>1258.18</v>
      </c>
      <c r="D146" s="62">
        <v>1280.83</v>
      </c>
      <c r="E146" s="9"/>
    </row>
    <row r="147" spans="1:10" s="1" customFormat="1" x14ac:dyDescent="0.2">
      <c r="A147" s="2" t="s">
        <v>495</v>
      </c>
      <c r="B147" s="3" t="s">
        <v>68</v>
      </c>
      <c r="C147" s="1210">
        <v>1064.07</v>
      </c>
      <c r="D147" s="62">
        <v>1083.23</v>
      </c>
      <c r="E147" s="9"/>
    </row>
    <row r="148" spans="1:10" s="1" customFormat="1" x14ac:dyDescent="0.2">
      <c r="A148" s="2" t="s">
        <v>563</v>
      </c>
      <c r="B148" s="3" t="s">
        <v>727</v>
      </c>
      <c r="C148" s="1210">
        <v>302</v>
      </c>
      <c r="D148" s="62">
        <v>307</v>
      </c>
      <c r="E148" s="9"/>
    </row>
    <row r="151" spans="1:10" s="2" customFormat="1" x14ac:dyDescent="0.2">
      <c r="A151" s="15" t="s">
        <v>104</v>
      </c>
      <c r="B151" s="3"/>
      <c r="C151" s="66" t="s">
        <v>682</v>
      </c>
      <c r="D151" s="67">
        <v>1.7999999999999999E-2</v>
      </c>
      <c r="F151" s="66" t="s">
        <v>682</v>
      </c>
      <c r="G151" s="67">
        <v>1.41E-2</v>
      </c>
      <c r="H151" s="16"/>
      <c r="I151" s="16"/>
      <c r="J151" s="16"/>
    </row>
    <row r="152" spans="1:10" s="16" customFormat="1" x14ac:dyDescent="0.2">
      <c r="B152" s="60"/>
      <c r="C152" s="68">
        <f>D4</f>
        <v>2013</v>
      </c>
      <c r="D152" s="15"/>
      <c r="F152" s="68">
        <f>C152+1</f>
        <v>2014</v>
      </c>
    </row>
    <row r="153" spans="1:10" s="16" customFormat="1" x14ac:dyDescent="0.2">
      <c r="A153" s="2" t="s">
        <v>468</v>
      </c>
      <c r="B153" s="3"/>
      <c r="C153" s="57">
        <v>13290.79</v>
      </c>
      <c r="D153" s="57">
        <v>301.86</v>
      </c>
      <c r="F153" s="57">
        <v>13478.19</v>
      </c>
      <c r="G153" s="57">
        <v>306.08999999999997</v>
      </c>
    </row>
    <row r="154" spans="1:10" s="16" customFormat="1" x14ac:dyDescent="0.2">
      <c r="A154" s="2" t="s">
        <v>55</v>
      </c>
      <c r="B154" s="3"/>
      <c r="C154" s="57">
        <v>110.12</v>
      </c>
      <c r="D154" s="57">
        <v>19.72</v>
      </c>
      <c r="F154" s="57">
        <v>111.67</v>
      </c>
      <c r="G154" s="57">
        <v>20</v>
      </c>
    </row>
    <row r="155" spans="1:10" s="16" customFormat="1" x14ac:dyDescent="0.2">
      <c r="A155" s="2" t="s">
        <v>56</v>
      </c>
      <c r="B155" s="3"/>
      <c r="C155" s="57">
        <v>0</v>
      </c>
      <c r="D155" s="57">
        <v>221.59</v>
      </c>
      <c r="F155" s="57">
        <v>0</v>
      </c>
      <c r="G155" s="57">
        <v>224.71</v>
      </c>
    </row>
    <row r="156" spans="1:10" s="16" customFormat="1" x14ac:dyDescent="0.2">
      <c r="B156" s="60"/>
    </row>
    <row r="157" spans="1:10" s="16" customFormat="1" x14ac:dyDescent="0.2">
      <c r="A157" s="69" t="s">
        <v>438</v>
      </c>
      <c r="B157" s="3"/>
      <c r="C157" s="2"/>
    </row>
    <row r="158" spans="1:10" s="16" customFormat="1" x14ac:dyDescent="0.2">
      <c r="A158" s="70" t="s">
        <v>291</v>
      </c>
      <c r="B158" s="3"/>
      <c r="C158" s="71">
        <v>0.05</v>
      </c>
      <c r="E158" s="72"/>
      <c r="I158" s="71">
        <v>0.05</v>
      </c>
      <c r="J158" s="68"/>
    </row>
    <row r="159" spans="1:10" s="16" customFormat="1" x14ac:dyDescent="0.2">
      <c r="A159" s="2" t="s">
        <v>292</v>
      </c>
      <c r="B159" s="3"/>
      <c r="C159" s="15">
        <v>3.4299999999999997E-2</v>
      </c>
      <c r="E159" s="72"/>
      <c r="I159" s="15">
        <v>3.4299999999999997E-2</v>
      </c>
      <c r="J159" s="68"/>
    </row>
    <row r="160" spans="1:10" s="16" customFormat="1" x14ac:dyDescent="0.2">
      <c r="A160" s="2" t="s">
        <v>293</v>
      </c>
      <c r="B160" s="3"/>
      <c r="C160" s="2">
        <v>1.7899999999999999E-2</v>
      </c>
      <c r="E160" s="72"/>
      <c r="I160" s="2">
        <v>1.7899999999999999E-2</v>
      </c>
      <c r="J160" s="68"/>
    </row>
    <row r="161" spans="1:13" s="16" customFormat="1" x14ac:dyDescent="0.2">
      <c r="A161" s="2" t="s">
        <v>364</v>
      </c>
      <c r="B161" s="3"/>
      <c r="C161" s="2">
        <v>1.5642</v>
      </c>
      <c r="E161" s="72"/>
      <c r="I161" s="2">
        <v>1.5642</v>
      </c>
      <c r="J161" s="68"/>
    </row>
    <row r="162" spans="1:13" s="16" customFormat="1" x14ac:dyDescent="0.2">
      <c r="A162" s="2" t="s">
        <v>365</v>
      </c>
      <c r="B162" s="3"/>
      <c r="C162" s="2">
        <v>1.15E-2</v>
      </c>
      <c r="E162" s="72"/>
      <c r="I162" s="2">
        <v>1.15E-2</v>
      </c>
      <c r="J162" s="68"/>
    </row>
    <row r="163" spans="1:13" s="16" customFormat="1" x14ac:dyDescent="0.2">
      <c r="A163" s="2"/>
      <c r="B163" s="3"/>
      <c r="C163" s="2"/>
      <c r="J163" s="2"/>
    </row>
    <row r="164" spans="1:13" s="16" customFormat="1" x14ac:dyDescent="0.2">
      <c r="B164" s="60"/>
      <c r="E164" s="68">
        <f>+D4</f>
        <v>2013</v>
      </c>
      <c r="I164" s="68">
        <f>+E4</f>
        <v>2014</v>
      </c>
      <c r="K164" s="15"/>
      <c r="L164" s="15"/>
      <c r="M164" s="2"/>
    </row>
    <row r="165" spans="1:13" s="16" customFormat="1" x14ac:dyDescent="0.2">
      <c r="A165" s="2" t="s">
        <v>469</v>
      </c>
      <c r="B165" s="60"/>
      <c r="C165" s="2" t="s">
        <v>362</v>
      </c>
      <c r="D165" s="2" t="s">
        <v>469</v>
      </c>
      <c r="E165" s="2" t="s">
        <v>302</v>
      </c>
      <c r="F165" s="2" t="s">
        <v>470</v>
      </c>
      <c r="G165" s="73" t="s">
        <v>471</v>
      </c>
      <c r="H165" s="2" t="s">
        <v>183</v>
      </c>
      <c r="I165" s="2" t="s">
        <v>469</v>
      </c>
      <c r="J165" s="2" t="s">
        <v>302</v>
      </c>
      <c r="K165" s="2" t="s">
        <v>470</v>
      </c>
      <c r="L165" s="73" t="s">
        <v>471</v>
      </c>
      <c r="M165" s="2" t="s">
        <v>183</v>
      </c>
    </row>
    <row r="166" spans="1:13" s="16" customFormat="1" x14ac:dyDescent="0.2">
      <c r="A166" s="2" t="s">
        <v>361</v>
      </c>
      <c r="B166" s="60"/>
      <c r="C166" s="2" t="s">
        <v>363</v>
      </c>
      <c r="D166" s="73"/>
      <c r="E166" s="2"/>
      <c r="F166" s="2"/>
      <c r="G166" s="2"/>
      <c r="H166" s="73" t="s">
        <v>500</v>
      </c>
      <c r="I166" s="73"/>
      <c r="J166" s="2"/>
      <c r="K166" s="2"/>
      <c r="L166" s="2"/>
      <c r="M166" s="73" t="s">
        <v>500</v>
      </c>
    </row>
    <row r="167" spans="1:13" s="16" customFormat="1" x14ac:dyDescent="0.2">
      <c r="A167" s="2">
        <v>0</v>
      </c>
      <c r="B167" s="60"/>
      <c r="C167" s="2">
        <v>0</v>
      </c>
      <c r="D167" s="2">
        <v>0</v>
      </c>
      <c r="E167" s="1177">
        <v>0</v>
      </c>
      <c r="F167" s="74"/>
      <c r="G167" s="74"/>
      <c r="H167" s="74"/>
      <c r="I167" s="2">
        <v>0</v>
      </c>
      <c r="J167" s="1177">
        <v>0</v>
      </c>
      <c r="K167" s="74"/>
      <c r="L167" s="74"/>
      <c r="M167" s="74"/>
    </row>
    <row r="168" spans="1:13" s="16" customFormat="1" x14ac:dyDescent="0.2">
      <c r="A168" s="2">
        <v>2</v>
      </c>
      <c r="B168" s="60"/>
      <c r="C168" s="2">
        <v>375</v>
      </c>
      <c r="D168" s="75">
        <v>2</v>
      </c>
      <c r="E168" s="1177">
        <v>18768</v>
      </c>
      <c r="F168" s="74"/>
      <c r="G168" s="74"/>
      <c r="H168" s="74"/>
      <c r="I168" s="75">
        <v>2</v>
      </c>
      <c r="J168" s="1177">
        <v>19031</v>
      </c>
      <c r="K168" s="74"/>
      <c r="L168" s="74"/>
      <c r="M168" s="74"/>
    </row>
    <row r="169" spans="1:13" s="16" customFormat="1" x14ac:dyDescent="0.2">
      <c r="A169" s="2">
        <v>3</v>
      </c>
      <c r="B169" s="60"/>
      <c r="C169" s="2">
        <v>495</v>
      </c>
      <c r="D169" s="75">
        <v>3</v>
      </c>
      <c r="E169" s="1177">
        <v>24147</v>
      </c>
      <c r="F169" s="1194">
        <f t="shared" ref="F169:F216" si="11">+E169-E168</f>
        <v>5379</v>
      </c>
      <c r="G169" s="74"/>
      <c r="H169" s="74"/>
      <c r="I169" s="75">
        <v>3</v>
      </c>
      <c r="J169" s="1177">
        <v>24487</v>
      </c>
      <c r="K169" s="1194">
        <f t="shared" ref="K169:K216" si="12">+J169-J168</f>
        <v>5456</v>
      </c>
      <c r="L169" s="1194"/>
      <c r="M169" s="74"/>
    </row>
    <row r="170" spans="1:13" s="16" customFormat="1" x14ac:dyDescent="0.2">
      <c r="A170" s="2">
        <v>4</v>
      </c>
      <c r="B170" s="60"/>
      <c r="C170" s="2">
        <v>650</v>
      </c>
      <c r="D170" s="75">
        <v>4</v>
      </c>
      <c r="E170" s="1177">
        <v>31096</v>
      </c>
      <c r="F170" s="1194">
        <f t="shared" si="11"/>
        <v>6949</v>
      </c>
      <c r="G170" s="74"/>
      <c r="H170" s="74"/>
      <c r="I170" s="75">
        <v>4</v>
      </c>
      <c r="J170" s="1177">
        <v>31533</v>
      </c>
      <c r="K170" s="1194">
        <f t="shared" si="12"/>
        <v>7046</v>
      </c>
      <c r="L170" s="1194"/>
      <c r="M170" s="74"/>
    </row>
    <row r="171" spans="1:13" s="16" customFormat="1" x14ac:dyDescent="0.2">
      <c r="A171" s="2">
        <v>5</v>
      </c>
      <c r="B171" s="60"/>
      <c r="C171" s="2">
        <v>785</v>
      </c>
      <c r="D171" s="75">
        <v>5</v>
      </c>
      <c r="E171" s="1177">
        <v>37148</v>
      </c>
      <c r="F171" s="1194">
        <f t="shared" si="11"/>
        <v>6052</v>
      </c>
      <c r="G171" s="74"/>
      <c r="H171" s="74"/>
      <c r="I171" s="75">
        <v>5</v>
      </c>
      <c r="J171" s="1177">
        <v>37670</v>
      </c>
      <c r="K171" s="1194">
        <f t="shared" si="12"/>
        <v>6137</v>
      </c>
      <c r="L171" s="1194"/>
      <c r="M171" s="74"/>
    </row>
    <row r="172" spans="1:13" s="16" customFormat="1" x14ac:dyDescent="0.2">
      <c r="A172" s="2">
        <v>6</v>
      </c>
      <c r="B172" s="60"/>
      <c r="C172" s="2">
        <v>875</v>
      </c>
      <c r="D172" s="75">
        <v>6</v>
      </c>
      <c r="E172" s="1177">
        <v>41183</v>
      </c>
      <c r="F172" s="1194">
        <f t="shared" si="11"/>
        <v>4035</v>
      </c>
      <c r="G172" s="74"/>
      <c r="H172" s="74"/>
      <c r="I172" s="75">
        <v>6</v>
      </c>
      <c r="J172" s="1177">
        <v>41761</v>
      </c>
      <c r="K172" s="1194">
        <f t="shared" si="12"/>
        <v>4091</v>
      </c>
      <c r="L172" s="1194"/>
      <c r="M172" s="74"/>
    </row>
    <row r="173" spans="1:13" s="16" customFormat="1" x14ac:dyDescent="0.2">
      <c r="A173" s="2">
        <v>7</v>
      </c>
      <c r="B173" s="60"/>
      <c r="C173" s="2">
        <v>980</v>
      </c>
      <c r="D173" s="75">
        <v>7</v>
      </c>
      <c r="E173" s="76">
        <f t="shared" ref="E173:E179" si="13">+E172+G173</f>
        <v>45890</v>
      </c>
      <c r="F173" s="1194">
        <f t="shared" si="11"/>
        <v>4707</v>
      </c>
      <c r="G173" s="1177">
        <v>4707</v>
      </c>
      <c r="H173" s="1194"/>
      <c r="I173" s="75">
        <v>7</v>
      </c>
      <c r="J173" s="76">
        <f t="shared" ref="J173:J179" si="14">+J172+L173</f>
        <v>46534</v>
      </c>
      <c r="K173" s="1194">
        <f t="shared" si="12"/>
        <v>4773</v>
      </c>
      <c r="L173" s="1177">
        <v>4773</v>
      </c>
      <c r="M173" s="74"/>
    </row>
    <row r="174" spans="1:13" s="16" customFormat="1" x14ac:dyDescent="0.2">
      <c r="A174" s="2">
        <v>8</v>
      </c>
      <c r="B174" s="60"/>
      <c r="C174" s="2">
        <v>1085</v>
      </c>
      <c r="D174" s="75">
        <v>8</v>
      </c>
      <c r="E174" s="76">
        <f t="shared" si="13"/>
        <v>50597</v>
      </c>
      <c r="F174" s="1194">
        <f t="shared" si="11"/>
        <v>4707</v>
      </c>
      <c r="G174" s="1194">
        <f t="shared" ref="G174:G216" si="15">G173</f>
        <v>4707</v>
      </c>
      <c r="H174" s="1194"/>
      <c r="I174" s="75">
        <v>8</v>
      </c>
      <c r="J174" s="76">
        <f t="shared" si="14"/>
        <v>51307</v>
      </c>
      <c r="K174" s="1194">
        <f t="shared" si="12"/>
        <v>4773</v>
      </c>
      <c r="L174" s="1194">
        <f t="shared" ref="L174:L216" si="16">L173</f>
        <v>4773</v>
      </c>
      <c r="M174" s="74"/>
    </row>
    <row r="175" spans="1:13" s="16" customFormat="1" x14ac:dyDescent="0.2">
      <c r="A175" s="2">
        <v>9</v>
      </c>
      <c r="B175" s="60"/>
      <c r="C175" s="2">
        <v>1190</v>
      </c>
      <c r="D175" s="75">
        <v>9</v>
      </c>
      <c r="E175" s="76">
        <f t="shared" si="13"/>
        <v>55304</v>
      </c>
      <c r="F175" s="1194">
        <f t="shared" si="11"/>
        <v>4707</v>
      </c>
      <c r="G175" s="1194">
        <f t="shared" si="15"/>
        <v>4707</v>
      </c>
      <c r="H175" s="1194"/>
      <c r="I175" s="75">
        <v>9</v>
      </c>
      <c r="J175" s="76">
        <f t="shared" si="14"/>
        <v>56080</v>
      </c>
      <c r="K175" s="1194">
        <f t="shared" si="12"/>
        <v>4773</v>
      </c>
      <c r="L175" s="1194">
        <f t="shared" si="16"/>
        <v>4773</v>
      </c>
      <c r="M175" s="74"/>
    </row>
    <row r="176" spans="1:13" s="16" customFormat="1" x14ac:dyDescent="0.2">
      <c r="A176" s="2">
        <v>10</v>
      </c>
      <c r="B176" s="60"/>
      <c r="C176" s="2">
        <v>1295</v>
      </c>
      <c r="D176" s="75">
        <v>10</v>
      </c>
      <c r="E176" s="76">
        <f t="shared" si="13"/>
        <v>60011</v>
      </c>
      <c r="F176" s="1194">
        <f t="shared" si="11"/>
        <v>4707</v>
      </c>
      <c r="G176" s="1194">
        <f t="shared" si="15"/>
        <v>4707</v>
      </c>
      <c r="H176" s="1194"/>
      <c r="I176" s="75">
        <v>10</v>
      </c>
      <c r="J176" s="76">
        <f t="shared" si="14"/>
        <v>60853</v>
      </c>
      <c r="K176" s="1194">
        <f t="shared" si="12"/>
        <v>4773</v>
      </c>
      <c r="L176" s="1194">
        <f t="shared" si="16"/>
        <v>4773</v>
      </c>
      <c r="M176" s="74"/>
    </row>
    <row r="177" spans="1:13" s="16" customFormat="1" x14ac:dyDescent="0.2">
      <c r="A177" s="2">
        <v>11</v>
      </c>
      <c r="B177" s="60"/>
      <c r="C177" s="2">
        <v>1400</v>
      </c>
      <c r="D177" s="75">
        <v>11</v>
      </c>
      <c r="E177" s="76">
        <f t="shared" si="13"/>
        <v>64718</v>
      </c>
      <c r="F177" s="1194">
        <f t="shared" si="11"/>
        <v>4707</v>
      </c>
      <c r="G177" s="1194">
        <f t="shared" si="15"/>
        <v>4707</v>
      </c>
      <c r="H177" s="1194"/>
      <c r="I177" s="75">
        <v>11</v>
      </c>
      <c r="J177" s="76">
        <f t="shared" si="14"/>
        <v>65626</v>
      </c>
      <c r="K177" s="1194">
        <f t="shared" si="12"/>
        <v>4773</v>
      </c>
      <c r="L177" s="1194">
        <f t="shared" si="16"/>
        <v>4773</v>
      </c>
      <c r="M177" s="74"/>
    </row>
    <row r="178" spans="1:13" s="16" customFormat="1" x14ac:dyDescent="0.2">
      <c r="A178" s="2">
        <v>12</v>
      </c>
      <c r="B178" s="60"/>
      <c r="C178" s="2">
        <v>1505</v>
      </c>
      <c r="D178" s="75">
        <v>12</v>
      </c>
      <c r="E178" s="76">
        <f t="shared" si="13"/>
        <v>69425</v>
      </c>
      <c r="F178" s="1194">
        <f t="shared" si="11"/>
        <v>4707</v>
      </c>
      <c r="G178" s="1194">
        <f t="shared" si="15"/>
        <v>4707</v>
      </c>
      <c r="H178" s="1194"/>
      <c r="I178" s="75">
        <v>12</v>
      </c>
      <c r="J178" s="76">
        <f t="shared" si="14"/>
        <v>70399</v>
      </c>
      <c r="K178" s="1194">
        <f t="shared" si="12"/>
        <v>4773</v>
      </c>
      <c r="L178" s="1194">
        <f t="shared" si="16"/>
        <v>4773</v>
      </c>
      <c r="M178" s="74"/>
    </row>
    <row r="179" spans="1:13" s="16" customFormat="1" x14ac:dyDescent="0.2">
      <c r="A179" s="2">
        <v>13</v>
      </c>
      <c r="B179" s="60"/>
      <c r="C179" s="2">
        <v>1610</v>
      </c>
      <c r="D179" s="75">
        <v>13</v>
      </c>
      <c r="E179" s="76">
        <f t="shared" si="13"/>
        <v>74132</v>
      </c>
      <c r="F179" s="1194">
        <f t="shared" si="11"/>
        <v>4707</v>
      </c>
      <c r="G179" s="1194">
        <f t="shared" si="15"/>
        <v>4707</v>
      </c>
      <c r="H179" s="1194"/>
      <c r="I179" s="75">
        <v>13</v>
      </c>
      <c r="J179" s="76">
        <f t="shared" si="14"/>
        <v>75172</v>
      </c>
      <c r="K179" s="1194">
        <f t="shared" si="12"/>
        <v>4773</v>
      </c>
      <c r="L179" s="1194">
        <f t="shared" si="16"/>
        <v>4773</v>
      </c>
      <c r="M179" s="74"/>
    </row>
    <row r="180" spans="1:13" s="16" customFormat="1" x14ac:dyDescent="0.2">
      <c r="A180" s="2">
        <v>14</v>
      </c>
      <c r="B180" s="60"/>
      <c r="C180" s="2">
        <v>1755</v>
      </c>
      <c r="D180" s="75">
        <v>14</v>
      </c>
      <c r="E180" s="76">
        <f>+E179+G180+H180</f>
        <v>80632</v>
      </c>
      <c r="F180" s="1194">
        <f t="shared" si="11"/>
        <v>6500</v>
      </c>
      <c r="G180" s="1194">
        <f t="shared" si="15"/>
        <v>4707</v>
      </c>
      <c r="H180" s="1177">
        <v>1793</v>
      </c>
      <c r="I180" s="75">
        <v>14</v>
      </c>
      <c r="J180" s="76">
        <f>+J179+L180+M180</f>
        <v>81763</v>
      </c>
      <c r="K180" s="1194">
        <f t="shared" si="12"/>
        <v>6591</v>
      </c>
      <c r="L180" s="1194">
        <f t="shared" si="16"/>
        <v>4773</v>
      </c>
      <c r="M180" s="1177">
        <v>1818</v>
      </c>
    </row>
    <row r="181" spans="1:13" s="16" customFormat="1" x14ac:dyDescent="0.2">
      <c r="A181" s="2">
        <v>15</v>
      </c>
      <c r="B181" s="60"/>
      <c r="C181" s="2">
        <v>1860</v>
      </c>
      <c r="D181" s="75">
        <v>15</v>
      </c>
      <c r="E181" s="76">
        <f t="shared" ref="E181:E216" si="17">+E180+G181</f>
        <v>85339</v>
      </c>
      <c r="F181" s="1194">
        <f t="shared" si="11"/>
        <v>4707</v>
      </c>
      <c r="G181" s="1194">
        <f t="shared" si="15"/>
        <v>4707</v>
      </c>
      <c r="H181" s="1194"/>
      <c r="I181" s="75">
        <v>15</v>
      </c>
      <c r="J181" s="76">
        <f t="shared" ref="J181:J216" si="18">+J180+L181</f>
        <v>86536</v>
      </c>
      <c r="K181" s="1194">
        <f t="shared" si="12"/>
        <v>4773</v>
      </c>
      <c r="L181" s="1194">
        <f t="shared" si="16"/>
        <v>4773</v>
      </c>
      <c r="M181" s="74"/>
    </row>
    <row r="182" spans="1:13" s="16" customFormat="1" x14ac:dyDescent="0.2">
      <c r="A182" s="2">
        <v>16</v>
      </c>
      <c r="B182" s="60"/>
      <c r="C182" s="2">
        <v>1965</v>
      </c>
      <c r="D182" s="75">
        <v>16</v>
      </c>
      <c r="E182" s="76">
        <f t="shared" si="17"/>
        <v>90046</v>
      </c>
      <c r="F182" s="1194">
        <f t="shared" si="11"/>
        <v>4707</v>
      </c>
      <c r="G182" s="1194">
        <f t="shared" si="15"/>
        <v>4707</v>
      </c>
      <c r="H182" s="1194"/>
      <c r="I182" s="75">
        <v>16</v>
      </c>
      <c r="J182" s="76">
        <f t="shared" si="18"/>
        <v>91309</v>
      </c>
      <c r="K182" s="1194">
        <f t="shared" si="12"/>
        <v>4773</v>
      </c>
      <c r="L182" s="1194">
        <f t="shared" si="16"/>
        <v>4773</v>
      </c>
      <c r="M182" s="74"/>
    </row>
    <row r="183" spans="1:13" s="16" customFormat="1" x14ac:dyDescent="0.2">
      <c r="A183" s="2">
        <v>17</v>
      </c>
      <c r="B183" s="60"/>
      <c r="C183" s="2">
        <v>2070</v>
      </c>
      <c r="D183" s="75">
        <v>17</v>
      </c>
      <c r="E183" s="76">
        <f t="shared" si="17"/>
        <v>94753</v>
      </c>
      <c r="F183" s="1194">
        <f t="shared" si="11"/>
        <v>4707</v>
      </c>
      <c r="G183" s="1194">
        <f t="shared" si="15"/>
        <v>4707</v>
      </c>
      <c r="H183" s="1194"/>
      <c r="I183" s="75">
        <v>17</v>
      </c>
      <c r="J183" s="76">
        <f t="shared" si="18"/>
        <v>96082</v>
      </c>
      <c r="K183" s="1194">
        <f t="shared" si="12"/>
        <v>4773</v>
      </c>
      <c r="L183" s="1194">
        <f t="shared" si="16"/>
        <v>4773</v>
      </c>
      <c r="M183" s="74"/>
    </row>
    <row r="184" spans="1:13" s="16" customFormat="1" x14ac:dyDescent="0.2">
      <c r="A184" s="2">
        <v>18</v>
      </c>
      <c r="B184" s="60"/>
      <c r="C184" s="2">
        <v>2175</v>
      </c>
      <c r="D184" s="75">
        <v>18</v>
      </c>
      <c r="E184" s="76">
        <f t="shared" si="17"/>
        <v>99460</v>
      </c>
      <c r="F184" s="1194">
        <f t="shared" si="11"/>
        <v>4707</v>
      </c>
      <c r="G184" s="1194">
        <f t="shared" si="15"/>
        <v>4707</v>
      </c>
      <c r="H184" s="1194"/>
      <c r="I184" s="75">
        <v>18</v>
      </c>
      <c r="J184" s="76">
        <f t="shared" si="18"/>
        <v>100855</v>
      </c>
      <c r="K184" s="1194">
        <f t="shared" si="12"/>
        <v>4773</v>
      </c>
      <c r="L184" s="1194">
        <f t="shared" si="16"/>
        <v>4773</v>
      </c>
      <c r="M184" s="74"/>
    </row>
    <row r="185" spans="1:13" s="16" customFormat="1" x14ac:dyDescent="0.2">
      <c r="A185" s="2">
        <v>19</v>
      </c>
      <c r="B185" s="60"/>
      <c r="C185" s="2">
        <v>2280</v>
      </c>
      <c r="D185" s="75">
        <v>19</v>
      </c>
      <c r="E185" s="76">
        <f t="shared" si="17"/>
        <v>104167</v>
      </c>
      <c r="F185" s="1194">
        <f t="shared" si="11"/>
        <v>4707</v>
      </c>
      <c r="G185" s="1194">
        <f t="shared" si="15"/>
        <v>4707</v>
      </c>
      <c r="H185" s="1194"/>
      <c r="I185" s="75">
        <v>19</v>
      </c>
      <c r="J185" s="76">
        <f t="shared" si="18"/>
        <v>105628</v>
      </c>
      <c r="K185" s="1194">
        <f t="shared" si="12"/>
        <v>4773</v>
      </c>
      <c r="L185" s="1194">
        <f t="shared" si="16"/>
        <v>4773</v>
      </c>
      <c r="M185" s="74"/>
    </row>
    <row r="186" spans="1:13" s="16" customFormat="1" x14ac:dyDescent="0.2">
      <c r="A186" s="2">
        <v>20</v>
      </c>
      <c r="B186" s="60"/>
      <c r="C186" s="2">
        <v>2385</v>
      </c>
      <c r="D186" s="75">
        <v>20</v>
      </c>
      <c r="E186" s="76">
        <f t="shared" si="17"/>
        <v>108874</v>
      </c>
      <c r="F186" s="1194">
        <f t="shared" si="11"/>
        <v>4707</v>
      </c>
      <c r="G186" s="1194">
        <f t="shared" si="15"/>
        <v>4707</v>
      </c>
      <c r="H186" s="1194"/>
      <c r="I186" s="75">
        <v>20</v>
      </c>
      <c r="J186" s="76">
        <f t="shared" si="18"/>
        <v>110401</v>
      </c>
      <c r="K186" s="1194">
        <f t="shared" si="12"/>
        <v>4773</v>
      </c>
      <c r="L186" s="1194">
        <f t="shared" si="16"/>
        <v>4773</v>
      </c>
      <c r="M186" s="74"/>
    </row>
    <row r="187" spans="1:13" s="16" customFormat="1" x14ac:dyDescent="0.2">
      <c r="A187" s="2">
        <v>21</v>
      </c>
      <c r="B187" s="60"/>
      <c r="C187" s="2">
        <v>2490</v>
      </c>
      <c r="D187" s="75">
        <v>21</v>
      </c>
      <c r="E187" s="76">
        <f t="shared" si="17"/>
        <v>113581</v>
      </c>
      <c r="F187" s="1194">
        <f t="shared" si="11"/>
        <v>4707</v>
      </c>
      <c r="G187" s="1194">
        <f t="shared" si="15"/>
        <v>4707</v>
      </c>
      <c r="H187" s="1194"/>
      <c r="I187" s="75">
        <v>21</v>
      </c>
      <c r="J187" s="76">
        <f t="shared" si="18"/>
        <v>115174</v>
      </c>
      <c r="K187" s="1194">
        <f t="shared" si="12"/>
        <v>4773</v>
      </c>
      <c r="L187" s="1194">
        <f t="shared" si="16"/>
        <v>4773</v>
      </c>
      <c r="M187" s="74"/>
    </row>
    <row r="188" spans="1:13" s="16" customFormat="1" x14ac:dyDescent="0.2">
      <c r="A188" s="2">
        <v>22</v>
      </c>
      <c r="B188" s="60"/>
      <c r="C188" s="2">
        <v>2595</v>
      </c>
      <c r="D188" s="75">
        <v>22</v>
      </c>
      <c r="E188" s="76">
        <f t="shared" si="17"/>
        <v>118288</v>
      </c>
      <c r="F188" s="1194">
        <f t="shared" si="11"/>
        <v>4707</v>
      </c>
      <c r="G188" s="1194">
        <f t="shared" si="15"/>
        <v>4707</v>
      </c>
      <c r="H188" s="1194"/>
      <c r="I188" s="75">
        <v>22</v>
      </c>
      <c r="J188" s="76">
        <f t="shared" si="18"/>
        <v>119947</v>
      </c>
      <c r="K188" s="1194">
        <f t="shared" si="12"/>
        <v>4773</v>
      </c>
      <c r="L188" s="1194">
        <f t="shared" si="16"/>
        <v>4773</v>
      </c>
      <c r="M188" s="74"/>
    </row>
    <row r="189" spans="1:13" s="16" customFormat="1" x14ac:dyDescent="0.2">
      <c r="A189" s="2">
        <v>23</v>
      </c>
      <c r="B189" s="60"/>
      <c r="C189" s="2">
        <v>2700</v>
      </c>
      <c r="D189" s="75">
        <v>23</v>
      </c>
      <c r="E189" s="76">
        <f t="shared" si="17"/>
        <v>122995</v>
      </c>
      <c r="F189" s="1194">
        <f t="shared" si="11"/>
        <v>4707</v>
      </c>
      <c r="G189" s="1194">
        <f t="shared" si="15"/>
        <v>4707</v>
      </c>
      <c r="H189" s="1194"/>
      <c r="I189" s="75">
        <v>23</v>
      </c>
      <c r="J189" s="76">
        <f t="shared" si="18"/>
        <v>124720</v>
      </c>
      <c r="K189" s="1194">
        <f t="shared" si="12"/>
        <v>4773</v>
      </c>
      <c r="L189" s="1194">
        <f t="shared" si="16"/>
        <v>4773</v>
      </c>
      <c r="M189" s="74"/>
    </row>
    <row r="190" spans="1:13" s="16" customFormat="1" x14ac:dyDescent="0.2">
      <c r="A190" s="2">
        <v>24</v>
      </c>
      <c r="B190" s="60"/>
      <c r="C190" s="2">
        <v>2805</v>
      </c>
      <c r="D190" s="75">
        <v>24</v>
      </c>
      <c r="E190" s="76">
        <f t="shared" si="17"/>
        <v>127702</v>
      </c>
      <c r="F190" s="1194">
        <f t="shared" si="11"/>
        <v>4707</v>
      </c>
      <c r="G190" s="1194">
        <f t="shared" si="15"/>
        <v>4707</v>
      </c>
      <c r="H190" s="1194"/>
      <c r="I190" s="75">
        <v>24</v>
      </c>
      <c r="J190" s="76">
        <f t="shared" si="18"/>
        <v>129493</v>
      </c>
      <c r="K190" s="1194">
        <f t="shared" si="12"/>
        <v>4773</v>
      </c>
      <c r="L190" s="1194">
        <f t="shared" si="16"/>
        <v>4773</v>
      </c>
      <c r="M190" s="74"/>
    </row>
    <row r="191" spans="1:13" s="16" customFormat="1" x14ac:dyDescent="0.2">
      <c r="A191" s="2">
        <v>25</v>
      </c>
      <c r="B191" s="60"/>
      <c r="C191" s="2">
        <v>2910</v>
      </c>
      <c r="D191" s="75">
        <v>25</v>
      </c>
      <c r="E191" s="76">
        <f t="shared" si="17"/>
        <v>132409</v>
      </c>
      <c r="F191" s="1194">
        <f t="shared" si="11"/>
        <v>4707</v>
      </c>
      <c r="G191" s="1194">
        <f t="shared" si="15"/>
        <v>4707</v>
      </c>
      <c r="H191" s="1194"/>
      <c r="I191" s="75">
        <v>25</v>
      </c>
      <c r="J191" s="76">
        <f t="shared" si="18"/>
        <v>134266</v>
      </c>
      <c r="K191" s="1194">
        <f t="shared" si="12"/>
        <v>4773</v>
      </c>
      <c r="L191" s="1194">
        <f t="shared" si="16"/>
        <v>4773</v>
      </c>
      <c r="M191" s="74"/>
    </row>
    <row r="192" spans="1:13" s="16" customFormat="1" x14ac:dyDescent="0.2">
      <c r="A192" s="2">
        <v>26</v>
      </c>
      <c r="B192" s="60"/>
      <c r="C192" s="2">
        <v>3015</v>
      </c>
      <c r="D192" s="75">
        <v>26</v>
      </c>
      <c r="E192" s="76">
        <f t="shared" si="17"/>
        <v>137116</v>
      </c>
      <c r="F192" s="1194">
        <f t="shared" si="11"/>
        <v>4707</v>
      </c>
      <c r="G192" s="1194">
        <f t="shared" si="15"/>
        <v>4707</v>
      </c>
      <c r="H192" s="1194"/>
      <c r="I192" s="75">
        <v>26</v>
      </c>
      <c r="J192" s="76">
        <f t="shared" si="18"/>
        <v>139039</v>
      </c>
      <c r="K192" s="1194">
        <f t="shared" si="12"/>
        <v>4773</v>
      </c>
      <c r="L192" s="1194">
        <f t="shared" si="16"/>
        <v>4773</v>
      </c>
      <c r="M192" s="74"/>
    </row>
    <row r="193" spans="1:13" s="16" customFormat="1" x14ac:dyDescent="0.2">
      <c r="A193" s="2">
        <v>27</v>
      </c>
      <c r="B193" s="60"/>
      <c r="C193" s="2">
        <v>3120</v>
      </c>
      <c r="D193" s="75">
        <v>27</v>
      </c>
      <c r="E193" s="76">
        <f t="shared" si="17"/>
        <v>141823</v>
      </c>
      <c r="F193" s="1194">
        <f t="shared" si="11"/>
        <v>4707</v>
      </c>
      <c r="G193" s="1194">
        <f t="shared" si="15"/>
        <v>4707</v>
      </c>
      <c r="H193" s="1194"/>
      <c r="I193" s="75">
        <v>27</v>
      </c>
      <c r="J193" s="76">
        <f t="shared" si="18"/>
        <v>143812</v>
      </c>
      <c r="K193" s="1194">
        <f t="shared" si="12"/>
        <v>4773</v>
      </c>
      <c r="L193" s="1194">
        <f t="shared" si="16"/>
        <v>4773</v>
      </c>
      <c r="M193" s="74"/>
    </row>
    <row r="194" spans="1:13" s="16" customFormat="1" x14ac:dyDescent="0.2">
      <c r="A194" s="2">
        <v>28</v>
      </c>
      <c r="B194" s="60"/>
      <c r="C194" s="2">
        <v>3225</v>
      </c>
      <c r="D194" s="75">
        <v>28</v>
      </c>
      <c r="E194" s="76">
        <f t="shared" si="17"/>
        <v>146530</v>
      </c>
      <c r="F194" s="1194">
        <f t="shared" si="11"/>
        <v>4707</v>
      </c>
      <c r="G194" s="1194">
        <f t="shared" si="15"/>
        <v>4707</v>
      </c>
      <c r="H194" s="1194"/>
      <c r="I194" s="75">
        <v>28</v>
      </c>
      <c r="J194" s="76">
        <f t="shared" si="18"/>
        <v>148585</v>
      </c>
      <c r="K194" s="1194">
        <f t="shared" si="12"/>
        <v>4773</v>
      </c>
      <c r="L194" s="1194">
        <f t="shared" si="16"/>
        <v>4773</v>
      </c>
      <c r="M194" s="74"/>
    </row>
    <row r="195" spans="1:13" s="16" customFormat="1" x14ac:dyDescent="0.2">
      <c r="A195" s="2">
        <v>29</v>
      </c>
      <c r="B195" s="60"/>
      <c r="C195" s="2">
        <v>3330</v>
      </c>
      <c r="D195" s="75">
        <v>29</v>
      </c>
      <c r="E195" s="76">
        <f t="shared" si="17"/>
        <v>151237</v>
      </c>
      <c r="F195" s="1194">
        <f t="shared" si="11"/>
        <v>4707</v>
      </c>
      <c r="G195" s="1194">
        <f t="shared" si="15"/>
        <v>4707</v>
      </c>
      <c r="H195" s="1194"/>
      <c r="I195" s="75">
        <v>29</v>
      </c>
      <c r="J195" s="76">
        <f t="shared" si="18"/>
        <v>153358</v>
      </c>
      <c r="K195" s="1194">
        <f t="shared" si="12"/>
        <v>4773</v>
      </c>
      <c r="L195" s="1194">
        <f t="shared" si="16"/>
        <v>4773</v>
      </c>
      <c r="M195" s="74"/>
    </row>
    <row r="196" spans="1:13" s="16" customFormat="1" x14ac:dyDescent="0.2">
      <c r="A196" s="2">
        <v>30</v>
      </c>
      <c r="B196" s="60"/>
      <c r="C196" s="2">
        <v>3435</v>
      </c>
      <c r="D196" s="75">
        <v>30</v>
      </c>
      <c r="E196" s="76">
        <f t="shared" si="17"/>
        <v>155944</v>
      </c>
      <c r="F196" s="1194">
        <f t="shared" si="11"/>
        <v>4707</v>
      </c>
      <c r="G196" s="1194">
        <f t="shared" si="15"/>
        <v>4707</v>
      </c>
      <c r="H196" s="1194"/>
      <c r="I196" s="75">
        <v>30</v>
      </c>
      <c r="J196" s="76">
        <f t="shared" si="18"/>
        <v>158131</v>
      </c>
      <c r="K196" s="1194">
        <f t="shared" si="12"/>
        <v>4773</v>
      </c>
      <c r="L196" s="1194">
        <f t="shared" si="16"/>
        <v>4773</v>
      </c>
      <c r="M196" s="74"/>
    </row>
    <row r="197" spans="1:13" s="16" customFormat="1" x14ac:dyDescent="0.2">
      <c r="A197" s="2">
        <v>31</v>
      </c>
      <c r="B197" s="60"/>
      <c r="C197" s="2">
        <v>3540</v>
      </c>
      <c r="D197" s="75">
        <v>31</v>
      </c>
      <c r="E197" s="76">
        <f t="shared" si="17"/>
        <v>160651</v>
      </c>
      <c r="F197" s="1194">
        <f t="shared" si="11"/>
        <v>4707</v>
      </c>
      <c r="G197" s="1194">
        <f t="shared" si="15"/>
        <v>4707</v>
      </c>
      <c r="H197" s="1194"/>
      <c r="I197" s="75">
        <v>31</v>
      </c>
      <c r="J197" s="76">
        <f t="shared" si="18"/>
        <v>162904</v>
      </c>
      <c r="K197" s="1194">
        <f t="shared" si="12"/>
        <v>4773</v>
      </c>
      <c r="L197" s="1194">
        <f t="shared" si="16"/>
        <v>4773</v>
      </c>
      <c r="M197" s="74"/>
    </row>
    <row r="198" spans="1:13" s="16" customFormat="1" x14ac:dyDescent="0.2">
      <c r="A198" s="2">
        <v>32</v>
      </c>
      <c r="B198" s="60"/>
      <c r="C198" s="2">
        <v>3645</v>
      </c>
      <c r="D198" s="75">
        <v>32</v>
      </c>
      <c r="E198" s="76">
        <f t="shared" si="17"/>
        <v>165358</v>
      </c>
      <c r="F198" s="1194">
        <f t="shared" si="11"/>
        <v>4707</v>
      </c>
      <c r="G198" s="1194">
        <f t="shared" si="15"/>
        <v>4707</v>
      </c>
      <c r="H198" s="1194"/>
      <c r="I198" s="75">
        <v>32</v>
      </c>
      <c r="J198" s="76">
        <f t="shared" si="18"/>
        <v>167677</v>
      </c>
      <c r="K198" s="1194">
        <f t="shared" si="12"/>
        <v>4773</v>
      </c>
      <c r="L198" s="1194">
        <f t="shared" si="16"/>
        <v>4773</v>
      </c>
      <c r="M198" s="74"/>
    </row>
    <row r="199" spans="1:13" s="16" customFormat="1" x14ac:dyDescent="0.2">
      <c r="A199" s="2">
        <v>33</v>
      </c>
      <c r="B199" s="60"/>
      <c r="C199" s="2">
        <v>3750</v>
      </c>
      <c r="D199" s="75">
        <v>33</v>
      </c>
      <c r="E199" s="76">
        <f t="shared" si="17"/>
        <v>170065</v>
      </c>
      <c r="F199" s="1194">
        <f t="shared" si="11"/>
        <v>4707</v>
      </c>
      <c r="G199" s="1194">
        <f t="shared" si="15"/>
        <v>4707</v>
      </c>
      <c r="H199" s="1194"/>
      <c r="I199" s="75">
        <v>33</v>
      </c>
      <c r="J199" s="76">
        <f t="shared" si="18"/>
        <v>172450</v>
      </c>
      <c r="K199" s="1194">
        <f t="shared" si="12"/>
        <v>4773</v>
      </c>
      <c r="L199" s="1194">
        <f t="shared" si="16"/>
        <v>4773</v>
      </c>
      <c r="M199" s="74"/>
    </row>
    <row r="200" spans="1:13" s="16" customFormat="1" x14ac:dyDescent="0.2">
      <c r="A200" s="2">
        <v>34</v>
      </c>
      <c r="B200" s="60"/>
      <c r="C200" s="2">
        <v>3855</v>
      </c>
      <c r="D200" s="75">
        <v>34</v>
      </c>
      <c r="E200" s="76">
        <f t="shared" si="17"/>
        <v>174772</v>
      </c>
      <c r="F200" s="1194">
        <f t="shared" si="11"/>
        <v>4707</v>
      </c>
      <c r="G200" s="1194">
        <f t="shared" si="15"/>
        <v>4707</v>
      </c>
      <c r="H200" s="1194"/>
      <c r="I200" s="75">
        <v>34</v>
      </c>
      <c r="J200" s="76">
        <f t="shared" si="18"/>
        <v>177223</v>
      </c>
      <c r="K200" s="1194">
        <f t="shared" si="12"/>
        <v>4773</v>
      </c>
      <c r="L200" s="1194">
        <f t="shared" si="16"/>
        <v>4773</v>
      </c>
      <c r="M200" s="74"/>
    </row>
    <row r="201" spans="1:13" s="16" customFormat="1" x14ac:dyDescent="0.2">
      <c r="A201" s="2">
        <v>35</v>
      </c>
      <c r="B201" s="60"/>
      <c r="C201" s="2">
        <f t="shared" ref="C201:C216" si="19">+C200+105</f>
        <v>3960</v>
      </c>
      <c r="D201" s="75">
        <v>35</v>
      </c>
      <c r="E201" s="76">
        <f t="shared" si="17"/>
        <v>179479</v>
      </c>
      <c r="F201" s="1194">
        <f t="shared" si="11"/>
        <v>4707</v>
      </c>
      <c r="G201" s="1194">
        <f t="shared" si="15"/>
        <v>4707</v>
      </c>
      <c r="H201" s="1194"/>
      <c r="I201" s="75">
        <v>35</v>
      </c>
      <c r="J201" s="76">
        <f t="shared" si="18"/>
        <v>181996</v>
      </c>
      <c r="K201" s="1194">
        <f t="shared" si="12"/>
        <v>4773</v>
      </c>
      <c r="L201" s="1194">
        <f t="shared" si="16"/>
        <v>4773</v>
      </c>
      <c r="M201" s="74"/>
    </row>
    <row r="202" spans="1:13" s="16" customFormat="1" x14ac:dyDescent="0.2">
      <c r="A202" s="2">
        <v>36</v>
      </c>
      <c r="B202" s="60"/>
      <c r="C202" s="2">
        <f t="shared" si="19"/>
        <v>4065</v>
      </c>
      <c r="D202" s="75">
        <v>36</v>
      </c>
      <c r="E202" s="76">
        <f t="shared" si="17"/>
        <v>184186</v>
      </c>
      <c r="F202" s="1194">
        <f t="shared" si="11"/>
        <v>4707</v>
      </c>
      <c r="G202" s="1194">
        <f t="shared" si="15"/>
        <v>4707</v>
      </c>
      <c r="H202" s="1194"/>
      <c r="I202" s="75">
        <v>36</v>
      </c>
      <c r="J202" s="76">
        <f t="shared" si="18"/>
        <v>186769</v>
      </c>
      <c r="K202" s="1194">
        <f t="shared" si="12"/>
        <v>4773</v>
      </c>
      <c r="L202" s="1194">
        <f t="shared" si="16"/>
        <v>4773</v>
      </c>
      <c r="M202" s="74"/>
    </row>
    <row r="203" spans="1:13" s="16" customFormat="1" x14ac:dyDescent="0.2">
      <c r="A203" s="2">
        <v>37</v>
      </c>
      <c r="B203" s="60"/>
      <c r="C203" s="2">
        <f t="shared" si="19"/>
        <v>4170</v>
      </c>
      <c r="D203" s="75">
        <v>37</v>
      </c>
      <c r="E203" s="76">
        <f t="shared" si="17"/>
        <v>188893</v>
      </c>
      <c r="F203" s="1194">
        <f t="shared" si="11"/>
        <v>4707</v>
      </c>
      <c r="G203" s="1194">
        <f t="shared" si="15"/>
        <v>4707</v>
      </c>
      <c r="H203" s="1194"/>
      <c r="I203" s="75">
        <v>37</v>
      </c>
      <c r="J203" s="76">
        <f t="shared" si="18"/>
        <v>191542</v>
      </c>
      <c r="K203" s="1194">
        <f t="shared" si="12"/>
        <v>4773</v>
      </c>
      <c r="L203" s="1194">
        <f t="shared" si="16"/>
        <v>4773</v>
      </c>
      <c r="M203" s="74"/>
    </row>
    <row r="204" spans="1:13" s="16" customFormat="1" x14ac:dyDescent="0.2">
      <c r="A204" s="2">
        <v>38</v>
      </c>
      <c r="B204" s="60"/>
      <c r="C204" s="2">
        <f t="shared" si="19"/>
        <v>4275</v>
      </c>
      <c r="D204" s="75">
        <v>38</v>
      </c>
      <c r="E204" s="76">
        <f t="shared" si="17"/>
        <v>193600</v>
      </c>
      <c r="F204" s="1194">
        <f t="shared" si="11"/>
        <v>4707</v>
      </c>
      <c r="G204" s="1194">
        <f t="shared" si="15"/>
        <v>4707</v>
      </c>
      <c r="H204" s="1194"/>
      <c r="I204" s="75">
        <v>38</v>
      </c>
      <c r="J204" s="76">
        <f t="shared" si="18"/>
        <v>196315</v>
      </c>
      <c r="K204" s="1194">
        <f t="shared" si="12"/>
        <v>4773</v>
      </c>
      <c r="L204" s="1194">
        <f t="shared" si="16"/>
        <v>4773</v>
      </c>
      <c r="M204" s="74"/>
    </row>
    <row r="205" spans="1:13" s="16" customFormat="1" x14ac:dyDescent="0.2">
      <c r="A205" s="2">
        <v>39</v>
      </c>
      <c r="B205" s="60"/>
      <c r="C205" s="2">
        <f t="shared" si="19"/>
        <v>4380</v>
      </c>
      <c r="D205" s="75">
        <v>39</v>
      </c>
      <c r="E205" s="76">
        <f t="shared" si="17"/>
        <v>198307</v>
      </c>
      <c r="F205" s="1194">
        <f t="shared" si="11"/>
        <v>4707</v>
      </c>
      <c r="G205" s="1194">
        <f t="shared" si="15"/>
        <v>4707</v>
      </c>
      <c r="H205" s="1194"/>
      <c r="I205" s="75">
        <v>39</v>
      </c>
      <c r="J205" s="76">
        <f t="shared" si="18"/>
        <v>201088</v>
      </c>
      <c r="K205" s="1194">
        <f t="shared" si="12"/>
        <v>4773</v>
      </c>
      <c r="L205" s="1194">
        <f t="shared" si="16"/>
        <v>4773</v>
      </c>
      <c r="M205" s="74"/>
    </row>
    <row r="206" spans="1:13" s="16" customFormat="1" x14ac:dyDescent="0.2">
      <c r="A206" s="2">
        <v>40</v>
      </c>
      <c r="B206" s="60"/>
      <c r="C206" s="2">
        <f t="shared" si="19"/>
        <v>4485</v>
      </c>
      <c r="D206" s="75">
        <v>40</v>
      </c>
      <c r="E206" s="76">
        <f t="shared" si="17"/>
        <v>203014</v>
      </c>
      <c r="F206" s="1194">
        <f t="shared" si="11"/>
        <v>4707</v>
      </c>
      <c r="G206" s="1194">
        <f t="shared" si="15"/>
        <v>4707</v>
      </c>
      <c r="H206" s="1194"/>
      <c r="I206" s="75">
        <v>40</v>
      </c>
      <c r="J206" s="76">
        <f t="shared" si="18"/>
        <v>205861</v>
      </c>
      <c r="K206" s="1194">
        <f t="shared" si="12"/>
        <v>4773</v>
      </c>
      <c r="L206" s="1194">
        <f t="shared" si="16"/>
        <v>4773</v>
      </c>
      <c r="M206" s="74"/>
    </row>
    <row r="207" spans="1:13" s="16" customFormat="1" x14ac:dyDescent="0.2">
      <c r="A207" s="2">
        <v>41</v>
      </c>
      <c r="B207" s="60"/>
      <c r="C207" s="2">
        <f t="shared" si="19"/>
        <v>4590</v>
      </c>
      <c r="D207" s="75">
        <v>41</v>
      </c>
      <c r="E207" s="76">
        <f t="shared" si="17"/>
        <v>207721</v>
      </c>
      <c r="F207" s="1194">
        <f t="shared" si="11"/>
        <v>4707</v>
      </c>
      <c r="G207" s="1194">
        <f t="shared" si="15"/>
        <v>4707</v>
      </c>
      <c r="H207" s="1194"/>
      <c r="I207" s="75">
        <v>41</v>
      </c>
      <c r="J207" s="76">
        <f t="shared" si="18"/>
        <v>210634</v>
      </c>
      <c r="K207" s="1194">
        <f t="shared" si="12"/>
        <v>4773</v>
      </c>
      <c r="L207" s="1194">
        <f t="shared" si="16"/>
        <v>4773</v>
      </c>
      <c r="M207" s="74"/>
    </row>
    <row r="208" spans="1:13" s="16" customFormat="1" x14ac:dyDescent="0.2">
      <c r="A208" s="2">
        <v>42</v>
      </c>
      <c r="B208" s="60"/>
      <c r="C208" s="2">
        <f t="shared" si="19"/>
        <v>4695</v>
      </c>
      <c r="D208" s="75">
        <v>42</v>
      </c>
      <c r="E208" s="76">
        <f t="shared" si="17"/>
        <v>212428</v>
      </c>
      <c r="F208" s="1194">
        <f t="shared" si="11"/>
        <v>4707</v>
      </c>
      <c r="G208" s="1194">
        <f t="shared" si="15"/>
        <v>4707</v>
      </c>
      <c r="H208" s="1194"/>
      <c r="I208" s="75">
        <v>42</v>
      </c>
      <c r="J208" s="76">
        <f t="shared" si="18"/>
        <v>215407</v>
      </c>
      <c r="K208" s="1194">
        <f t="shared" si="12"/>
        <v>4773</v>
      </c>
      <c r="L208" s="1194">
        <f t="shared" si="16"/>
        <v>4773</v>
      </c>
      <c r="M208" s="74"/>
    </row>
    <row r="209" spans="1:13" s="16" customFormat="1" x14ac:dyDescent="0.2">
      <c r="A209" s="2">
        <v>43</v>
      </c>
      <c r="B209" s="60"/>
      <c r="C209" s="2">
        <f t="shared" si="19"/>
        <v>4800</v>
      </c>
      <c r="D209" s="75">
        <v>43</v>
      </c>
      <c r="E209" s="76">
        <f t="shared" si="17"/>
        <v>217135</v>
      </c>
      <c r="F209" s="1194">
        <f t="shared" si="11"/>
        <v>4707</v>
      </c>
      <c r="G209" s="1194">
        <f t="shared" si="15"/>
        <v>4707</v>
      </c>
      <c r="H209" s="1194"/>
      <c r="I209" s="75">
        <v>43</v>
      </c>
      <c r="J209" s="76">
        <f t="shared" si="18"/>
        <v>220180</v>
      </c>
      <c r="K209" s="1194">
        <f t="shared" si="12"/>
        <v>4773</v>
      </c>
      <c r="L209" s="1194">
        <f t="shared" si="16"/>
        <v>4773</v>
      </c>
      <c r="M209" s="74"/>
    </row>
    <row r="210" spans="1:13" s="16" customFormat="1" x14ac:dyDescent="0.2">
      <c r="A210" s="2">
        <v>44</v>
      </c>
      <c r="B210" s="60"/>
      <c r="C210" s="2">
        <f t="shared" si="19"/>
        <v>4905</v>
      </c>
      <c r="D210" s="75">
        <v>44</v>
      </c>
      <c r="E210" s="76">
        <f t="shared" si="17"/>
        <v>221842</v>
      </c>
      <c r="F210" s="1194">
        <f t="shared" si="11"/>
        <v>4707</v>
      </c>
      <c r="G210" s="1194">
        <f t="shared" si="15"/>
        <v>4707</v>
      </c>
      <c r="H210" s="1194"/>
      <c r="I210" s="75">
        <v>44</v>
      </c>
      <c r="J210" s="76">
        <f t="shared" si="18"/>
        <v>224953</v>
      </c>
      <c r="K210" s="1194">
        <f t="shared" si="12"/>
        <v>4773</v>
      </c>
      <c r="L210" s="1194">
        <f t="shared" si="16"/>
        <v>4773</v>
      </c>
      <c r="M210" s="74"/>
    </row>
    <row r="211" spans="1:13" s="16" customFormat="1" x14ac:dyDescent="0.2">
      <c r="A211" s="2">
        <v>45</v>
      </c>
      <c r="B211" s="60"/>
      <c r="C211" s="2">
        <f t="shared" si="19"/>
        <v>5010</v>
      </c>
      <c r="D211" s="75">
        <v>45</v>
      </c>
      <c r="E211" s="76">
        <f t="shared" si="17"/>
        <v>226549</v>
      </c>
      <c r="F211" s="1194">
        <f t="shared" si="11"/>
        <v>4707</v>
      </c>
      <c r="G211" s="1194">
        <f t="shared" si="15"/>
        <v>4707</v>
      </c>
      <c r="H211" s="1194"/>
      <c r="I211" s="75">
        <v>45</v>
      </c>
      <c r="J211" s="76">
        <f t="shared" si="18"/>
        <v>229726</v>
      </c>
      <c r="K211" s="1194">
        <f t="shared" si="12"/>
        <v>4773</v>
      </c>
      <c r="L211" s="1194">
        <f t="shared" si="16"/>
        <v>4773</v>
      </c>
      <c r="M211" s="74"/>
    </row>
    <row r="212" spans="1:13" s="16" customFormat="1" x14ac:dyDescent="0.2">
      <c r="A212" s="2">
        <v>46</v>
      </c>
      <c r="B212" s="60"/>
      <c r="C212" s="2">
        <f t="shared" si="19"/>
        <v>5115</v>
      </c>
      <c r="D212" s="75">
        <v>46</v>
      </c>
      <c r="E212" s="76">
        <f t="shared" si="17"/>
        <v>231256</v>
      </c>
      <c r="F212" s="1194">
        <f t="shared" si="11"/>
        <v>4707</v>
      </c>
      <c r="G212" s="1194">
        <f t="shared" si="15"/>
        <v>4707</v>
      </c>
      <c r="H212" s="1194"/>
      <c r="I212" s="75">
        <v>46</v>
      </c>
      <c r="J212" s="76">
        <f t="shared" si="18"/>
        <v>234499</v>
      </c>
      <c r="K212" s="1194">
        <f t="shared" si="12"/>
        <v>4773</v>
      </c>
      <c r="L212" s="1194">
        <f t="shared" si="16"/>
        <v>4773</v>
      </c>
      <c r="M212" s="74"/>
    </row>
    <row r="213" spans="1:13" s="16" customFormat="1" x14ac:dyDescent="0.2">
      <c r="A213" s="2">
        <v>47</v>
      </c>
      <c r="B213" s="60"/>
      <c r="C213" s="2">
        <f t="shared" si="19"/>
        <v>5220</v>
      </c>
      <c r="D213" s="75">
        <v>47</v>
      </c>
      <c r="E213" s="76">
        <f t="shared" si="17"/>
        <v>235963</v>
      </c>
      <c r="F213" s="1194">
        <f t="shared" si="11"/>
        <v>4707</v>
      </c>
      <c r="G213" s="1194">
        <f t="shared" si="15"/>
        <v>4707</v>
      </c>
      <c r="H213" s="1194"/>
      <c r="I213" s="75">
        <v>47</v>
      </c>
      <c r="J213" s="76">
        <f t="shared" si="18"/>
        <v>239272</v>
      </c>
      <c r="K213" s="1194">
        <f t="shared" si="12"/>
        <v>4773</v>
      </c>
      <c r="L213" s="1194">
        <f t="shared" si="16"/>
        <v>4773</v>
      </c>
      <c r="M213" s="74"/>
    </row>
    <row r="214" spans="1:13" s="16" customFormat="1" x14ac:dyDescent="0.2">
      <c r="A214" s="2">
        <v>48</v>
      </c>
      <c r="B214" s="60"/>
      <c r="C214" s="2">
        <f t="shared" si="19"/>
        <v>5325</v>
      </c>
      <c r="D214" s="75">
        <v>48</v>
      </c>
      <c r="E214" s="76">
        <f t="shared" si="17"/>
        <v>240670</v>
      </c>
      <c r="F214" s="1194">
        <f t="shared" si="11"/>
        <v>4707</v>
      </c>
      <c r="G214" s="1194">
        <f t="shared" si="15"/>
        <v>4707</v>
      </c>
      <c r="H214" s="1194"/>
      <c r="I214" s="75">
        <v>48</v>
      </c>
      <c r="J214" s="76">
        <f t="shared" si="18"/>
        <v>244045</v>
      </c>
      <c r="K214" s="1194">
        <f t="shared" si="12"/>
        <v>4773</v>
      </c>
      <c r="L214" s="1194">
        <f t="shared" si="16"/>
        <v>4773</v>
      </c>
      <c r="M214" s="74"/>
    </row>
    <row r="215" spans="1:13" s="16" customFormat="1" x14ac:dyDescent="0.2">
      <c r="A215" s="2">
        <v>49</v>
      </c>
      <c r="B215" s="60"/>
      <c r="C215" s="2">
        <f t="shared" si="19"/>
        <v>5430</v>
      </c>
      <c r="D215" s="75">
        <v>49</v>
      </c>
      <c r="E215" s="76">
        <f t="shared" si="17"/>
        <v>245377</v>
      </c>
      <c r="F215" s="1194">
        <f t="shared" si="11"/>
        <v>4707</v>
      </c>
      <c r="G215" s="1194">
        <f t="shared" si="15"/>
        <v>4707</v>
      </c>
      <c r="H215" s="1194"/>
      <c r="I215" s="75">
        <v>49</v>
      </c>
      <c r="J215" s="76">
        <f t="shared" si="18"/>
        <v>248818</v>
      </c>
      <c r="K215" s="1194">
        <f t="shared" si="12"/>
        <v>4773</v>
      </c>
      <c r="L215" s="1194">
        <f t="shared" si="16"/>
        <v>4773</v>
      </c>
      <c r="M215" s="74"/>
    </row>
    <row r="216" spans="1:13" s="16" customFormat="1" x14ac:dyDescent="0.2">
      <c r="A216" s="2">
        <v>50</v>
      </c>
      <c r="B216" s="60"/>
      <c r="C216" s="2">
        <f t="shared" si="19"/>
        <v>5535</v>
      </c>
      <c r="D216" s="75">
        <v>50</v>
      </c>
      <c r="E216" s="76">
        <f t="shared" si="17"/>
        <v>250084</v>
      </c>
      <c r="F216" s="1194">
        <f t="shared" si="11"/>
        <v>4707</v>
      </c>
      <c r="G216" s="1194">
        <f t="shared" si="15"/>
        <v>4707</v>
      </c>
      <c r="H216" s="1194"/>
      <c r="I216" s="75">
        <v>50</v>
      </c>
      <c r="J216" s="76">
        <f t="shared" si="18"/>
        <v>253591</v>
      </c>
      <c r="K216" s="1194">
        <f t="shared" si="12"/>
        <v>4773</v>
      </c>
      <c r="L216" s="1194">
        <f t="shared" si="16"/>
        <v>4773</v>
      </c>
      <c r="M216" s="74"/>
    </row>
    <row r="217" spans="1:13" s="9" customFormat="1" x14ac:dyDescent="0.2">
      <c r="B217" s="10"/>
    </row>
    <row r="218" spans="1:13" s="1" customFormat="1" x14ac:dyDescent="0.2">
      <c r="A218" s="63" t="s">
        <v>203</v>
      </c>
      <c r="B218" s="64"/>
      <c r="C218" s="15" t="s">
        <v>357</v>
      </c>
    </row>
    <row r="219" spans="1:13" s="1" customFormat="1" x14ac:dyDescent="0.2">
      <c r="B219" s="64"/>
      <c r="C219" s="2">
        <v>999</v>
      </c>
    </row>
    <row r="220" spans="1:13" s="1" customFormat="1" x14ac:dyDescent="0.2">
      <c r="B220" s="64"/>
      <c r="C220" s="65">
        <v>1011</v>
      </c>
    </row>
    <row r="221" spans="1:13" s="1" customFormat="1" x14ac:dyDescent="0.2">
      <c r="B221" s="64"/>
      <c r="C221" s="65">
        <v>1012</v>
      </c>
    </row>
    <row r="222" spans="1:13" s="1" customFormat="1" x14ac:dyDescent="0.2">
      <c r="B222" s="64"/>
      <c r="C222" s="65">
        <v>1013</v>
      </c>
    </row>
    <row r="223" spans="1:13" s="1" customFormat="1" x14ac:dyDescent="0.2">
      <c r="B223" s="64"/>
      <c r="C223" s="65">
        <v>1014</v>
      </c>
    </row>
    <row r="224" spans="1:13" s="1" customFormat="1" x14ac:dyDescent="0.2">
      <c r="B224" s="64"/>
      <c r="C224" s="65">
        <v>1015</v>
      </c>
    </row>
    <row r="225" spans="2:3" s="1" customFormat="1" x14ac:dyDescent="0.2">
      <c r="B225" s="64"/>
      <c r="C225" s="65">
        <v>1016</v>
      </c>
    </row>
    <row r="226" spans="2:3" s="1" customFormat="1" x14ac:dyDescent="0.2">
      <c r="B226" s="64"/>
      <c r="C226" s="65">
        <v>1017</v>
      </c>
    </row>
    <row r="227" spans="2:3" s="1" customFormat="1" x14ac:dyDescent="0.2">
      <c r="B227" s="64"/>
      <c r="C227" s="65">
        <v>1018</v>
      </c>
    </row>
    <row r="228" spans="2:3" s="1" customFormat="1" x14ac:dyDescent="0.2">
      <c r="B228" s="64"/>
      <c r="C228" s="65">
        <v>1021</v>
      </c>
    </row>
    <row r="229" spans="2:3" s="1" customFormat="1" x14ac:dyDescent="0.2">
      <c r="B229" s="64"/>
      <c r="C229" s="65">
        <v>1022</v>
      </c>
    </row>
    <row r="230" spans="2:3" s="1" customFormat="1" x14ac:dyDescent="0.2">
      <c r="B230" s="64"/>
      <c r="C230" s="65">
        <v>1023</v>
      </c>
    </row>
    <row r="231" spans="2:3" s="1" customFormat="1" x14ac:dyDescent="0.2">
      <c r="B231" s="64"/>
      <c r="C231" s="65">
        <v>1024</v>
      </c>
    </row>
    <row r="232" spans="2:3" s="1" customFormat="1" x14ac:dyDescent="0.2">
      <c r="B232" s="64"/>
      <c r="C232" s="65">
        <v>1025</v>
      </c>
    </row>
    <row r="233" spans="2:3" s="1" customFormat="1" x14ac:dyDescent="0.2">
      <c r="B233" s="64"/>
      <c r="C233" s="65">
        <v>1031</v>
      </c>
    </row>
    <row r="234" spans="2:3" s="1" customFormat="1" x14ac:dyDescent="0.2">
      <c r="B234" s="64"/>
      <c r="C234" s="65">
        <v>1032</v>
      </c>
    </row>
    <row r="235" spans="2:3" s="1" customFormat="1" x14ac:dyDescent="0.2">
      <c r="B235" s="64"/>
      <c r="C235" s="65">
        <v>1033</v>
      </c>
    </row>
    <row r="236" spans="2:3" s="1" customFormat="1" x14ac:dyDescent="0.2">
      <c r="B236" s="64"/>
      <c r="C236" s="65">
        <v>1034</v>
      </c>
    </row>
    <row r="237" spans="2:3" s="1" customFormat="1" x14ac:dyDescent="0.2">
      <c r="B237" s="64"/>
      <c r="C237" s="65">
        <v>1051</v>
      </c>
    </row>
    <row r="238" spans="2:3" s="1" customFormat="1" x14ac:dyDescent="0.2">
      <c r="B238" s="64"/>
      <c r="C238" s="65">
        <v>1052</v>
      </c>
    </row>
    <row r="239" spans="2:3" s="1" customFormat="1" x14ac:dyDescent="0.2">
      <c r="B239" s="64"/>
      <c r="C239" s="65">
        <v>1053</v>
      </c>
    </row>
    <row r="240" spans="2:3" s="1" customFormat="1" x14ac:dyDescent="0.2">
      <c r="B240" s="64"/>
      <c r="C240" s="65">
        <v>1054</v>
      </c>
    </row>
    <row r="241" spans="2:3" s="1" customFormat="1" x14ac:dyDescent="0.2">
      <c r="B241" s="64"/>
      <c r="C241" s="65">
        <v>1055</v>
      </c>
    </row>
    <row r="242" spans="2:3" s="1" customFormat="1" x14ac:dyDescent="0.2">
      <c r="B242" s="64"/>
      <c r="C242" s="65">
        <v>1056</v>
      </c>
    </row>
    <row r="243" spans="2:3" s="1" customFormat="1" x14ac:dyDescent="0.2">
      <c r="B243" s="64"/>
      <c r="C243" s="65">
        <v>1057</v>
      </c>
    </row>
    <row r="244" spans="2:3" s="1" customFormat="1" x14ac:dyDescent="0.2">
      <c r="B244" s="64"/>
      <c r="C244" s="65">
        <v>1058</v>
      </c>
    </row>
    <row r="245" spans="2:3" s="1" customFormat="1" x14ac:dyDescent="0.2">
      <c r="B245" s="64"/>
      <c r="C245" s="65">
        <v>1059</v>
      </c>
    </row>
    <row r="246" spans="2:3" s="1" customFormat="1" x14ac:dyDescent="0.2">
      <c r="B246" s="64"/>
      <c r="C246" s="65">
        <v>1061</v>
      </c>
    </row>
    <row r="247" spans="2:3" s="1" customFormat="1" x14ac:dyDescent="0.2">
      <c r="B247" s="64"/>
      <c r="C247" s="65">
        <v>1062</v>
      </c>
    </row>
    <row r="248" spans="2:3" s="1" customFormat="1" x14ac:dyDescent="0.2">
      <c r="B248" s="64"/>
      <c r="C248" s="65">
        <v>1063</v>
      </c>
    </row>
    <row r="249" spans="2:3" s="1" customFormat="1" x14ac:dyDescent="0.2">
      <c r="B249" s="64"/>
      <c r="C249" s="65">
        <v>1064</v>
      </c>
    </row>
    <row r="250" spans="2:3" s="1" customFormat="1" x14ac:dyDescent="0.2">
      <c r="B250" s="64"/>
      <c r="C250" s="65">
        <v>1065</v>
      </c>
    </row>
    <row r="251" spans="2:3" s="1" customFormat="1" x14ac:dyDescent="0.2">
      <c r="B251" s="64"/>
      <c r="C251" s="65">
        <v>1067</v>
      </c>
    </row>
    <row r="252" spans="2:3" s="1" customFormat="1" x14ac:dyDescent="0.2">
      <c r="B252" s="64"/>
      <c r="C252" s="65">
        <v>1068</v>
      </c>
    </row>
    <row r="253" spans="2:3" s="1" customFormat="1" x14ac:dyDescent="0.2">
      <c r="B253" s="64"/>
      <c r="C253" s="65">
        <v>1069</v>
      </c>
    </row>
    <row r="254" spans="2:3" s="1" customFormat="1" x14ac:dyDescent="0.2">
      <c r="B254" s="64"/>
      <c r="C254" s="65">
        <v>1072</v>
      </c>
    </row>
    <row r="255" spans="2:3" s="1" customFormat="1" x14ac:dyDescent="0.2">
      <c r="B255" s="64"/>
      <c r="C255" s="65">
        <v>1073</v>
      </c>
    </row>
    <row r="256" spans="2:3" s="1" customFormat="1" x14ac:dyDescent="0.2">
      <c r="B256" s="64"/>
      <c r="C256" s="65">
        <v>1074</v>
      </c>
    </row>
    <row r="257" spans="2:3" s="1" customFormat="1" x14ac:dyDescent="0.2">
      <c r="B257" s="64"/>
      <c r="C257" s="65">
        <v>1075</v>
      </c>
    </row>
    <row r="258" spans="2:3" s="1" customFormat="1" x14ac:dyDescent="0.2">
      <c r="B258" s="64"/>
      <c r="C258" s="65">
        <v>1076</v>
      </c>
    </row>
    <row r="259" spans="2:3" s="1" customFormat="1" x14ac:dyDescent="0.2">
      <c r="B259" s="64"/>
      <c r="C259" s="65">
        <v>1078</v>
      </c>
    </row>
    <row r="260" spans="2:3" s="1" customFormat="1" x14ac:dyDescent="0.2">
      <c r="B260" s="64"/>
      <c r="C260" s="65">
        <v>1079</v>
      </c>
    </row>
    <row r="261" spans="2:3" s="1" customFormat="1" x14ac:dyDescent="0.2">
      <c r="B261" s="64"/>
      <c r="C261" s="65">
        <v>1087</v>
      </c>
    </row>
    <row r="262" spans="2:3" s="1" customFormat="1" x14ac:dyDescent="0.2">
      <c r="B262" s="64"/>
      <c r="C262" s="65">
        <v>1091</v>
      </c>
    </row>
    <row r="263" spans="2:3" s="1" customFormat="1" x14ac:dyDescent="0.2">
      <c r="B263" s="64"/>
      <c r="C263" s="65">
        <v>1092</v>
      </c>
    </row>
    <row r="264" spans="2:3" s="1" customFormat="1" x14ac:dyDescent="0.2">
      <c r="B264" s="64"/>
      <c r="C264" s="65">
        <v>1093</v>
      </c>
    </row>
    <row r="265" spans="2:3" s="1" customFormat="1" x14ac:dyDescent="0.2">
      <c r="B265" s="64"/>
      <c r="C265" s="65">
        <v>1094</v>
      </c>
    </row>
    <row r="266" spans="2:3" s="1" customFormat="1" x14ac:dyDescent="0.2">
      <c r="B266" s="64"/>
      <c r="C266" s="65">
        <v>1095</v>
      </c>
    </row>
    <row r="267" spans="2:3" s="1" customFormat="1" x14ac:dyDescent="0.2">
      <c r="B267" s="64"/>
      <c r="C267" s="65">
        <v>1097</v>
      </c>
    </row>
    <row r="268" spans="2:3" s="1" customFormat="1" x14ac:dyDescent="0.2">
      <c r="B268" s="64"/>
      <c r="C268" s="65">
        <v>1102</v>
      </c>
    </row>
    <row r="269" spans="2:3" s="1" customFormat="1" x14ac:dyDescent="0.2">
      <c r="B269" s="64"/>
      <c r="C269" s="65">
        <v>1103</v>
      </c>
    </row>
    <row r="270" spans="2:3" s="1" customFormat="1" x14ac:dyDescent="0.2">
      <c r="B270" s="64"/>
      <c r="C270" s="65">
        <v>1104</v>
      </c>
    </row>
    <row r="271" spans="2:3" s="1" customFormat="1" x14ac:dyDescent="0.2">
      <c r="B271" s="64"/>
      <c r="C271" s="65">
        <v>1106</v>
      </c>
    </row>
    <row r="272" spans="2:3" s="1" customFormat="1" x14ac:dyDescent="0.2">
      <c r="B272" s="64"/>
      <c r="C272" s="65">
        <v>1107</v>
      </c>
    </row>
    <row r="273" spans="2:3" s="1" customFormat="1" x14ac:dyDescent="0.2">
      <c r="B273" s="64"/>
      <c r="C273" s="65">
        <v>1112</v>
      </c>
    </row>
    <row r="274" spans="2:3" s="1" customFormat="1" x14ac:dyDescent="0.2">
      <c r="B274" s="64"/>
      <c r="C274" s="65">
        <v>1175</v>
      </c>
    </row>
    <row r="275" spans="2:3" s="1" customFormat="1" x14ac:dyDescent="0.2">
      <c r="B275" s="64"/>
      <c r="C275" s="65">
        <v>1212</v>
      </c>
    </row>
    <row r="276" spans="2:3" s="1" customFormat="1" x14ac:dyDescent="0.2">
      <c r="B276" s="64"/>
      <c r="C276" s="65">
        <v>1221</v>
      </c>
    </row>
    <row r="277" spans="2:3" s="1" customFormat="1" x14ac:dyDescent="0.2">
      <c r="B277" s="64"/>
      <c r="C277" s="65">
        <v>1222</v>
      </c>
    </row>
    <row r="278" spans="2:3" s="1" customFormat="1" x14ac:dyDescent="0.2">
      <c r="B278" s="64"/>
      <c r="C278" s="65">
        <v>1274</v>
      </c>
    </row>
    <row r="279" spans="2:3" s="1" customFormat="1" x14ac:dyDescent="0.2">
      <c r="B279" s="64"/>
      <c r="C279" s="65">
        <v>1275</v>
      </c>
    </row>
    <row r="280" spans="2:3" s="1" customFormat="1" x14ac:dyDescent="0.2">
      <c r="B280" s="64"/>
      <c r="C280" s="65">
        <v>1314</v>
      </c>
    </row>
    <row r="281" spans="2:3" s="1" customFormat="1" x14ac:dyDescent="0.2">
      <c r="B281" s="64"/>
      <c r="C281" s="65">
        <v>1324</v>
      </c>
    </row>
    <row r="282" spans="2:3" s="1" customFormat="1" x14ac:dyDescent="0.2">
      <c r="B282" s="64"/>
      <c r="C282" s="65">
        <v>1331</v>
      </c>
    </row>
    <row r="283" spans="2:3" s="1" customFormat="1" x14ac:dyDescent="0.2">
      <c r="B283" s="64"/>
      <c r="C283" s="65">
        <v>1333</v>
      </c>
    </row>
    <row r="284" spans="2:3" s="1" customFormat="1" x14ac:dyDescent="0.2">
      <c r="B284" s="64"/>
      <c r="C284" s="65">
        <v>1334</v>
      </c>
    </row>
    <row r="285" spans="2:3" s="1" customFormat="1" x14ac:dyDescent="0.2">
      <c r="B285" s="64"/>
      <c r="C285" s="65">
        <v>1349</v>
      </c>
    </row>
    <row r="286" spans="2:3" s="1" customFormat="1" x14ac:dyDescent="0.2">
      <c r="B286" s="64"/>
      <c r="C286" s="65">
        <v>1353</v>
      </c>
    </row>
    <row r="287" spans="2:3" s="1" customFormat="1" x14ac:dyDescent="0.2">
      <c r="B287" s="64"/>
      <c r="C287" s="65">
        <v>1354</v>
      </c>
    </row>
    <row r="288" spans="2:3" s="1" customFormat="1" x14ac:dyDescent="0.2">
      <c r="B288" s="64"/>
      <c r="C288" s="65">
        <v>1357</v>
      </c>
    </row>
    <row r="289" spans="2:3" s="1" customFormat="1" x14ac:dyDescent="0.2">
      <c r="B289" s="64"/>
      <c r="C289" s="65">
        <v>1438</v>
      </c>
    </row>
    <row r="290" spans="2:3" s="1" customFormat="1" x14ac:dyDescent="0.2">
      <c r="B290" s="64"/>
      <c r="C290" s="65">
        <v>1443</v>
      </c>
    </row>
    <row r="291" spans="2:3" s="1" customFormat="1" x14ac:dyDescent="0.2">
      <c r="B291" s="64"/>
      <c r="C291" s="65">
        <v>1446</v>
      </c>
    </row>
    <row r="292" spans="2:3" s="1" customFormat="1" x14ac:dyDescent="0.2">
      <c r="B292" s="64"/>
      <c r="C292" s="65">
        <v>1475</v>
      </c>
    </row>
    <row r="293" spans="2:3" s="1" customFormat="1" x14ac:dyDescent="0.2">
      <c r="B293" s="64"/>
      <c r="C293" s="65">
        <v>1487</v>
      </c>
    </row>
    <row r="294" spans="2:3" s="1" customFormat="1" x14ac:dyDescent="0.2">
      <c r="B294" s="64"/>
      <c r="C294" s="65">
        <v>1488</v>
      </c>
    </row>
    <row r="295" spans="2:3" s="1" customFormat="1" x14ac:dyDescent="0.2">
      <c r="B295" s="64"/>
      <c r="C295" s="65">
        <v>1502</v>
      </c>
    </row>
    <row r="296" spans="2:3" s="1" customFormat="1" x14ac:dyDescent="0.2">
      <c r="B296" s="64"/>
      <c r="C296" s="65">
        <v>1503</v>
      </c>
    </row>
    <row r="297" spans="2:3" s="1" customFormat="1" x14ac:dyDescent="0.2">
      <c r="B297" s="64"/>
      <c r="C297" s="65">
        <v>1504</v>
      </c>
    </row>
    <row r="298" spans="2:3" s="1" customFormat="1" x14ac:dyDescent="0.2">
      <c r="B298" s="64"/>
      <c r="C298" s="65">
        <v>1505</v>
      </c>
    </row>
    <row r="299" spans="2:3" s="1" customFormat="1" x14ac:dyDescent="0.2">
      <c r="B299" s="64"/>
      <c r="C299" s="65">
        <v>1508</v>
      </c>
    </row>
    <row r="300" spans="2:3" s="1" customFormat="1" x14ac:dyDescent="0.2">
      <c r="B300" s="64"/>
      <c r="C300" s="65">
        <v>1521</v>
      </c>
    </row>
    <row r="301" spans="2:3" s="1" customFormat="1" x14ac:dyDescent="0.2">
      <c r="B301" s="64"/>
      <c r="C301" s="65">
        <v>1525</v>
      </c>
    </row>
    <row r="302" spans="2:3" s="1" customFormat="1" x14ac:dyDescent="0.2">
      <c r="B302" s="64"/>
      <c r="C302" s="65">
        <v>1608</v>
      </c>
    </row>
    <row r="303" spans="2:3" s="1" customFormat="1" x14ac:dyDescent="0.2">
      <c r="B303" s="64"/>
      <c r="C303" s="65">
        <v>1622</v>
      </c>
    </row>
    <row r="304" spans="2:3" s="1" customFormat="1" x14ac:dyDescent="0.2">
      <c r="B304" s="64"/>
      <c r="C304" s="65">
        <v>1623</v>
      </c>
    </row>
    <row r="305" spans="2:3" s="1" customFormat="1" x14ac:dyDescent="0.2">
      <c r="B305" s="64"/>
      <c r="C305" s="65">
        <v>1624</v>
      </c>
    </row>
    <row r="306" spans="2:3" s="1" customFormat="1" x14ac:dyDescent="0.2">
      <c r="B306" s="64"/>
      <c r="C306" s="65">
        <v>1654</v>
      </c>
    </row>
    <row r="307" spans="2:3" s="1" customFormat="1" x14ac:dyDescent="0.2">
      <c r="B307" s="64"/>
      <c r="C307" s="65">
        <v>1655</v>
      </c>
    </row>
    <row r="308" spans="2:3" s="1" customFormat="1" x14ac:dyDescent="0.2">
      <c r="B308" s="64"/>
      <c r="C308" s="65">
        <v>1719</v>
      </c>
    </row>
    <row r="309" spans="2:3" s="1" customFormat="1" x14ac:dyDescent="0.2">
      <c r="B309" s="64"/>
      <c r="C309" s="65">
        <v>1753</v>
      </c>
    </row>
    <row r="310" spans="2:3" s="1" customFormat="1" x14ac:dyDescent="0.2">
      <c r="B310" s="64"/>
      <c r="C310" s="65">
        <v>1754</v>
      </c>
    </row>
    <row r="311" spans="2:3" s="1" customFormat="1" x14ac:dyDescent="0.2">
      <c r="B311" s="64"/>
      <c r="C311" s="65">
        <v>1773</v>
      </c>
    </row>
    <row r="312" spans="2:3" s="1" customFormat="1" x14ac:dyDescent="0.2">
      <c r="B312" s="64"/>
      <c r="C312" s="65">
        <v>1774</v>
      </c>
    </row>
    <row r="313" spans="2:3" s="1" customFormat="1" x14ac:dyDescent="0.2">
      <c r="B313" s="64"/>
      <c r="C313" s="65">
        <v>1781</v>
      </c>
    </row>
    <row r="314" spans="2:3" s="1" customFormat="1" x14ac:dyDescent="0.2">
      <c r="B314" s="64"/>
      <c r="C314" s="65">
        <v>1782</v>
      </c>
    </row>
    <row r="315" spans="2:3" s="1" customFormat="1" x14ac:dyDescent="0.2">
      <c r="B315" s="64"/>
      <c r="C315" s="65">
        <v>1783</v>
      </c>
    </row>
    <row r="316" spans="2:3" s="1" customFormat="1" x14ac:dyDescent="0.2">
      <c r="B316" s="64"/>
      <c r="C316" s="65">
        <v>1784</v>
      </c>
    </row>
    <row r="317" spans="2:3" s="1" customFormat="1" x14ac:dyDescent="0.2">
      <c r="B317" s="64"/>
      <c r="C317" s="65">
        <v>1792</v>
      </c>
    </row>
    <row r="318" spans="2:3" s="1" customFormat="1" x14ac:dyDescent="0.2">
      <c r="B318" s="64"/>
      <c r="C318" s="65">
        <v>1796</v>
      </c>
    </row>
    <row r="319" spans="2:3" s="1" customFormat="1" x14ac:dyDescent="0.2">
      <c r="B319" s="64"/>
      <c r="C319" s="65">
        <v>1812</v>
      </c>
    </row>
    <row r="320" spans="2:3" s="1" customFormat="1" x14ac:dyDescent="0.2">
      <c r="B320" s="64"/>
      <c r="C320" s="65">
        <v>1813</v>
      </c>
    </row>
    <row r="321" spans="2:3" s="1" customFormat="1" x14ac:dyDescent="0.2">
      <c r="B321" s="64"/>
      <c r="C321" s="65">
        <v>1821</v>
      </c>
    </row>
    <row r="322" spans="2:3" s="1" customFormat="1" x14ac:dyDescent="0.2">
      <c r="B322" s="64"/>
      <c r="C322" s="65">
        <v>1823</v>
      </c>
    </row>
    <row r="323" spans="2:3" s="1" customFormat="1" x14ac:dyDescent="0.2">
      <c r="B323" s="64"/>
      <c r="C323" s="65">
        <v>1825</v>
      </c>
    </row>
    <row r="324" spans="2:3" s="1" customFormat="1" x14ac:dyDescent="0.2">
      <c r="B324" s="64"/>
      <c r="C324" s="65">
        <v>1831</v>
      </c>
    </row>
    <row r="325" spans="2:3" s="1" customFormat="1" x14ac:dyDescent="0.2">
      <c r="B325" s="64"/>
      <c r="C325" s="65">
        <v>1946</v>
      </c>
    </row>
    <row r="326" spans="2:3" s="1" customFormat="1" x14ac:dyDescent="0.2">
      <c r="B326" s="64"/>
      <c r="C326" s="65">
        <v>1951</v>
      </c>
    </row>
    <row r="327" spans="2:3" s="1" customFormat="1" x14ac:dyDescent="0.2">
      <c r="B327" s="64"/>
      <c r="C327" s="65">
        <v>1962</v>
      </c>
    </row>
    <row r="328" spans="2:3" s="1" customFormat="1" x14ac:dyDescent="0.2">
      <c r="B328" s="64"/>
      <c r="C328" s="65">
        <v>1966</v>
      </c>
    </row>
    <row r="329" spans="2:3" s="1" customFormat="1" x14ac:dyDescent="0.2">
      <c r="B329" s="64"/>
      <c r="C329" s="65">
        <v>1972</v>
      </c>
    </row>
    <row r="330" spans="2:3" s="1" customFormat="1" x14ac:dyDescent="0.2">
      <c r="B330" s="64"/>
      <c r="C330" s="65">
        <v>1974</v>
      </c>
    </row>
    <row r="331" spans="2:3" s="1" customFormat="1" x14ac:dyDescent="0.2">
      <c r="B331" s="64"/>
      <c r="C331" s="65">
        <v>1975</v>
      </c>
    </row>
    <row r="332" spans="2:3" s="1" customFormat="1" x14ac:dyDescent="0.2">
      <c r="B332" s="64"/>
      <c r="C332" s="65">
        <v>1976</v>
      </c>
    </row>
    <row r="333" spans="2:3" s="1" customFormat="1" x14ac:dyDescent="0.2">
      <c r="B333" s="64"/>
      <c r="C333" s="65">
        <v>2011</v>
      </c>
    </row>
    <row r="334" spans="2:3" s="1" customFormat="1" x14ac:dyDescent="0.2">
      <c r="B334" s="64"/>
      <c r="C334" s="65">
        <v>2025</v>
      </c>
    </row>
    <row r="335" spans="2:3" s="1" customFormat="1" x14ac:dyDescent="0.2">
      <c r="B335" s="64"/>
      <c r="C335" s="65">
        <v>2031</v>
      </c>
    </row>
    <row r="336" spans="2:3" s="1" customFormat="1" x14ac:dyDescent="0.2">
      <c r="B336" s="64"/>
      <c r="C336" s="65">
        <v>2032</v>
      </c>
    </row>
    <row r="337" spans="2:3" s="1" customFormat="1" x14ac:dyDescent="0.2">
      <c r="B337" s="64"/>
      <c r="C337" s="65">
        <v>2033</v>
      </c>
    </row>
    <row r="338" spans="2:3" s="1" customFormat="1" x14ac:dyDescent="0.2">
      <c r="B338" s="64"/>
      <c r="C338" s="65">
        <v>2034</v>
      </c>
    </row>
    <row r="339" spans="2:3" s="1" customFormat="1" x14ac:dyDescent="0.2">
      <c r="B339" s="64"/>
      <c r="C339" s="65">
        <v>2035</v>
      </c>
    </row>
    <row r="340" spans="2:3" s="1" customFormat="1" x14ac:dyDescent="0.2">
      <c r="B340" s="64"/>
      <c r="C340" s="65">
        <v>2037</v>
      </c>
    </row>
    <row r="341" spans="2:3" s="1" customFormat="1" x14ac:dyDescent="0.2">
      <c r="B341" s="64"/>
      <c r="C341" s="65">
        <v>2041</v>
      </c>
    </row>
    <row r="342" spans="2:3" s="1" customFormat="1" x14ac:dyDescent="0.2">
      <c r="B342" s="64"/>
      <c r="C342" s="65">
        <v>2042</v>
      </c>
    </row>
    <row r="343" spans="2:3" s="1" customFormat="1" x14ac:dyDescent="0.2">
      <c r="B343" s="64"/>
      <c r="C343" s="65">
        <v>2159</v>
      </c>
    </row>
    <row r="344" spans="2:3" s="1" customFormat="1" x14ac:dyDescent="0.2">
      <c r="B344" s="64"/>
      <c r="C344" s="65">
        <v>2262</v>
      </c>
    </row>
    <row r="345" spans="2:3" s="1" customFormat="1" x14ac:dyDescent="0.2">
      <c r="B345" s="64"/>
      <c r="C345" s="65">
        <v>2263</v>
      </c>
    </row>
    <row r="346" spans="2:3" s="1" customFormat="1" x14ac:dyDescent="0.2">
      <c r="B346" s="64"/>
      <c r="C346" s="65">
        <v>2287</v>
      </c>
    </row>
    <row r="347" spans="2:3" s="1" customFormat="1" x14ac:dyDescent="0.2">
      <c r="B347" s="64"/>
      <c r="C347" s="65">
        <v>2289</v>
      </c>
    </row>
    <row r="348" spans="2:3" s="1" customFormat="1" x14ac:dyDescent="0.2">
      <c r="B348" s="64"/>
      <c r="C348" s="65">
        <v>2312</v>
      </c>
    </row>
    <row r="349" spans="2:3" s="1" customFormat="1" x14ac:dyDescent="0.2">
      <c r="B349" s="64"/>
      <c r="C349" s="65">
        <v>2315</v>
      </c>
    </row>
    <row r="350" spans="2:3" s="1" customFormat="1" x14ac:dyDescent="0.2">
      <c r="B350" s="64"/>
      <c r="C350" s="65">
        <v>2316</v>
      </c>
    </row>
    <row r="351" spans="2:3" s="1" customFormat="1" x14ac:dyDescent="0.2">
      <c r="B351" s="64"/>
      <c r="C351" s="65">
        <v>2321</v>
      </c>
    </row>
    <row r="352" spans="2:3" s="1" customFormat="1" x14ac:dyDescent="0.2">
      <c r="B352" s="64"/>
      <c r="C352" s="65">
        <v>2333</v>
      </c>
    </row>
    <row r="353" spans="2:3" s="1" customFormat="1" x14ac:dyDescent="0.2">
      <c r="B353" s="64"/>
      <c r="C353" s="65">
        <v>2362</v>
      </c>
    </row>
    <row r="354" spans="2:3" s="1" customFormat="1" x14ac:dyDescent="0.2">
      <c r="B354" s="64"/>
      <c r="C354" s="65">
        <v>2498</v>
      </c>
    </row>
    <row r="355" spans="2:3" s="1" customFormat="1" x14ac:dyDescent="0.2">
      <c r="B355" s="64"/>
      <c r="C355" s="65">
        <v>2511</v>
      </c>
    </row>
    <row r="356" spans="2:3" s="1" customFormat="1" x14ac:dyDescent="0.2">
      <c r="B356" s="64"/>
      <c r="C356" s="65">
        <v>2512</v>
      </c>
    </row>
    <row r="357" spans="2:3" s="1" customFormat="1" x14ac:dyDescent="0.2">
      <c r="B357" s="64"/>
      <c r="C357" s="65">
        <v>2513</v>
      </c>
    </row>
    <row r="358" spans="2:3" s="1" customFormat="1" x14ac:dyDescent="0.2">
      <c r="B358" s="64"/>
      <c r="C358" s="65">
        <v>2515</v>
      </c>
    </row>
    <row r="359" spans="2:3" s="1" customFormat="1" x14ac:dyDescent="0.2">
      <c r="B359" s="64"/>
      <c r="C359" s="65">
        <v>2516</v>
      </c>
    </row>
    <row r="360" spans="2:3" s="1" customFormat="1" x14ac:dyDescent="0.2">
      <c r="B360" s="64"/>
      <c r="C360" s="65">
        <v>2518</v>
      </c>
    </row>
    <row r="361" spans="2:3" s="1" customFormat="1" x14ac:dyDescent="0.2">
      <c r="B361" s="64"/>
      <c r="C361" s="65">
        <v>2521</v>
      </c>
    </row>
    <row r="362" spans="2:3" s="1" customFormat="1" x14ac:dyDescent="0.2">
      <c r="B362" s="64"/>
      <c r="C362" s="65">
        <v>2522</v>
      </c>
    </row>
    <row r="363" spans="2:3" s="1" customFormat="1" x14ac:dyDescent="0.2">
      <c r="B363" s="64"/>
      <c r="C363" s="65">
        <v>2523</v>
      </c>
    </row>
    <row r="364" spans="2:3" s="1" customFormat="1" x14ac:dyDescent="0.2">
      <c r="B364" s="64"/>
      <c r="C364" s="65">
        <v>2524</v>
      </c>
    </row>
    <row r="365" spans="2:3" s="1" customFormat="1" x14ac:dyDescent="0.2">
      <c r="B365" s="64"/>
      <c r="C365" s="65">
        <v>2525</v>
      </c>
    </row>
    <row r="366" spans="2:3" s="1" customFormat="1" x14ac:dyDescent="0.2">
      <c r="B366" s="64"/>
      <c r="C366" s="65">
        <v>2526</v>
      </c>
    </row>
    <row r="367" spans="2:3" s="1" customFormat="1" x14ac:dyDescent="0.2">
      <c r="B367" s="64"/>
      <c r="C367" s="65">
        <v>2531</v>
      </c>
    </row>
    <row r="368" spans="2:3" s="1" customFormat="1" x14ac:dyDescent="0.2">
      <c r="B368" s="64"/>
      <c r="C368" s="65">
        <v>2532</v>
      </c>
    </row>
    <row r="369" spans="2:3" s="1" customFormat="1" x14ac:dyDescent="0.2">
      <c r="B369" s="64"/>
      <c r="C369" s="65">
        <v>2533</v>
      </c>
    </row>
    <row r="370" spans="2:3" s="1" customFormat="1" x14ac:dyDescent="0.2">
      <c r="B370" s="64"/>
      <c r="C370" s="65">
        <v>2541</v>
      </c>
    </row>
    <row r="371" spans="2:3" s="1" customFormat="1" x14ac:dyDescent="0.2">
      <c r="B371" s="64"/>
      <c r="C371" s="65">
        <v>2542</v>
      </c>
    </row>
    <row r="372" spans="2:3" s="1" customFormat="1" x14ac:dyDescent="0.2">
      <c r="B372" s="64"/>
      <c r="C372" s="65">
        <v>2543</v>
      </c>
    </row>
    <row r="373" spans="2:3" s="1" customFormat="1" x14ac:dyDescent="0.2">
      <c r="B373" s="64"/>
      <c r="C373" s="65">
        <v>2544</v>
      </c>
    </row>
    <row r="374" spans="2:3" s="1" customFormat="1" x14ac:dyDescent="0.2">
      <c r="B374" s="64"/>
      <c r="C374" s="65">
        <v>2545</v>
      </c>
    </row>
    <row r="375" spans="2:3" s="1" customFormat="1" x14ac:dyDescent="0.2">
      <c r="B375" s="64"/>
      <c r="C375" s="65">
        <v>2551</v>
      </c>
    </row>
    <row r="376" spans="2:3" s="1" customFormat="1" x14ac:dyDescent="0.2">
      <c r="B376" s="64"/>
      <c r="C376" s="65">
        <v>2553</v>
      </c>
    </row>
    <row r="377" spans="2:3" s="1" customFormat="1" x14ac:dyDescent="0.2">
      <c r="B377" s="64"/>
      <c r="C377" s="65">
        <v>2561</v>
      </c>
    </row>
    <row r="378" spans="2:3" s="1" customFormat="1" x14ac:dyDescent="0.2">
      <c r="B378" s="64"/>
      <c r="C378" s="65">
        <v>2562</v>
      </c>
    </row>
    <row r="379" spans="2:3" s="1" customFormat="1" x14ac:dyDescent="0.2">
      <c r="B379" s="64"/>
      <c r="C379" s="65">
        <v>2563</v>
      </c>
    </row>
    <row r="380" spans="2:3" s="1" customFormat="1" x14ac:dyDescent="0.2">
      <c r="B380" s="64"/>
      <c r="C380" s="65">
        <v>2571</v>
      </c>
    </row>
    <row r="381" spans="2:3" s="1" customFormat="1" x14ac:dyDescent="0.2">
      <c r="B381" s="64"/>
      <c r="C381" s="65">
        <v>2572</v>
      </c>
    </row>
    <row r="382" spans="2:3" s="1" customFormat="1" x14ac:dyDescent="0.2">
      <c r="B382" s="64"/>
      <c r="C382" s="65">
        <v>2573</v>
      </c>
    </row>
    <row r="383" spans="2:3" s="1" customFormat="1" x14ac:dyDescent="0.2">
      <c r="B383" s="64"/>
      <c r="C383" s="65">
        <v>2574</v>
      </c>
    </row>
    <row r="384" spans="2:3" s="1" customFormat="1" x14ac:dyDescent="0.2">
      <c r="B384" s="64"/>
      <c r="C384" s="65">
        <v>2583</v>
      </c>
    </row>
    <row r="385" spans="2:3" s="1" customFormat="1" x14ac:dyDescent="0.2">
      <c r="B385" s="64"/>
      <c r="C385" s="65">
        <v>2584</v>
      </c>
    </row>
    <row r="386" spans="2:3" s="1" customFormat="1" x14ac:dyDescent="0.2">
      <c r="B386" s="64"/>
      <c r="C386" s="65">
        <v>2591</v>
      </c>
    </row>
    <row r="387" spans="2:3" s="1" customFormat="1" x14ac:dyDescent="0.2">
      <c r="B387" s="64"/>
      <c r="C387" s="65">
        <v>2592</v>
      </c>
    </row>
    <row r="388" spans="2:3" s="1" customFormat="1" x14ac:dyDescent="0.2">
      <c r="B388" s="64"/>
      <c r="C388" s="65">
        <v>2595</v>
      </c>
    </row>
    <row r="389" spans="2:3" s="1" customFormat="1" x14ac:dyDescent="0.2">
      <c r="B389" s="64"/>
      <c r="C389" s="65">
        <v>2612</v>
      </c>
    </row>
    <row r="390" spans="2:3" s="1" customFormat="1" x14ac:dyDescent="0.2">
      <c r="B390" s="64"/>
      <c r="C390" s="65">
        <v>2624</v>
      </c>
    </row>
    <row r="391" spans="2:3" s="1" customFormat="1" x14ac:dyDescent="0.2">
      <c r="B391" s="64"/>
      <c r="C391" s="65">
        <v>2625</v>
      </c>
    </row>
    <row r="392" spans="2:3" s="1" customFormat="1" x14ac:dyDescent="0.2">
      <c r="B392" s="64"/>
      <c r="C392" s="65">
        <v>2629</v>
      </c>
    </row>
    <row r="393" spans="2:3" s="1" customFormat="1" x14ac:dyDescent="0.2">
      <c r="B393" s="64"/>
      <c r="C393" s="65">
        <v>2715</v>
      </c>
    </row>
    <row r="394" spans="2:3" s="1" customFormat="1" x14ac:dyDescent="0.2">
      <c r="B394" s="64"/>
      <c r="C394" s="65">
        <v>2716</v>
      </c>
    </row>
    <row r="395" spans="2:3" s="1" customFormat="1" x14ac:dyDescent="0.2">
      <c r="B395" s="64"/>
      <c r="C395" s="65">
        <v>2717</v>
      </c>
    </row>
    <row r="396" spans="2:3" s="1" customFormat="1" x14ac:dyDescent="0.2">
      <c r="B396" s="64"/>
      <c r="C396" s="65">
        <v>2722</v>
      </c>
    </row>
    <row r="397" spans="2:3" s="1" customFormat="1" x14ac:dyDescent="0.2">
      <c r="B397" s="64"/>
      <c r="C397" s="65">
        <v>2727</v>
      </c>
    </row>
    <row r="398" spans="2:3" s="1" customFormat="1" x14ac:dyDescent="0.2">
      <c r="B398" s="64"/>
      <c r="C398" s="65">
        <v>2801</v>
      </c>
    </row>
    <row r="399" spans="2:3" s="1" customFormat="1" x14ac:dyDescent="0.2">
      <c r="B399" s="64"/>
      <c r="C399" s="65">
        <v>2802</v>
      </c>
    </row>
    <row r="400" spans="2:3" s="1" customFormat="1" x14ac:dyDescent="0.2">
      <c r="B400" s="64"/>
      <c r="C400" s="65">
        <v>2806</v>
      </c>
    </row>
    <row r="401" spans="2:3" s="1" customFormat="1" x14ac:dyDescent="0.2">
      <c r="B401" s="64"/>
      <c r="C401" s="65">
        <v>2808</v>
      </c>
    </row>
    <row r="402" spans="2:3" s="1" customFormat="1" x14ac:dyDescent="0.2">
      <c r="B402" s="64"/>
      <c r="C402" s="65">
        <v>2903</v>
      </c>
    </row>
    <row r="403" spans="2:3" s="1" customFormat="1" x14ac:dyDescent="0.2">
      <c r="B403" s="64"/>
      <c r="C403" s="65">
        <v>2905</v>
      </c>
    </row>
    <row r="404" spans="2:3" s="1" customFormat="1" x14ac:dyDescent="0.2">
      <c r="B404" s="64"/>
      <c r="C404" s="65">
        <v>3012</v>
      </c>
    </row>
    <row r="405" spans="2:3" s="1" customFormat="1" x14ac:dyDescent="0.2">
      <c r="B405" s="64"/>
      <c r="C405" s="65">
        <v>3014</v>
      </c>
    </row>
    <row r="406" spans="2:3" s="1" customFormat="1" x14ac:dyDescent="0.2">
      <c r="B406" s="64"/>
      <c r="C406" s="65">
        <v>3021</v>
      </c>
    </row>
    <row r="407" spans="2:3" s="1" customFormat="1" x14ac:dyDescent="0.2">
      <c r="B407" s="64"/>
      <c r="C407" s="65">
        <v>3022</v>
      </c>
    </row>
    <row r="408" spans="2:3" s="1" customFormat="1" x14ac:dyDescent="0.2">
      <c r="B408" s="64"/>
      <c r="C408" s="65">
        <v>3023</v>
      </c>
    </row>
    <row r="409" spans="2:3" s="1" customFormat="1" x14ac:dyDescent="0.2">
      <c r="B409" s="64"/>
      <c r="C409" s="65">
        <v>3024</v>
      </c>
    </row>
    <row r="410" spans="2:3" s="1" customFormat="1" x14ac:dyDescent="0.2">
      <c r="B410" s="64"/>
      <c r="C410" s="65">
        <v>3025</v>
      </c>
    </row>
    <row r="411" spans="2:3" s="1" customFormat="1" x14ac:dyDescent="0.2">
      <c r="B411" s="64"/>
      <c r="C411" s="65">
        <v>3026</v>
      </c>
    </row>
    <row r="412" spans="2:3" s="1" customFormat="1" x14ac:dyDescent="0.2">
      <c r="B412" s="64"/>
      <c r="C412" s="65">
        <v>3027</v>
      </c>
    </row>
    <row r="413" spans="2:3" s="1" customFormat="1" x14ac:dyDescent="0.2">
      <c r="B413" s="64"/>
      <c r="C413" s="65">
        <v>3028</v>
      </c>
    </row>
    <row r="414" spans="2:3" s="1" customFormat="1" x14ac:dyDescent="0.2">
      <c r="B414" s="64"/>
      <c r="C414" s="65">
        <v>3029</v>
      </c>
    </row>
    <row r="415" spans="2:3" s="1" customFormat="1" x14ac:dyDescent="0.2">
      <c r="B415" s="64"/>
      <c r="C415" s="65">
        <v>3031</v>
      </c>
    </row>
    <row r="416" spans="2:3" s="1" customFormat="1" x14ac:dyDescent="0.2">
      <c r="B416" s="64"/>
      <c r="C416" s="65">
        <v>3032</v>
      </c>
    </row>
    <row r="417" spans="2:3" s="1" customFormat="1" x14ac:dyDescent="0.2">
      <c r="B417" s="64"/>
      <c r="C417" s="65">
        <v>3033</v>
      </c>
    </row>
    <row r="418" spans="2:3" s="1" customFormat="1" x14ac:dyDescent="0.2">
      <c r="B418" s="64"/>
      <c r="C418" s="65">
        <v>3034</v>
      </c>
    </row>
    <row r="419" spans="2:3" s="1" customFormat="1" x14ac:dyDescent="0.2">
      <c r="B419" s="64"/>
      <c r="C419" s="65">
        <v>3035</v>
      </c>
    </row>
    <row r="420" spans="2:3" s="1" customFormat="1" x14ac:dyDescent="0.2">
      <c r="B420" s="64"/>
      <c r="C420" s="65">
        <v>3036</v>
      </c>
    </row>
    <row r="421" spans="2:3" s="1" customFormat="1" x14ac:dyDescent="0.2">
      <c r="B421" s="64"/>
      <c r="C421" s="65">
        <v>3037</v>
      </c>
    </row>
    <row r="422" spans="2:3" s="1" customFormat="1" x14ac:dyDescent="0.2">
      <c r="B422" s="64"/>
      <c r="C422" s="65">
        <v>3038</v>
      </c>
    </row>
    <row r="423" spans="2:3" s="1" customFormat="1" x14ac:dyDescent="0.2">
      <c r="B423" s="64"/>
      <c r="C423" s="65">
        <v>3042</v>
      </c>
    </row>
    <row r="424" spans="2:3" s="1" customFormat="1" x14ac:dyDescent="0.2">
      <c r="B424" s="64"/>
      <c r="C424" s="65">
        <v>3045</v>
      </c>
    </row>
    <row r="425" spans="2:3" s="1" customFormat="1" x14ac:dyDescent="0.2">
      <c r="B425" s="64"/>
      <c r="C425" s="65">
        <v>3052</v>
      </c>
    </row>
    <row r="426" spans="2:3" s="1" customFormat="1" x14ac:dyDescent="0.2">
      <c r="B426" s="64"/>
      <c r="C426" s="65">
        <v>3053</v>
      </c>
    </row>
    <row r="427" spans="2:3" s="1" customFormat="1" x14ac:dyDescent="0.2">
      <c r="B427" s="64"/>
      <c r="C427" s="65">
        <v>3054</v>
      </c>
    </row>
    <row r="428" spans="2:3" s="1" customFormat="1" x14ac:dyDescent="0.2">
      <c r="B428" s="64"/>
      <c r="C428" s="65">
        <v>3061</v>
      </c>
    </row>
    <row r="429" spans="2:3" s="1" customFormat="1" x14ac:dyDescent="0.2">
      <c r="B429" s="64"/>
      <c r="C429" s="65">
        <v>3063</v>
      </c>
    </row>
    <row r="430" spans="2:3" s="1" customFormat="1" x14ac:dyDescent="0.2">
      <c r="B430" s="64"/>
      <c r="C430" s="65">
        <v>3066</v>
      </c>
    </row>
    <row r="431" spans="2:3" s="1" customFormat="1" x14ac:dyDescent="0.2">
      <c r="B431" s="64"/>
      <c r="C431" s="65">
        <v>3068</v>
      </c>
    </row>
    <row r="432" spans="2:3" s="1" customFormat="1" x14ac:dyDescent="0.2">
      <c r="B432" s="64"/>
      <c r="C432" s="65">
        <v>3071</v>
      </c>
    </row>
    <row r="433" spans="2:3" s="1" customFormat="1" x14ac:dyDescent="0.2">
      <c r="B433" s="64"/>
      <c r="C433" s="65">
        <v>3072</v>
      </c>
    </row>
    <row r="434" spans="2:3" s="1" customFormat="1" x14ac:dyDescent="0.2">
      <c r="B434" s="64"/>
      <c r="C434" s="65">
        <v>3073</v>
      </c>
    </row>
    <row r="435" spans="2:3" s="1" customFormat="1" x14ac:dyDescent="0.2">
      <c r="B435" s="64"/>
      <c r="C435" s="65">
        <v>3074</v>
      </c>
    </row>
    <row r="436" spans="2:3" s="1" customFormat="1" x14ac:dyDescent="0.2">
      <c r="B436" s="64"/>
      <c r="C436" s="65">
        <v>3075</v>
      </c>
    </row>
    <row r="437" spans="2:3" s="1" customFormat="1" x14ac:dyDescent="0.2">
      <c r="B437" s="64"/>
      <c r="C437" s="65">
        <v>3076</v>
      </c>
    </row>
    <row r="438" spans="2:3" s="1" customFormat="1" x14ac:dyDescent="0.2">
      <c r="B438" s="64"/>
      <c r="C438" s="65">
        <v>3077</v>
      </c>
    </row>
    <row r="439" spans="2:3" s="1" customFormat="1" x14ac:dyDescent="0.2">
      <c r="B439" s="64"/>
      <c r="C439" s="65">
        <v>3078</v>
      </c>
    </row>
    <row r="440" spans="2:3" s="1" customFormat="1" x14ac:dyDescent="0.2">
      <c r="B440" s="64"/>
      <c r="C440" s="65">
        <v>3079</v>
      </c>
    </row>
    <row r="441" spans="2:3" s="1" customFormat="1" x14ac:dyDescent="0.2">
      <c r="B441" s="64"/>
      <c r="C441" s="65">
        <v>3081</v>
      </c>
    </row>
    <row r="442" spans="2:3" s="1" customFormat="1" x14ac:dyDescent="0.2">
      <c r="B442" s="64"/>
      <c r="C442" s="65">
        <v>3082</v>
      </c>
    </row>
    <row r="443" spans="2:3" s="1" customFormat="1" x14ac:dyDescent="0.2">
      <c r="B443" s="64"/>
      <c r="C443" s="65">
        <v>3083</v>
      </c>
    </row>
    <row r="444" spans="2:3" s="1" customFormat="1" x14ac:dyDescent="0.2">
      <c r="B444" s="64"/>
      <c r="C444" s="65">
        <v>3084</v>
      </c>
    </row>
    <row r="445" spans="2:3" s="1" customFormat="1" x14ac:dyDescent="0.2">
      <c r="B445" s="64"/>
      <c r="C445" s="65">
        <v>3085</v>
      </c>
    </row>
    <row r="446" spans="2:3" s="1" customFormat="1" x14ac:dyDescent="0.2">
      <c r="B446" s="64"/>
      <c r="C446" s="65">
        <v>3086</v>
      </c>
    </row>
    <row r="447" spans="2:3" s="1" customFormat="1" x14ac:dyDescent="0.2">
      <c r="B447" s="64"/>
      <c r="C447" s="65">
        <v>3087</v>
      </c>
    </row>
    <row r="448" spans="2:3" s="1" customFormat="1" x14ac:dyDescent="0.2">
      <c r="B448" s="64"/>
      <c r="C448" s="65">
        <v>3089</v>
      </c>
    </row>
    <row r="449" spans="2:3" s="1" customFormat="1" x14ac:dyDescent="0.2">
      <c r="B449" s="64"/>
      <c r="C449" s="65">
        <v>3111</v>
      </c>
    </row>
    <row r="450" spans="2:3" s="1" customFormat="1" x14ac:dyDescent="0.2">
      <c r="B450" s="64"/>
      <c r="C450" s="65">
        <v>3112</v>
      </c>
    </row>
    <row r="451" spans="2:3" s="1" customFormat="1" x14ac:dyDescent="0.2">
      <c r="B451" s="64"/>
      <c r="C451" s="65">
        <v>3114</v>
      </c>
    </row>
    <row r="452" spans="2:3" s="1" customFormat="1" x14ac:dyDescent="0.2">
      <c r="B452" s="64"/>
      <c r="C452" s="65">
        <v>3118</v>
      </c>
    </row>
    <row r="453" spans="2:3" s="1" customFormat="1" x14ac:dyDescent="0.2">
      <c r="B453" s="64"/>
      <c r="C453" s="65">
        <v>3119</v>
      </c>
    </row>
    <row r="454" spans="2:3" s="1" customFormat="1" x14ac:dyDescent="0.2">
      <c r="B454" s="64"/>
      <c r="C454" s="65">
        <v>3122</v>
      </c>
    </row>
    <row r="455" spans="2:3" s="1" customFormat="1" x14ac:dyDescent="0.2">
      <c r="B455" s="64"/>
      <c r="C455" s="65">
        <v>3131</v>
      </c>
    </row>
    <row r="456" spans="2:3" s="1" customFormat="1" x14ac:dyDescent="0.2">
      <c r="B456" s="64"/>
      <c r="C456" s="65">
        <v>3132</v>
      </c>
    </row>
    <row r="457" spans="2:3" s="1" customFormat="1" x14ac:dyDescent="0.2">
      <c r="B457" s="64"/>
      <c r="C457" s="65">
        <v>3135</v>
      </c>
    </row>
    <row r="458" spans="2:3" s="1" customFormat="1" x14ac:dyDescent="0.2">
      <c r="B458" s="64"/>
      <c r="C458" s="65">
        <v>3136</v>
      </c>
    </row>
    <row r="459" spans="2:3" s="1" customFormat="1" x14ac:dyDescent="0.2">
      <c r="B459" s="64"/>
      <c r="C459" s="65">
        <v>3145</v>
      </c>
    </row>
    <row r="460" spans="2:3" s="1" customFormat="1" x14ac:dyDescent="0.2">
      <c r="B460" s="64"/>
      <c r="C460" s="65">
        <v>3192</v>
      </c>
    </row>
    <row r="461" spans="2:3" s="1" customFormat="1" x14ac:dyDescent="0.2">
      <c r="B461" s="64"/>
      <c r="C461" s="65">
        <v>3193</v>
      </c>
    </row>
    <row r="462" spans="2:3" s="1" customFormat="1" x14ac:dyDescent="0.2">
      <c r="B462" s="64"/>
      <c r="C462" s="65">
        <v>3194</v>
      </c>
    </row>
    <row r="463" spans="2:3" s="1" customFormat="1" x14ac:dyDescent="0.2">
      <c r="B463" s="64"/>
      <c r="C463" s="65">
        <v>3201</v>
      </c>
    </row>
    <row r="464" spans="2:3" s="1" customFormat="1" x14ac:dyDescent="0.2">
      <c r="B464" s="64"/>
      <c r="C464" s="65">
        <v>3203</v>
      </c>
    </row>
    <row r="465" spans="2:3" s="1" customFormat="1" x14ac:dyDescent="0.2">
      <c r="B465" s="64"/>
      <c r="C465" s="65">
        <v>3206</v>
      </c>
    </row>
    <row r="466" spans="2:3" s="1" customFormat="1" x14ac:dyDescent="0.2">
      <c r="B466" s="64"/>
      <c r="C466" s="65">
        <v>3222</v>
      </c>
    </row>
    <row r="467" spans="2:3" s="1" customFormat="1" x14ac:dyDescent="0.2">
      <c r="B467" s="64"/>
      <c r="C467" s="65">
        <v>3311</v>
      </c>
    </row>
    <row r="468" spans="2:3" s="1" customFormat="1" x14ac:dyDescent="0.2">
      <c r="B468" s="64"/>
      <c r="C468" s="65">
        <v>3313</v>
      </c>
    </row>
    <row r="469" spans="2:3" s="1" customFormat="1" x14ac:dyDescent="0.2">
      <c r="B469" s="64"/>
      <c r="C469" s="65">
        <v>3314</v>
      </c>
    </row>
    <row r="470" spans="2:3" s="1" customFormat="1" x14ac:dyDescent="0.2">
      <c r="B470" s="64"/>
      <c r="C470" s="65">
        <v>3316</v>
      </c>
    </row>
    <row r="471" spans="2:3" s="1" customFormat="1" x14ac:dyDescent="0.2">
      <c r="B471" s="64"/>
      <c r="C471" s="65">
        <v>3317</v>
      </c>
    </row>
    <row r="472" spans="2:3" s="1" customFormat="1" x14ac:dyDescent="0.2">
      <c r="B472" s="64"/>
      <c r="C472" s="65">
        <v>3318</v>
      </c>
    </row>
    <row r="473" spans="2:3" s="1" customFormat="1" x14ac:dyDescent="0.2">
      <c r="B473" s="64"/>
      <c r="C473" s="65">
        <v>3329</v>
      </c>
    </row>
    <row r="474" spans="2:3" s="1" customFormat="1" x14ac:dyDescent="0.2">
      <c r="B474" s="64"/>
      <c r="C474" s="65">
        <v>3364</v>
      </c>
    </row>
    <row r="475" spans="2:3" s="1" customFormat="1" x14ac:dyDescent="0.2">
      <c r="B475" s="64"/>
      <c r="C475" s="65">
        <v>3413</v>
      </c>
    </row>
    <row r="476" spans="2:3" s="1" customFormat="1" x14ac:dyDescent="0.2">
      <c r="B476" s="64"/>
      <c r="C476" s="65">
        <v>3431</v>
      </c>
    </row>
    <row r="477" spans="2:3" s="1" customFormat="1" x14ac:dyDescent="0.2">
      <c r="B477" s="64"/>
      <c r="C477" s="65">
        <v>3432</v>
      </c>
    </row>
    <row r="478" spans="2:3" s="1" customFormat="1" x14ac:dyDescent="0.2">
      <c r="B478" s="64"/>
      <c r="C478" s="65">
        <v>3444</v>
      </c>
    </row>
    <row r="479" spans="2:3" s="1" customFormat="1" x14ac:dyDescent="0.2">
      <c r="B479" s="64"/>
      <c r="C479" s="65">
        <v>3464</v>
      </c>
    </row>
    <row r="480" spans="2:3" s="1" customFormat="1" x14ac:dyDescent="0.2">
      <c r="B480" s="64"/>
      <c r="C480" s="65">
        <v>3511</v>
      </c>
    </row>
    <row r="481" spans="2:3" s="1" customFormat="1" x14ac:dyDescent="0.2">
      <c r="B481" s="64"/>
      <c r="C481" s="65">
        <v>3513</v>
      </c>
    </row>
    <row r="482" spans="2:3" s="1" customFormat="1" x14ac:dyDescent="0.2">
      <c r="B482" s="64"/>
      <c r="C482" s="65">
        <v>3515</v>
      </c>
    </row>
    <row r="483" spans="2:3" s="1" customFormat="1" x14ac:dyDescent="0.2">
      <c r="B483" s="64"/>
      <c r="C483" s="65">
        <v>3522</v>
      </c>
    </row>
    <row r="484" spans="2:3" s="1" customFormat="1" x14ac:dyDescent="0.2">
      <c r="B484" s="64"/>
      <c r="C484" s="65">
        <v>3524</v>
      </c>
    </row>
    <row r="485" spans="2:3" s="1" customFormat="1" x14ac:dyDescent="0.2">
      <c r="B485" s="64"/>
      <c r="C485" s="65">
        <v>3525</v>
      </c>
    </row>
    <row r="486" spans="2:3" s="1" customFormat="1" x14ac:dyDescent="0.2">
      <c r="B486" s="64"/>
      <c r="C486" s="65">
        <v>3526</v>
      </c>
    </row>
    <row r="487" spans="2:3" s="1" customFormat="1" x14ac:dyDescent="0.2">
      <c r="B487" s="64"/>
      <c r="C487" s="65">
        <v>3527</v>
      </c>
    </row>
    <row r="488" spans="2:3" s="1" customFormat="1" x14ac:dyDescent="0.2">
      <c r="B488" s="64"/>
      <c r="C488" s="65">
        <v>3531</v>
      </c>
    </row>
    <row r="489" spans="2:3" s="1" customFormat="1" x14ac:dyDescent="0.2">
      <c r="B489" s="64"/>
      <c r="C489" s="65">
        <v>3532</v>
      </c>
    </row>
    <row r="490" spans="2:3" s="1" customFormat="1" x14ac:dyDescent="0.2">
      <c r="B490" s="64"/>
      <c r="C490" s="65">
        <v>3545</v>
      </c>
    </row>
    <row r="491" spans="2:3" s="1" customFormat="1" x14ac:dyDescent="0.2">
      <c r="B491" s="64"/>
      <c r="C491" s="65">
        <v>3551</v>
      </c>
    </row>
    <row r="492" spans="2:3" s="1" customFormat="1" x14ac:dyDescent="0.2">
      <c r="B492" s="64"/>
      <c r="C492" s="65">
        <v>3552</v>
      </c>
    </row>
    <row r="493" spans="2:3" s="1" customFormat="1" x14ac:dyDescent="0.2">
      <c r="B493" s="64"/>
      <c r="C493" s="65">
        <v>3554</v>
      </c>
    </row>
    <row r="494" spans="2:3" s="1" customFormat="1" x14ac:dyDescent="0.2">
      <c r="B494" s="64"/>
      <c r="C494" s="65">
        <v>3555</v>
      </c>
    </row>
    <row r="495" spans="2:3" s="1" customFormat="1" x14ac:dyDescent="0.2">
      <c r="B495" s="64"/>
      <c r="C495" s="65">
        <v>3561</v>
      </c>
    </row>
    <row r="496" spans="2:3" s="1" customFormat="1" x14ac:dyDescent="0.2">
      <c r="B496" s="64"/>
      <c r="C496" s="65">
        <v>3562</v>
      </c>
    </row>
    <row r="497" spans="2:3" s="1" customFormat="1" x14ac:dyDescent="0.2">
      <c r="B497" s="64"/>
      <c r="C497" s="65">
        <v>3563</v>
      </c>
    </row>
    <row r="498" spans="2:3" s="1" customFormat="1" x14ac:dyDescent="0.2">
      <c r="B498" s="64"/>
      <c r="C498" s="65">
        <v>3564</v>
      </c>
    </row>
    <row r="499" spans="2:3" s="1" customFormat="1" x14ac:dyDescent="0.2">
      <c r="B499" s="64"/>
      <c r="C499" s="65">
        <v>3566</v>
      </c>
    </row>
    <row r="500" spans="2:3" s="1" customFormat="1" x14ac:dyDescent="0.2">
      <c r="B500" s="64"/>
      <c r="C500" s="65">
        <v>3605</v>
      </c>
    </row>
    <row r="501" spans="2:3" s="1" customFormat="1" x14ac:dyDescent="0.2">
      <c r="B501" s="64"/>
      <c r="C501" s="65">
        <v>3631</v>
      </c>
    </row>
    <row r="502" spans="2:3" s="1" customFormat="1" x14ac:dyDescent="0.2">
      <c r="B502" s="64"/>
      <c r="C502" s="65">
        <v>3634</v>
      </c>
    </row>
    <row r="503" spans="2:3" s="1" customFormat="1" x14ac:dyDescent="0.2">
      <c r="B503" s="64"/>
      <c r="C503" s="65">
        <v>3706</v>
      </c>
    </row>
    <row r="504" spans="2:3" s="1" customFormat="1" x14ac:dyDescent="0.2">
      <c r="B504" s="64"/>
      <c r="C504" s="65">
        <v>3709</v>
      </c>
    </row>
    <row r="505" spans="2:3" s="1" customFormat="1" x14ac:dyDescent="0.2">
      <c r="B505" s="64"/>
      <c r="C505" s="65">
        <v>3712</v>
      </c>
    </row>
    <row r="506" spans="2:3" s="1" customFormat="1" x14ac:dyDescent="0.2">
      <c r="B506" s="64"/>
      <c r="C506" s="65">
        <v>3764</v>
      </c>
    </row>
    <row r="507" spans="2:3" s="1" customFormat="1" x14ac:dyDescent="0.2">
      <c r="B507" s="64"/>
      <c r="C507" s="65">
        <v>3765</v>
      </c>
    </row>
    <row r="508" spans="2:3" s="1" customFormat="1" x14ac:dyDescent="0.2">
      <c r="B508" s="64"/>
      <c r="C508" s="65">
        <v>3775</v>
      </c>
    </row>
    <row r="509" spans="2:3" s="1" customFormat="1" x14ac:dyDescent="0.2">
      <c r="B509" s="64"/>
      <c r="C509" s="65">
        <v>3811</v>
      </c>
    </row>
    <row r="510" spans="2:3" s="1" customFormat="1" x14ac:dyDescent="0.2">
      <c r="B510" s="64"/>
      <c r="C510" s="65">
        <v>3812</v>
      </c>
    </row>
    <row r="511" spans="2:3" s="1" customFormat="1" x14ac:dyDescent="0.2">
      <c r="B511" s="64"/>
      <c r="C511" s="65">
        <v>3813</v>
      </c>
    </row>
    <row r="512" spans="2:3" s="1" customFormat="1" x14ac:dyDescent="0.2">
      <c r="B512" s="64"/>
      <c r="C512" s="65">
        <v>3814</v>
      </c>
    </row>
    <row r="513" spans="2:3" s="1" customFormat="1" x14ac:dyDescent="0.2">
      <c r="B513" s="64"/>
      <c r="C513" s="65">
        <v>3815</v>
      </c>
    </row>
    <row r="514" spans="2:3" s="1" customFormat="1" x14ac:dyDescent="0.2">
      <c r="B514" s="64"/>
      <c r="C514" s="65">
        <v>3816</v>
      </c>
    </row>
    <row r="515" spans="2:3" s="1" customFormat="1" x14ac:dyDescent="0.2">
      <c r="B515" s="64"/>
      <c r="C515" s="65">
        <v>3843</v>
      </c>
    </row>
    <row r="516" spans="2:3" s="1" customFormat="1" x14ac:dyDescent="0.2">
      <c r="B516" s="64"/>
      <c r="C516" s="65">
        <v>3853</v>
      </c>
    </row>
    <row r="517" spans="2:3" s="1" customFormat="1" x14ac:dyDescent="0.2">
      <c r="B517" s="64"/>
      <c r="C517" s="65">
        <v>3896</v>
      </c>
    </row>
    <row r="518" spans="2:3" s="1" customFormat="1" x14ac:dyDescent="0.2">
      <c r="B518" s="64"/>
      <c r="C518" s="65">
        <v>3897</v>
      </c>
    </row>
    <row r="519" spans="2:3" s="1" customFormat="1" x14ac:dyDescent="0.2">
      <c r="B519" s="64"/>
      <c r="C519" s="65">
        <v>3898</v>
      </c>
    </row>
    <row r="520" spans="2:3" s="1" customFormat="1" x14ac:dyDescent="0.2">
      <c r="B520" s="64"/>
      <c r="C520" s="65">
        <v>3901</v>
      </c>
    </row>
    <row r="521" spans="2:3" s="1" customFormat="1" x14ac:dyDescent="0.2">
      <c r="B521" s="64"/>
      <c r="C521" s="65">
        <v>3995</v>
      </c>
    </row>
    <row r="522" spans="2:3" s="1" customFormat="1" x14ac:dyDescent="0.2">
      <c r="B522" s="64"/>
      <c r="C522" s="65">
        <v>3999</v>
      </c>
    </row>
    <row r="523" spans="2:3" s="1" customFormat="1" x14ac:dyDescent="0.2">
      <c r="B523" s="64"/>
      <c r="C523" s="65">
        <v>4005</v>
      </c>
    </row>
    <row r="524" spans="2:3" s="1" customFormat="1" x14ac:dyDescent="0.2">
      <c r="B524" s="64"/>
      <c r="C524" s="65">
        <v>4006</v>
      </c>
    </row>
    <row r="525" spans="2:3" s="1" customFormat="1" x14ac:dyDescent="0.2">
      <c r="B525" s="64"/>
      <c r="C525" s="65">
        <v>4016</v>
      </c>
    </row>
    <row r="526" spans="2:3" s="1" customFormat="1" x14ac:dyDescent="0.2">
      <c r="B526" s="64"/>
      <c r="C526" s="65">
        <v>4032</v>
      </c>
    </row>
    <row r="527" spans="2:3" s="1" customFormat="1" x14ac:dyDescent="0.2">
      <c r="B527" s="64"/>
      <c r="C527" s="65">
        <v>4115</v>
      </c>
    </row>
    <row r="528" spans="2:3" s="1" customFormat="1" x14ac:dyDescent="0.2">
      <c r="B528" s="64"/>
      <c r="C528" s="65">
        <v>4131</v>
      </c>
    </row>
    <row r="529" spans="2:3" s="1" customFormat="1" x14ac:dyDescent="0.2">
      <c r="B529" s="64"/>
      <c r="C529" s="65">
        <v>4142</v>
      </c>
    </row>
    <row r="530" spans="2:3" s="1" customFormat="1" x14ac:dyDescent="0.2">
      <c r="B530" s="64"/>
      <c r="C530" s="65">
        <v>4176</v>
      </c>
    </row>
    <row r="531" spans="2:3" s="1" customFormat="1" x14ac:dyDescent="0.2">
      <c r="B531" s="64"/>
      <c r="C531" s="65">
        <v>4182</v>
      </c>
    </row>
    <row r="532" spans="2:3" s="1" customFormat="1" x14ac:dyDescent="0.2">
      <c r="B532" s="64"/>
      <c r="C532" s="65">
        <v>4201</v>
      </c>
    </row>
    <row r="533" spans="2:3" s="1" customFormat="1" x14ac:dyDescent="0.2">
      <c r="B533" s="64"/>
      <c r="C533" s="65">
        <v>4203</v>
      </c>
    </row>
    <row r="534" spans="2:3" s="1" customFormat="1" x14ac:dyDescent="0.2">
      <c r="B534" s="64"/>
      <c r="C534" s="65">
        <v>4267</v>
      </c>
    </row>
    <row r="535" spans="2:3" s="1" customFormat="1" x14ac:dyDescent="0.2">
      <c r="B535" s="64"/>
      <c r="C535" s="65">
        <v>4308</v>
      </c>
    </row>
    <row r="536" spans="2:3" s="1" customFormat="1" x14ac:dyDescent="0.2">
      <c r="B536" s="64"/>
      <c r="C536" s="65">
        <v>4315</v>
      </c>
    </row>
    <row r="537" spans="2:3" s="1" customFormat="1" x14ac:dyDescent="0.2">
      <c r="B537" s="64"/>
      <c r="C537" s="65">
        <v>4335</v>
      </c>
    </row>
    <row r="538" spans="2:3" s="1" customFormat="1" x14ac:dyDescent="0.2">
      <c r="B538" s="64"/>
      <c r="C538" s="65">
        <v>4337</v>
      </c>
    </row>
    <row r="539" spans="2:3" s="1" customFormat="1" x14ac:dyDescent="0.2">
      <c r="B539" s="64"/>
      <c r="C539" s="65">
        <v>4357</v>
      </c>
    </row>
    <row r="540" spans="2:3" s="1" customFormat="1" x14ac:dyDescent="0.2">
      <c r="B540" s="64"/>
      <c r="C540" s="65">
        <v>4381</v>
      </c>
    </row>
    <row r="541" spans="2:3" s="1" customFormat="1" x14ac:dyDescent="0.2">
      <c r="B541" s="64"/>
      <c r="C541" s="65">
        <v>4382</v>
      </c>
    </row>
    <row r="542" spans="2:3" s="1" customFormat="1" x14ac:dyDescent="0.2">
      <c r="B542" s="64"/>
      <c r="C542" s="65">
        <v>4383</v>
      </c>
    </row>
    <row r="543" spans="2:3" s="1" customFormat="1" x14ac:dyDescent="0.2">
      <c r="B543" s="64"/>
      <c r="C543" s="65">
        <v>4423</v>
      </c>
    </row>
    <row r="544" spans="2:3" s="1" customFormat="1" x14ac:dyDescent="0.2">
      <c r="B544" s="64"/>
      <c r="C544" s="65">
        <v>4441</v>
      </c>
    </row>
    <row r="545" spans="2:3" s="1" customFormat="1" x14ac:dyDescent="0.2">
      <c r="B545" s="64"/>
      <c r="C545" s="65">
        <v>4463</v>
      </c>
    </row>
    <row r="546" spans="2:3" s="1" customFormat="1" x14ac:dyDescent="0.2">
      <c r="B546" s="64"/>
      <c r="C546" s="65">
        <v>4494</v>
      </c>
    </row>
    <row r="547" spans="2:3" s="1" customFormat="1" x14ac:dyDescent="0.2">
      <c r="B547" s="64"/>
      <c r="C547" s="65">
        <v>4503</v>
      </c>
    </row>
    <row r="548" spans="2:3" s="1" customFormat="1" x14ac:dyDescent="0.2">
      <c r="B548" s="64"/>
      <c r="C548" s="65">
        <v>4504</v>
      </c>
    </row>
    <row r="549" spans="2:3" s="1" customFormat="1" x14ac:dyDescent="0.2">
      <c r="B549" s="64"/>
      <c r="C549" s="65">
        <v>4505</v>
      </c>
    </row>
    <row r="550" spans="2:3" s="1" customFormat="1" x14ac:dyDescent="0.2">
      <c r="B550" s="64"/>
      <c r="C550" s="65">
        <v>4508</v>
      </c>
    </row>
    <row r="551" spans="2:3" s="1" customFormat="1" x14ac:dyDescent="0.2">
      <c r="B551" s="64"/>
      <c r="C551" s="65">
        <v>4513</v>
      </c>
    </row>
    <row r="552" spans="2:3" s="1" customFormat="1" x14ac:dyDescent="0.2">
      <c r="B552" s="64"/>
      <c r="C552" s="65">
        <v>4522</v>
      </c>
    </row>
    <row r="553" spans="2:3" s="1" customFormat="1" x14ac:dyDescent="0.2">
      <c r="B553" s="64"/>
      <c r="C553" s="65">
        <v>4525</v>
      </c>
    </row>
    <row r="554" spans="2:3" s="1" customFormat="1" x14ac:dyDescent="0.2">
      <c r="B554" s="64"/>
      <c r="C554" s="65">
        <v>4529</v>
      </c>
    </row>
    <row r="555" spans="2:3" s="1" customFormat="1" x14ac:dyDescent="0.2">
      <c r="B555" s="64"/>
      <c r="C555" s="65">
        <v>4531</v>
      </c>
    </row>
    <row r="556" spans="2:3" s="1" customFormat="1" x14ac:dyDescent="0.2">
      <c r="B556" s="64"/>
      <c r="C556" s="65">
        <v>4536</v>
      </c>
    </row>
    <row r="557" spans="2:3" s="1" customFormat="1" x14ac:dyDescent="0.2">
      <c r="B557" s="64"/>
      <c r="C557" s="65">
        <v>4537</v>
      </c>
    </row>
    <row r="558" spans="2:3" s="1" customFormat="1" x14ac:dyDescent="0.2">
      <c r="B558" s="64"/>
      <c r="C558" s="65">
        <v>4538</v>
      </c>
    </row>
    <row r="559" spans="2:3" s="1" customFormat="1" x14ac:dyDescent="0.2">
      <c r="B559" s="64"/>
      <c r="C559" s="65">
        <v>4554</v>
      </c>
    </row>
    <row r="560" spans="2:3" s="1" customFormat="1" x14ac:dyDescent="0.2">
      <c r="B560" s="64"/>
      <c r="C560" s="65">
        <v>4565</v>
      </c>
    </row>
    <row r="561" spans="2:3" s="1" customFormat="1" x14ac:dyDescent="0.2">
      <c r="B561" s="64"/>
      <c r="C561" s="65">
        <v>4583</v>
      </c>
    </row>
    <row r="562" spans="2:3" s="1" customFormat="1" x14ac:dyDescent="0.2">
      <c r="B562" s="64"/>
      <c r="C562" s="65">
        <v>4586</v>
      </c>
    </row>
    <row r="563" spans="2:3" s="1" customFormat="1" x14ac:dyDescent="0.2">
      <c r="B563" s="64"/>
      <c r="C563" s="65">
        <v>4589</v>
      </c>
    </row>
    <row r="564" spans="2:3" s="1" customFormat="1" x14ac:dyDescent="0.2">
      <c r="B564" s="64"/>
      <c r="C564" s="65">
        <v>4612</v>
      </c>
    </row>
    <row r="565" spans="2:3" s="1" customFormat="1" x14ac:dyDescent="0.2">
      <c r="B565" s="64"/>
      <c r="C565" s="65">
        <v>4613</v>
      </c>
    </row>
    <row r="566" spans="2:3" s="1" customFormat="1" x14ac:dyDescent="0.2">
      <c r="B566" s="64"/>
      <c r="C566" s="65">
        <v>4621</v>
      </c>
    </row>
    <row r="567" spans="2:3" s="1" customFormat="1" x14ac:dyDescent="0.2">
      <c r="B567" s="64"/>
      <c r="C567" s="65">
        <v>4622</v>
      </c>
    </row>
    <row r="568" spans="2:3" s="1" customFormat="1" x14ac:dyDescent="0.2">
      <c r="B568" s="64"/>
      <c r="C568" s="65">
        <v>4623</v>
      </c>
    </row>
    <row r="569" spans="2:3" s="1" customFormat="1" x14ac:dyDescent="0.2">
      <c r="B569" s="64"/>
      <c r="C569" s="65">
        <v>4702</v>
      </c>
    </row>
    <row r="570" spans="2:3" s="1" customFormat="1" x14ac:dyDescent="0.2">
      <c r="B570" s="64"/>
      <c r="C570" s="65">
        <v>4707</v>
      </c>
    </row>
    <row r="571" spans="2:3" s="1" customFormat="1" x14ac:dyDescent="0.2">
      <c r="B571" s="64"/>
      <c r="C571" s="65">
        <v>4711</v>
      </c>
    </row>
    <row r="572" spans="2:3" s="1" customFormat="1" x14ac:dyDescent="0.2">
      <c r="B572" s="64"/>
      <c r="C572" s="65">
        <v>4772</v>
      </c>
    </row>
    <row r="573" spans="2:3" s="1" customFormat="1" x14ac:dyDescent="0.2">
      <c r="B573" s="64"/>
      <c r="C573" s="65">
        <v>4782</v>
      </c>
    </row>
    <row r="574" spans="2:3" s="1" customFormat="1" x14ac:dyDescent="0.2">
      <c r="B574" s="64"/>
      <c r="C574" s="65">
        <v>4811</v>
      </c>
    </row>
    <row r="575" spans="2:3" s="1" customFormat="1" x14ac:dyDescent="0.2">
      <c r="B575" s="64"/>
      <c r="C575" s="65">
        <v>4812</v>
      </c>
    </row>
    <row r="576" spans="2:3" s="1" customFormat="1" x14ac:dyDescent="0.2">
      <c r="B576" s="64"/>
      <c r="C576" s="65">
        <v>4814</v>
      </c>
    </row>
    <row r="577" spans="2:3" s="1" customFormat="1" x14ac:dyDescent="0.2">
      <c r="B577" s="64"/>
      <c r="C577" s="65">
        <v>4816</v>
      </c>
    </row>
    <row r="578" spans="2:3" s="1" customFormat="1" x14ac:dyDescent="0.2">
      <c r="B578" s="64"/>
      <c r="C578" s="65">
        <v>4822</v>
      </c>
    </row>
    <row r="579" spans="2:3" s="1" customFormat="1" x14ac:dyDescent="0.2">
      <c r="B579" s="64"/>
      <c r="C579" s="65">
        <v>4826</v>
      </c>
    </row>
    <row r="580" spans="2:3" s="1" customFormat="1" x14ac:dyDescent="0.2">
      <c r="B580" s="64"/>
      <c r="C580" s="65">
        <v>4827</v>
      </c>
    </row>
    <row r="581" spans="2:3" s="1" customFormat="1" x14ac:dyDescent="0.2">
      <c r="B581" s="64"/>
      <c r="C581" s="65">
        <v>4903</v>
      </c>
    </row>
    <row r="582" spans="2:3" s="1" customFormat="1" x14ac:dyDescent="0.2">
      <c r="B582" s="64"/>
      <c r="C582" s="65">
        <v>5011</v>
      </c>
    </row>
    <row r="583" spans="2:3" s="1" customFormat="1" x14ac:dyDescent="0.2">
      <c r="B583" s="64"/>
      <c r="C583" s="65">
        <v>5012</v>
      </c>
    </row>
    <row r="584" spans="2:3" s="1" customFormat="1" x14ac:dyDescent="0.2">
      <c r="B584" s="64"/>
      <c r="C584" s="65">
        <v>5013</v>
      </c>
    </row>
    <row r="585" spans="2:3" s="1" customFormat="1" x14ac:dyDescent="0.2">
      <c r="B585" s="64"/>
      <c r="C585" s="65">
        <v>5014</v>
      </c>
    </row>
    <row r="586" spans="2:3" s="1" customFormat="1" x14ac:dyDescent="0.2">
      <c r="B586" s="64"/>
      <c r="C586" s="65">
        <v>5015</v>
      </c>
    </row>
    <row r="587" spans="2:3" s="1" customFormat="1" x14ac:dyDescent="0.2">
      <c r="B587" s="64"/>
      <c r="C587" s="65">
        <v>5018</v>
      </c>
    </row>
    <row r="588" spans="2:3" s="1" customFormat="1" x14ac:dyDescent="0.2">
      <c r="B588" s="64"/>
      <c r="C588" s="65">
        <v>5021</v>
      </c>
    </row>
    <row r="589" spans="2:3" s="1" customFormat="1" x14ac:dyDescent="0.2">
      <c r="B589" s="64"/>
      <c r="C589" s="65">
        <v>5022</v>
      </c>
    </row>
    <row r="590" spans="2:3" s="1" customFormat="1" x14ac:dyDescent="0.2">
      <c r="B590" s="64"/>
      <c r="C590" s="65">
        <v>5025</v>
      </c>
    </row>
    <row r="591" spans="2:3" s="1" customFormat="1" x14ac:dyDescent="0.2">
      <c r="B591" s="64"/>
      <c r="C591" s="65">
        <v>5041</v>
      </c>
    </row>
    <row r="592" spans="2:3" s="1" customFormat="1" x14ac:dyDescent="0.2">
      <c r="B592" s="64"/>
      <c r="C592" s="65">
        <v>5042</v>
      </c>
    </row>
    <row r="593" spans="2:3" s="1" customFormat="1" x14ac:dyDescent="0.2">
      <c r="B593" s="64"/>
      <c r="C593" s="65">
        <v>5044</v>
      </c>
    </row>
    <row r="594" spans="2:3" s="1" customFormat="1" x14ac:dyDescent="0.2">
      <c r="B594" s="64"/>
      <c r="C594" s="65">
        <v>5046</v>
      </c>
    </row>
    <row r="595" spans="2:3" s="1" customFormat="1" x14ac:dyDescent="0.2">
      <c r="B595" s="64"/>
      <c r="C595" s="65">
        <v>5049</v>
      </c>
    </row>
    <row r="596" spans="2:3" s="1" customFormat="1" x14ac:dyDescent="0.2">
      <c r="B596" s="64"/>
      <c r="C596" s="65">
        <v>5059</v>
      </c>
    </row>
    <row r="597" spans="2:3" s="1" customFormat="1" x14ac:dyDescent="0.2">
      <c r="B597" s="64"/>
      <c r="C597" s="65">
        <v>5063</v>
      </c>
    </row>
    <row r="598" spans="2:3" s="1" customFormat="1" x14ac:dyDescent="0.2">
      <c r="B598" s="64"/>
      <c r="C598" s="65">
        <v>5105</v>
      </c>
    </row>
    <row r="599" spans="2:3" s="1" customFormat="1" x14ac:dyDescent="0.2">
      <c r="B599" s="64"/>
      <c r="C599" s="65">
        <v>5124</v>
      </c>
    </row>
    <row r="600" spans="2:3" s="1" customFormat="1" x14ac:dyDescent="0.2">
      <c r="B600" s="64"/>
      <c r="C600" s="65">
        <v>5142</v>
      </c>
    </row>
    <row r="601" spans="2:3" s="1" customFormat="1" x14ac:dyDescent="0.2">
      <c r="B601" s="64"/>
      <c r="C601" s="65">
        <v>5176</v>
      </c>
    </row>
    <row r="602" spans="2:3" s="1" customFormat="1" x14ac:dyDescent="0.2">
      <c r="B602" s="64"/>
      <c r="C602" s="65">
        <v>5211</v>
      </c>
    </row>
    <row r="603" spans="2:3" s="1" customFormat="1" x14ac:dyDescent="0.2">
      <c r="B603" s="64"/>
      <c r="C603" s="65">
        <v>5212</v>
      </c>
    </row>
    <row r="604" spans="2:3" s="1" customFormat="1" x14ac:dyDescent="0.2">
      <c r="B604" s="64"/>
      <c r="C604" s="65">
        <v>5213</v>
      </c>
    </row>
    <row r="605" spans="2:3" s="1" customFormat="1" x14ac:dyDescent="0.2">
      <c r="B605" s="64"/>
      <c r="C605" s="65">
        <v>5215</v>
      </c>
    </row>
    <row r="606" spans="2:3" s="1" customFormat="1" x14ac:dyDescent="0.2">
      <c r="B606" s="64"/>
      <c r="C606" s="65">
        <v>5223</v>
      </c>
    </row>
    <row r="607" spans="2:3" s="1" customFormat="1" x14ac:dyDescent="0.2">
      <c r="B607" s="64"/>
      <c r="C607" s="65">
        <v>5224</v>
      </c>
    </row>
    <row r="608" spans="2:3" s="1" customFormat="1" x14ac:dyDescent="0.2">
      <c r="B608" s="64"/>
      <c r="C608" s="65">
        <v>5231</v>
      </c>
    </row>
    <row r="609" spans="2:3" s="1" customFormat="1" x14ac:dyDescent="0.2">
      <c r="B609" s="64"/>
      <c r="C609" s="65">
        <v>5233</v>
      </c>
    </row>
    <row r="610" spans="2:3" s="1" customFormat="1" x14ac:dyDescent="0.2">
      <c r="B610" s="64"/>
      <c r="C610" s="65">
        <v>5266</v>
      </c>
    </row>
    <row r="611" spans="2:3" s="1" customFormat="1" x14ac:dyDescent="0.2">
      <c r="B611" s="64"/>
      <c r="C611" s="65">
        <v>5313</v>
      </c>
    </row>
    <row r="612" spans="2:3" s="1" customFormat="1" x14ac:dyDescent="0.2">
      <c r="B612" s="64"/>
      <c r="C612" s="65">
        <v>5343</v>
      </c>
    </row>
    <row r="613" spans="2:3" s="1" customFormat="1" x14ac:dyDescent="0.2">
      <c r="B613" s="64"/>
      <c r="C613" s="65">
        <v>5344</v>
      </c>
    </row>
    <row r="614" spans="2:3" s="1" customFormat="1" x14ac:dyDescent="0.2">
      <c r="B614" s="64"/>
      <c r="C614" s="65">
        <v>5348</v>
      </c>
    </row>
    <row r="615" spans="2:3" s="1" customFormat="1" x14ac:dyDescent="0.2">
      <c r="B615" s="64"/>
      <c r="C615" s="65">
        <v>5349</v>
      </c>
    </row>
    <row r="616" spans="2:3" s="1" customFormat="1" x14ac:dyDescent="0.2">
      <c r="B616" s="64"/>
      <c r="C616" s="65">
        <v>5367</v>
      </c>
    </row>
    <row r="617" spans="2:3" s="1" customFormat="1" x14ac:dyDescent="0.2">
      <c r="B617" s="64"/>
      <c r="C617" s="65">
        <v>5383</v>
      </c>
    </row>
    <row r="618" spans="2:3" s="1" customFormat="1" x14ac:dyDescent="0.2">
      <c r="B618" s="64"/>
      <c r="C618" s="65">
        <v>5401</v>
      </c>
    </row>
    <row r="619" spans="2:3" s="1" customFormat="1" x14ac:dyDescent="0.2">
      <c r="B619" s="64"/>
      <c r="C619" s="65">
        <v>5405</v>
      </c>
    </row>
    <row r="620" spans="2:3" s="1" customFormat="1" x14ac:dyDescent="0.2">
      <c r="B620" s="64"/>
      <c r="C620" s="65">
        <v>5423</v>
      </c>
    </row>
    <row r="621" spans="2:3" s="1" customFormat="1" x14ac:dyDescent="0.2">
      <c r="B621" s="64"/>
      <c r="C621" s="65">
        <v>5431</v>
      </c>
    </row>
    <row r="622" spans="2:3" s="1" customFormat="1" x14ac:dyDescent="0.2">
      <c r="B622" s="64"/>
      <c r="C622" s="65">
        <v>5462</v>
      </c>
    </row>
    <row r="623" spans="2:3" s="1" customFormat="1" x14ac:dyDescent="0.2">
      <c r="B623" s="64"/>
      <c r="C623" s="65">
        <v>5505</v>
      </c>
    </row>
    <row r="624" spans="2:3" s="1" customFormat="1" x14ac:dyDescent="0.2">
      <c r="B624" s="64"/>
      <c r="C624" s="65">
        <v>5553</v>
      </c>
    </row>
    <row r="625" spans="2:3" s="1" customFormat="1" x14ac:dyDescent="0.2">
      <c r="B625" s="64"/>
      <c r="C625" s="65">
        <v>5611</v>
      </c>
    </row>
    <row r="626" spans="2:3" s="1" customFormat="1" x14ac:dyDescent="0.2">
      <c r="B626" s="64"/>
      <c r="C626" s="65">
        <v>5612</v>
      </c>
    </row>
    <row r="627" spans="2:3" s="1" customFormat="1" x14ac:dyDescent="0.2">
      <c r="B627" s="64"/>
      <c r="C627" s="65">
        <v>5613</v>
      </c>
    </row>
    <row r="628" spans="2:3" s="1" customFormat="1" x14ac:dyDescent="0.2">
      <c r="B628" s="64"/>
      <c r="C628" s="65">
        <v>5616</v>
      </c>
    </row>
    <row r="629" spans="2:3" s="1" customFormat="1" x14ac:dyDescent="0.2">
      <c r="B629" s="64"/>
      <c r="C629" s="65">
        <v>5621</v>
      </c>
    </row>
    <row r="630" spans="2:3" s="1" customFormat="1" x14ac:dyDescent="0.2">
      <c r="B630" s="64"/>
      <c r="C630" s="65">
        <v>5622</v>
      </c>
    </row>
    <row r="631" spans="2:3" s="1" customFormat="1" x14ac:dyDescent="0.2">
      <c r="B631" s="64"/>
      <c r="C631" s="65">
        <v>5623</v>
      </c>
    </row>
    <row r="632" spans="2:3" s="1" customFormat="1" x14ac:dyDescent="0.2">
      <c r="B632" s="64"/>
      <c r="C632" s="65">
        <v>5625</v>
      </c>
    </row>
    <row r="633" spans="2:3" s="1" customFormat="1" x14ac:dyDescent="0.2">
      <c r="B633" s="64"/>
      <c r="C633" s="65">
        <v>5632</v>
      </c>
    </row>
    <row r="634" spans="2:3" s="1" customFormat="1" x14ac:dyDescent="0.2">
      <c r="B634" s="64"/>
      <c r="C634" s="65">
        <v>5641</v>
      </c>
    </row>
    <row r="635" spans="2:3" s="1" customFormat="1" x14ac:dyDescent="0.2">
      <c r="B635" s="64"/>
      <c r="C635" s="65">
        <v>5642</v>
      </c>
    </row>
    <row r="636" spans="2:3" s="1" customFormat="1" x14ac:dyDescent="0.2">
      <c r="B636" s="64"/>
      <c r="C636" s="65">
        <v>5643</v>
      </c>
    </row>
    <row r="637" spans="2:3" s="1" customFormat="1" x14ac:dyDescent="0.2">
      <c r="B637" s="64"/>
      <c r="C637" s="65">
        <v>5644</v>
      </c>
    </row>
    <row r="638" spans="2:3" s="1" customFormat="1" x14ac:dyDescent="0.2">
      <c r="B638" s="64"/>
      <c r="C638" s="65">
        <v>5645</v>
      </c>
    </row>
    <row r="639" spans="2:3" s="1" customFormat="1" x14ac:dyDescent="0.2">
      <c r="B639" s="64"/>
      <c r="C639" s="65">
        <v>5651</v>
      </c>
    </row>
    <row r="640" spans="2:3" s="1" customFormat="1" x14ac:dyDescent="0.2">
      <c r="B640" s="64"/>
      <c r="C640" s="65">
        <v>5652</v>
      </c>
    </row>
    <row r="641" spans="2:3" s="1" customFormat="1" x14ac:dyDescent="0.2">
      <c r="B641" s="64"/>
      <c r="C641" s="65">
        <v>5653</v>
      </c>
    </row>
    <row r="642" spans="2:3" s="1" customFormat="1" x14ac:dyDescent="0.2">
      <c r="B642" s="64"/>
      <c r="C642" s="65">
        <v>5654</v>
      </c>
    </row>
    <row r="643" spans="2:3" s="1" customFormat="1" x14ac:dyDescent="0.2">
      <c r="B643" s="64"/>
      <c r="C643" s="65">
        <v>5657</v>
      </c>
    </row>
    <row r="644" spans="2:3" s="1" customFormat="1" x14ac:dyDescent="0.2">
      <c r="B644" s="64"/>
      <c r="C644" s="65">
        <v>5665</v>
      </c>
    </row>
    <row r="645" spans="2:3" s="1" customFormat="1" x14ac:dyDescent="0.2">
      <c r="B645" s="64"/>
      <c r="C645" s="65">
        <v>5681</v>
      </c>
    </row>
    <row r="646" spans="2:3" s="1" customFormat="1" x14ac:dyDescent="0.2">
      <c r="B646" s="64"/>
      <c r="C646" s="65">
        <v>5684</v>
      </c>
    </row>
    <row r="647" spans="2:3" s="1" customFormat="1" x14ac:dyDescent="0.2">
      <c r="B647" s="64"/>
      <c r="C647" s="65">
        <v>5701</v>
      </c>
    </row>
    <row r="648" spans="2:3" s="1" customFormat="1" x14ac:dyDescent="0.2">
      <c r="B648" s="64"/>
      <c r="C648" s="65">
        <v>5702</v>
      </c>
    </row>
    <row r="649" spans="2:3" s="1" customFormat="1" x14ac:dyDescent="0.2">
      <c r="B649" s="64"/>
      <c r="C649" s="65">
        <v>5703</v>
      </c>
    </row>
    <row r="650" spans="2:3" s="1" customFormat="1" x14ac:dyDescent="0.2">
      <c r="B650" s="64"/>
      <c r="C650" s="65">
        <v>5704</v>
      </c>
    </row>
    <row r="651" spans="2:3" s="1" customFormat="1" x14ac:dyDescent="0.2">
      <c r="B651" s="64"/>
      <c r="C651" s="65">
        <v>5705</v>
      </c>
    </row>
    <row r="652" spans="2:3" s="1" customFormat="1" x14ac:dyDescent="0.2">
      <c r="B652" s="64"/>
      <c r="C652" s="65">
        <v>5802</v>
      </c>
    </row>
    <row r="653" spans="2:3" s="1" customFormat="1" x14ac:dyDescent="0.2">
      <c r="B653" s="64"/>
      <c r="C653" s="65">
        <v>5843</v>
      </c>
    </row>
    <row r="654" spans="2:3" s="1" customFormat="1" x14ac:dyDescent="0.2">
      <c r="B654" s="64"/>
      <c r="C654" s="65">
        <v>5856</v>
      </c>
    </row>
    <row r="655" spans="2:3" s="1" customFormat="1" x14ac:dyDescent="0.2">
      <c r="B655" s="64"/>
      <c r="C655" s="65">
        <v>5911</v>
      </c>
    </row>
    <row r="656" spans="2:3" s="1" customFormat="1" x14ac:dyDescent="0.2">
      <c r="B656" s="64"/>
      <c r="C656" s="65">
        <v>5912</v>
      </c>
    </row>
    <row r="657" spans="2:3" s="1" customFormat="1" x14ac:dyDescent="0.2">
      <c r="B657" s="64"/>
      <c r="C657" s="65">
        <v>5914</v>
      </c>
    </row>
    <row r="658" spans="2:3" s="1" customFormat="1" x14ac:dyDescent="0.2">
      <c r="B658" s="64"/>
      <c r="C658" s="65">
        <v>5915</v>
      </c>
    </row>
    <row r="659" spans="2:3" s="1" customFormat="1" x14ac:dyDescent="0.2">
      <c r="B659" s="64"/>
      <c r="C659" s="65">
        <v>5921</v>
      </c>
    </row>
    <row r="660" spans="2:3" s="1" customFormat="1" x14ac:dyDescent="0.2">
      <c r="B660" s="64"/>
      <c r="C660" s="65">
        <v>5922</v>
      </c>
    </row>
    <row r="661" spans="2:3" s="1" customFormat="1" x14ac:dyDescent="0.2">
      <c r="B661" s="64"/>
      <c r="C661" s="65">
        <v>5923</v>
      </c>
    </row>
    <row r="662" spans="2:3" s="1" customFormat="1" x14ac:dyDescent="0.2">
      <c r="B662" s="64"/>
      <c r="C662" s="65">
        <v>5925</v>
      </c>
    </row>
    <row r="663" spans="2:3" s="1" customFormat="1" x14ac:dyDescent="0.2">
      <c r="B663" s="64"/>
      <c r="C663" s="65">
        <v>5932</v>
      </c>
    </row>
    <row r="664" spans="2:3" s="1" customFormat="1" x14ac:dyDescent="0.2">
      <c r="B664" s="64"/>
      <c r="C664" s="65">
        <v>5977</v>
      </c>
    </row>
    <row r="665" spans="2:3" s="1" customFormat="1" x14ac:dyDescent="0.2">
      <c r="B665" s="64"/>
      <c r="C665" s="65">
        <v>5984</v>
      </c>
    </row>
    <row r="666" spans="2:3" s="1" customFormat="1" x14ac:dyDescent="0.2">
      <c r="B666" s="64"/>
      <c r="C666" s="65">
        <v>6013</v>
      </c>
    </row>
    <row r="667" spans="2:3" s="1" customFormat="1" x14ac:dyDescent="0.2">
      <c r="B667" s="64"/>
      <c r="C667" s="65">
        <v>6042</v>
      </c>
    </row>
    <row r="668" spans="2:3" s="1" customFormat="1" x14ac:dyDescent="0.2">
      <c r="B668" s="64"/>
      <c r="C668" s="65">
        <v>6043</v>
      </c>
    </row>
    <row r="669" spans="2:3" s="1" customFormat="1" x14ac:dyDescent="0.2">
      <c r="B669" s="64"/>
      <c r="C669" s="65">
        <v>6044</v>
      </c>
    </row>
    <row r="670" spans="2:3" s="1" customFormat="1" x14ac:dyDescent="0.2">
      <c r="B670" s="64"/>
      <c r="C670" s="65">
        <v>6045</v>
      </c>
    </row>
    <row r="671" spans="2:3" s="1" customFormat="1" x14ac:dyDescent="0.2">
      <c r="B671" s="64"/>
      <c r="C671" s="65">
        <v>6101</v>
      </c>
    </row>
    <row r="672" spans="2:3" s="1" customFormat="1" x14ac:dyDescent="0.2">
      <c r="B672" s="64"/>
      <c r="C672" s="65">
        <v>6102</v>
      </c>
    </row>
    <row r="673" spans="2:3" s="1" customFormat="1" x14ac:dyDescent="0.2">
      <c r="B673" s="64"/>
      <c r="C673" s="65">
        <v>6105</v>
      </c>
    </row>
    <row r="674" spans="2:3" s="1" customFormat="1" x14ac:dyDescent="0.2">
      <c r="B674" s="64"/>
      <c r="C674" s="65">
        <v>6111</v>
      </c>
    </row>
    <row r="675" spans="2:3" s="1" customFormat="1" x14ac:dyDescent="0.2">
      <c r="B675" s="64"/>
      <c r="C675" s="65">
        <v>6116</v>
      </c>
    </row>
    <row r="676" spans="2:3" s="1" customFormat="1" x14ac:dyDescent="0.2">
      <c r="B676" s="64"/>
      <c r="C676" s="65">
        <v>6121</v>
      </c>
    </row>
    <row r="677" spans="2:3" s="1" customFormat="1" x14ac:dyDescent="0.2">
      <c r="B677" s="64"/>
      <c r="C677" s="65">
        <v>6123</v>
      </c>
    </row>
    <row r="678" spans="2:3" s="1" customFormat="1" x14ac:dyDescent="0.2">
      <c r="B678" s="64"/>
      <c r="C678" s="65">
        <v>6125</v>
      </c>
    </row>
    <row r="679" spans="2:3" s="1" customFormat="1" x14ac:dyDescent="0.2">
      <c r="B679" s="64"/>
      <c r="C679" s="65">
        <v>6132</v>
      </c>
    </row>
    <row r="680" spans="2:3" s="1" customFormat="1" x14ac:dyDescent="0.2">
      <c r="B680" s="64"/>
      <c r="C680" s="65">
        <v>6134</v>
      </c>
    </row>
    <row r="681" spans="2:3" s="1" customFormat="1" x14ac:dyDescent="0.2">
      <c r="B681" s="64"/>
      <c r="C681" s="65">
        <v>6135</v>
      </c>
    </row>
    <row r="682" spans="2:3" s="1" customFormat="1" x14ac:dyDescent="0.2">
      <c r="B682" s="64"/>
      <c r="C682" s="65">
        <v>6136</v>
      </c>
    </row>
    <row r="683" spans="2:3" s="1" customFormat="1" x14ac:dyDescent="0.2">
      <c r="B683" s="64"/>
      <c r="C683" s="65">
        <v>6137</v>
      </c>
    </row>
    <row r="684" spans="2:3" s="1" customFormat="1" x14ac:dyDescent="0.2">
      <c r="B684" s="64"/>
      <c r="C684" s="65">
        <v>6143</v>
      </c>
    </row>
    <row r="685" spans="2:3" s="1" customFormat="1" x14ac:dyDescent="0.2">
      <c r="B685" s="64"/>
      <c r="C685" s="65">
        <v>6161</v>
      </c>
    </row>
    <row r="686" spans="2:3" s="1" customFormat="1" x14ac:dyDescent="0.2">
      <c r="B686" s="64"/>
      <c r="C686" s="65">
        <v>6162</v>
      </c>
    </row>
    <row r="687" spans="2:3" s="1" customFormat="1" x14ac:dyDescent="0.2">
      <c r="B687" s="64"/>
      <c r="C687" s="65">
        <v>6163</v>
      </c>
    </row>
    <row r="688" spans="2:3" s="1" customFormat="1" x14ac:dyDescent="0.2">
      <c r="B688" s="64"/>
      <c r="C688" s="65">
        <v>6164</v>
      </c>
    </row>
    <row r="689" spans="2:3" s="1" customFormat="1" x14ac:dyDescent="0.2">
      <c r="B689" s="64"/>
      <c r="C689" s="65">
        <v>6165</v>
      </c>
    </row>
    <row r="690" spans="2:3" s="1" customFormat="1" x14ac:dyDescent="0.2">
      <c r="B690" s="64"/>
      <c r="C690" s="65">
        <v>6166</v>
      </c>
    </row>
    <row r="691" spans="2:3" s="1" customFormat="1" x14ac:dyDescent="0.2">
      <c r="B691" s="64"/>
      <c r="C691" s="65">
        <v>6211</v>
      </c>
    </row>
    <row r="692" spans="2:3" s="1" customFormat="1" x14ac:dyDescent="0.2">
      <c r="B692" s="64"/>
      <c r="C692" s="65">
        <v>6214</v>
      </c>
    </row>
    <row r="693" spans="2:3" s="1" customFormat="1" x14ac:dyDescent="0.2">
      <c r="B693" s="64"/>
      <c r="C693" s="65">
        <v>6215</v>
      </c>
    </row>
    <row r="694" spans="2:3" s="1" customFormat="1" x14ac:dyDescent="0.2">
      <c r="B694" s="64"/>
      <c r="C694" s="65">
        <v>6216</v>
      </c>
    </row>
    <row r="695" spans="2:3" s="1" customFormat="1" x14ac:dyDescent="0.2">
      <c r="B695" s="64"/>
      <c r="C695" s="65">
        <v>6217</v>
      </c>
    </row>
    <row r="696" spans="2:3" s="1" customFormat="1" x14ac:dyDescent="0.2">
      <c r="B696" s="64"/>
      <c r="C696" s="65">
        <v>6218</v>
      </c>
    </row>
    <row r="697" spans="2:3" s="1" customFormat="1" x14ac:dyDescent="0.2">
      <c r="B697" s="64"/>
      <c r="C697" s="65">
        <v>6219</v>
      </c>
    </row>
    <row r="698" spans="2:3" s="1" customFormat="1" x14ac:dyDescent="0.2">
      <c r="B698" s="64"/>
      <c r="C698" s="65">
        <v>6221</v>
      </c>
    </row>
    <row r="699" spans="2:3" s="1" customFormat="1" x14ac:dyDescent="0.2">
      <c r="B699" s="64"/>
      <c r="C699" s="65">
        <v>6222</v>
      </c>
    </row>
    <row r="700" spans="2:3" s="1" customFormat="1" x14ac:dyDescent="0.2">
      <c r="B700" s="64"/>
      <c r="C700" s="65">
        <v>6224</v>
      </c>
    </row>
    <row r="701" spans="2:3" s="1" customFormat="1" x14ac:dyDescent="0.2">
      <c r="B701" s="64"/>
      <c r="C701" s="65">
        <v>6227</v>
      </c>
    </row>
    <row r="702" spans="2:3" s="1" customFormat="1" x14ac:dyDescent="0.2">
      <c r="B702" s="64"/>
      <c r="C702" s="65">
        <v>6228</v>
      </c>
    </row>
    <row r="703" spans="2:3" s="1" customFormat="1" x14ac:dyDescent="0.2">
      <c r="B703" s="64"/>
      <c r="C703" s="65">
        <v>6255</v>
      </c>
    </row>
    <row r="704" spans="2:3" s="1" customFormat="1" x14ac:dyDescent="0.2">
      <c r="B704" s="64"/>
      <c r="C704" s="65">
        <v>6268</v>
      </c>
    </row>
    <row r="705" spans="2:3" s="1" customFormat="1" x14ac:dyDescent="0.2">
      <c r="B705" s="64"/>
      <c r="C705" s="65">
        <v>6271</v>
      </c>
    </row>
    <row r="706" spans="2:3" s="1" customFormat="1" x14ac:dyDescent="0.2">
      <c r="B706" s="64"/>
      <c r="C706" s="65">
        <v>6277</v>
      </c>
    </row>
    <row r="707" spans="2:3" s="1" customFormat="1" x14ac:dyDescent="0.2">
      <c r="B707" s="64"/>
      <c r="C707" s="65">
        <v>6291</v>
      </c>
    </row>
    <row r="708" spans="2:3" s="1" customFormat="1" x14ac:dyDescent="0.2">
      <c r="B708" s="64"/>
      <c r="C708" s="65">
        <v>6301</v>
      </c>
    </row>
    <row r="709" spans="2:3" s="1" customFormat="1" x14ac:dyDescent="0.2">
      <c r="B709" s="64"/>
      <c r="C709" s="65">
        <v>6361</v>
      </c>
    </row>
    <row r="710" spans="2:3" s="1" customFormat="1" x14ac:dyDescent="0.2">
      <c r="B710" s="64"/>
      <c r="C710" s="65">
        <v>6371</v>
      </c>
    </row>
    <row r="711" spans="2:3" s="1" customFormat="1" x14ac:dyDescent="0.2">
      <c r="B711" s="64"/>
      <c r="C711" s="65">
        <v>6372</v>
      </c>
    </row>
    <row r="712" spans="2:3" s="1" customFormat="1" x14ac:dyDescent="0.2">
      <c r="B712" s="64"/>
      <c r="C712" s="65">
        <v>6373</v>
      </c>
    </row>
    <row r="713" spans="2:3" s="1" customFormat="1" x14ac:dyDescent="0.2">
      <c r="B713" s="64"/>
      <c r="C713" s="65">
        <v>6411</v>
      </c>
    </row>
    <row r="714" spans="2:3" s="1" customFormat="1" x14ac:dyDescent="0.2">
      <c r="B714" s="64"/>
      <c r="C714" s="65">
        <v>6412</v>
      </c>
    </row>
    <row r="715" spans="2:3" s="1" customFormat="1" x14ac:dyDescent="0.2">
      <c r="B715" s="64"/>
      <c r="C715" s="65">
        <v>6413</v>
      </c>
    </row>
    <row r="716" spans="2:3" s="1" customFormat="1" x14ac:dyDescent="0.2">
      <c r="B716" s="64"/>
      <c r="C716" s="65">
        <v>6414</v>
      </c>
    </row>
    <row r="717" spans="2:3" s="1" customFormat="1" x14ac:dyDescent="0.2">
      <c r="B717" s="64"/>
      <c r="C717" s="65">
        <v>6415</v>
      </c>
    </row>
    <row r="718" spans="2:3" s="1" customFormat="1" x14ac:dyDescent="0.2">
      <c r="B718" s="64"/>
      <c r="C718" s="65">
        <v>6416</v>
      </c>
    </row>
    <row r="719" spans="2:3" s="1" customFormat="1" x14ac:dyDescent="0.2">
      <c r="B719" s="64"/>
      <c r="C719" s="65">
        <v>6418</v>
      </c>
    </row>
    <row r="720" spans="2:3" s="1" customFormat="1" x14ac:dyDescent="0.2">
      <c r="B720" s="64"/>
      <c r="C720" s="65">
        <v>6431</v>
      </c>
    </row>
    <row r="721" spans="2:3" s="1" customFormat="1" x14ac:dyDescent="0.2">
      <c r="B721" s="64"/>
      <c r="C721" s="65">
        <v>6432</v>
      </c>
    </row>
    <row r="722" spans="2:3" s="1" customFormat="1" x14ac:dyDescent="0.2">
      <c r="B722" s="64"/>
      <c r="C722" s="65">
        <v>6433</v>
      </c>
    </row>
    <row r="723" spans="2:3" s="1" customFormat="1" x14ac:dyDescent="0.2">
      <c r="B723" s="64"/>
      <c r="C723" s="65">
        <v>6439</v>
      </c>
    </row>
    <row r="724" spans="2:3" s="1" customFormat="1" x14ac:dyDescent="0.2">
      <c r="B724" s="64"/>
      <c r="C724" s="65">
        <v>6441</v>
      </c>
    </row>
    <row r="725" spans="2:3" s="1" customFormat="1" x14ac:dyDescent="0.2">
      <c r="B725" s="64"/>
      <c r="C725" s="65">
        <v>6442</v>
      </c>
    </row>
    <row r="726" spans="2:3" s="1" customFormat="1" x14ac:dyDescent="0.2">
      <c r="B726" s="64"/>
      <c r="C726" s="65">
        <v>6443</v>
      </c>
    </row>
    <row r="727" spans="2:3" s="1" customFormat="1" x14ac:dyDescent="0.2">
      <c r="B727" s="64"/>
      <c r="C727" s="65">
        <v>6446</v>
      </c>
    </row>
    <row r="728" spans="2:3" s="1" customFormat="1" x14ac:dyDescent="0.2">
      <c r="B728" s="64"/>
      <c r="C728" s="65">
        <v>6451</v>
      </c>
    </row>
    <row r="729" spans="2:3" s="1" customFormat="1" x14ac:dyDescent="0.2">
      <c r="B729" s="64"/>
      <c r="C729" s="65">
        <v>6461</v>
      </c>
    </row>
    <row r="730" spans="2:3" s="1" customFormat="1" x14ac:dyDescent="0.2">
      <c r="B730" s="64"/>
      <c r="C730" s="65">
        <v>6462</v>
      </c>
    </row>
    <row r="731" spans="2:3" s="1" customFormat="1" x14ac:dyDescent="0.2">
      <c r="B731" s="64"/>
      <c r="C731" s="65">
        <v>6463</v>
      </c>
    </row>
    <row r="732" spans="2:3" s="1" customFormat="1" x14ac:dyDescent="0.2">
      <c r="B732" s="64"/>
      <c r="C732" s="65">
        <v>6464</v>
      </c>
    </row>
    <row r="733" spans="2:3" s="1" customFormat="1" x14ac:dyDescent="0.2">
      <c r="B733" s="64"/>
      <c r="C733" s="65">
        <v>6465</v>
      </c>
    </row>
    <row r="734" spans="2:3" s="1" customFormat="1" x14ac:dyDescent="0.2">
      <c r="B734" s="64"/>
      <c r="C734" s="65">
        <v>6466</v>
      </c>
    </row>
    <row r="735" spans="2:3" s="1" customFormat="1" x14ac:dyDescent="0.2">
      <c r="B735" s="64"/>
      <c r="C735" s="65">
        <v>6468</v>
      </c>
    </row>
    <row r="736" spans="2:3" s="1" customFormat="1" x14ac:dyDescent="0.2">
      <c r="B736" s="64"/>
      <c r="C736" s="65">
        <v>6469</v>
      </c>
    </row>
    <row r="737" spans="2:3" s="1" customFormat="1" x14ac:dyDescent="0.2">
      <c r="B737" s="64"/>
      <c r="C737" s="65">
        <v>6471</v>
      </c>
    </row>
    <row r="738" spans="2:3" s="1" customFormat="1" x14ac:dyDescent="0.2">
      <c r="B738" s="64"/>
      <c r="C738" s="65">
        <v>6511</v>
      </c>
    </row>
    <row r="739" spans="2:3" s="1" customFormat="1" x14ac:dyDescent="0.2">
      <c r="B739" s="64"/>
      <c r="C739" s="65">
        <v>6512</v>
      </c>
    </row>
    <row r="740" spans="2:3" s="1" customFormat="1" x14ac:dyDescent="0.2">
      <c r="B740" s="64"/>
      <c r="C740" s="65">
        <v>6521</v>
      </c>
    </row>
    <row r="741" spans="2:3" s="1" customFormat="1" x14ac:dyDescent="0.2">
      <c r="B741" s="64"/>
      <c r="C741" s="65">
        <v>6523</v>
      </c>
    </row>
    <row r="742" spans="2:3" s="1" customFormat="1" x14ac:dyDescent="0.2">
      <c r="B742" s="64"/>
      <c r="C742" s="65">
        <v>6531</v>
      </c>
    </row>
    <row r="743" spans="2:3" s="1" customFormat="1" x14ac:dyDescent="0.2">
      <c r="B743" s="64"/>
      <c r="C743" s="65">
        <v>6532</v>
      </c>
    </row>
    <row r="744" spans="2:3" s="1" customFormat="1" x14ac:dyDescent="0.2">
      <c r="B744" s="64"/>
      <c r="C744" s="65">
        <v>6533</v>
      </c>
    </row>
    <row r="745" spans="2:3" s="1" customFormat="1" x14ac:dyDescent="0.2">
      <c r="B745" s="64"/>
      <c r="C745" s="65">
        <v>6534</v>
      </c>
    </row>
    <row r="746" spans="2:3" s="1" customFormat="1" x14ac:dyDescent="0.2">
      <c r="B746" s="64"/>
      <c r="C746" s="65">
        <v>6535</v>
      </c>
    </row>
    <row r="747" spans="2:3" s="1" customFormat="1" x14ac:dyDescent="0.2">
      <c r="B747" s="64"/>
      <c r="C747" s="65">
        <v>6537</v>
      </c>
    </row>
    <row r="748" spans="2:3" s="1" customFormat="1" x14ac:dyDescent="0.2">
      <c r="B748" s="64"/>
      <c r="C748" s="65">
        <v>6538</v>
      </c>
    </row>
    <row r="749" spans="2:3" s="1" customFormat="1" x14ac:dyDescent="0.2">
      <c r="B749" s="64"/>
      <c r="C749" s="65">
        <v>6541</v>
      </c>
    </row>
    <row r="750" spans="2:3" s="1" customFormat="1" x14ac:dyDescent="0.2">
      <c r="B750" s="64"/>
      <c r="C750" s="65">
        <v>6542</v>
      </c>
    </row>
    <row r="751" spans="2:3" s="1" customFormat="1" x14ac:dyDescent="0.2">
      <c r="B751" s="64"/>
      <c r="C751" s="65">
        <v>6543</v>
      </c>
    </row>
    <row r="752" spans="2:3" s="1" customFormat="1" x14ac:dyDescent="0.2">
      <c r="B752" s="64"/>
      <c r="C752" s="65">
        <v>6544</v>
      </c>
    </row>
    <row r="753" spans="2:3" s="1" customFormat="1" x14ac:dyDescent="0.2">
      <c r="B753" s="64"/>
      <c r="C753" s="65">
        <v>6545</v>
      </c>
    </row>
    <row r="754" spans="2:3" s="1" customFormat="1" x14ac:dyDescent="0.2">
      <c r="B754" s="64"/>
      <c r="C754" s="65">
        <v>6546</v>
      </c>
    </row>
    <row r="755" spans="2:3" s="1" customFormat="1" x14ac:dyDescent="0.2">
      <c r="B755" s="64"/>
      <c r="C755" s="65">
        <v>6561</v>
      </c>
    </row>
    <row r="756" spans="2:3" s="1" customFormat="1" x14ac:dyDescent="0.2">
      <c r="B756" s="64"/>
      <c r="C756" s="65">
        <v>6574</v>
      </c>
    </row>
    <row r="757" spans="2:3" s="1" customFormat="1" x14ac:dyDescent="0.2">
      <c r="B757" s="64"/>
      <c r="C757" s="65">
        <v>6579</v>
      </c>
    </row>
    <row r="758" spans="2:3" s="1" customFormat="1" x14ac:dyDescent="0.2">
      <c r="B758" s="64"/>
      <c r="C758" s="65">
        <v>6601</v>
      </c>
    </row>
    <row r="759" spans="2:3" s="1" customFormat="1" x14ac:dyDescent="0.2">
      <c r="B759" s="64"/>
      <c r="C759" s="65">
        <v>6628</v>
      </c>
    </row>
    <row r="760" spans="2:3" s="1" customFormat="1" x14ac:dyDescent="0.2">
      <c r="B760" s="64"/>
      <c r="C760" s="65">
        <v>6677</v>
      </c>
    </row>
    <row r="761" spans="2:3" s="1" customFormat="1" x14ac:dyDescent="0.2">
      <c r="B761" s="64"/>
      <c r="C761" s="65">
        <v>6701</v>
      </c>
    </row>
    <row r="762" spans="2:3" s="1" customFormat="1" x14ac:dyDescent="0.2">
      <c r="B762" s="64"/>
      <c r="C762" s="65">
        <v>6702</v>
      </c>
    </row>
    <row r="763" spans="2:3" s="1" customFormat="1" x14ac:dyDescent="0.2">
      <c r="B763" s="64"/>
      <c r="C763" s="65">
        <v>6706</v>
      </c>
    </row>
    <row r="764" spans="2:3" s="1" customFormat="1" x14ac:dyDescent="0.2">
      <c r="B764" s="64"/>
      <c r="C764" s="65">
        <v>6707</v>
      </c>
    </row>
    <row r="765" spans="2:3" s="1" customFormat="1" x14ac:dyDescent="0.2">
      <c r="B765" s="64"/>
      <c r="C765" s="65">
        <v>6709</v>
      </c>
    </row>
    <row r="766" spans="2:3" s="1" customFormat="1" x14ac:dyDescent="0.2">
      <c r="B766" s="64"/>
      <c r="C766" s="65">
        <v>6714</v>
      </c>
    </row>
    <row r="767" spans="2:3" s="1" customFormat="1" x14ac:dyDescent="0.2">
      <c r="B767" s="64"/>
      <c r="C767" s="65">
        <v>6717</v>
      </c>
    </row>
    <row r="768" spans="2:3" s="1" customFormat="1" x14ac:dyDescent="0.2">
      <c r="B768" s="64"/>
      <c r="C768" s="65">
        <v>6811</v>
      </c>
    </row>
    <row r="769" spans="2:3" s="1" customFormat="1" x14ac:dyDescent="0.2">
      <c r="B769" s="64"/>
      <c r="C769" s="65">
        <v>6821</v>
      </c>
    </row>
    <row r="770" spans="2:3" s="1" customFormat="1" x14ac:dyDescent="0.2">
      <c r="B770" s="64"/>
      <c r="C770" s="65">
        <v>6822</v>
      </c>
    </row>
    <row r="771" spans="2:3" s="1" customFormat="1" x14ac:dyDescent="0.2">
      <c r="B771" s="64"/>
      <c r="C771" s="65">
        <v>6823</v>
      </c>
    </row>
    <row r="772" spans="2:3" s="1" customFormat="1" x14ac:dyDescent="0.2">
      <c r="B772" s="64"/>
      <c r="C772" s="65">
        <v>6826</v>
      </c>
    </row>
    <row r="773" spans="2:3" s="1" customFormat="1" x14ac:dyDescent="0.2">
      <c r="B773" s="64"/>
      <c r="C773" s="65">
        <v>6827</v>
      </c>
    </row>
    <row r="774" spans="2:3" s="1" customFormat="1" x14ac:dyDescent="0.2">
      <c r="B774" s="64"/>
      <c r="C774" s="65">
        <v>6828</v>
      </c>
    </row>
    <row r="775" spans="2:3" s="1" customFormat="1" x14ac:dyDescent="0.2">
      <c r="B775" s="64"/>
      <c r="C775" s="65">
        <v>6831</v>
      </c>
    </row>
    <row r="776" spans="2:3" s="1" customFormat="1" x14ac:dyDescent="0.2">
      <c r="B776" s="64"/>
      <c r="C776" s="65">
        <v>6832</v>
      </c>
    </row>
    <row r="777" spans="2:3" s="1" customFormat="1" x14ac:dyDescent="0.2">
      <c r="B777" s="64"/>
      <c r="C777" s="65">
        <v>6833</v>
      </c>
    </row>
    <row r="778" spans="2:3" s="1" customFormat="1" x14ac:dyDescent="0.2">
      <c r="B778" s="64"/>
      <c r="C778" s="65">
        <v>6834</v>
      </c>
    </row>
    <row r="779" spans="2:3" s="1" customFormat="1" x14ac:dyDescent="0.2">
      <c r="B779" s="64"/>
      <c r="C779" s="65">
        <v>6841</v>
      </c>
    </row>
    <row r="780" spans="2:3" s="1" customFormat="1" x14ac:dyDescent="0.2">
      <c r="B780" s="64"/>
      <c r="C780" s="65">
        <v>6844</v>
      </c>
    </row>
    <row r="781" spans="2:3" s="1" customFormat="1" x14ac:dyDescent="0.2">
      <c r="B781" s="64"/>
      <c r="C781" s="65">
        <v>6845</v>
      </c>
    </row>
    <row r="782" spans="2:3" s="1" customFormat="1" x14ac:dyDescent="0.2">
      <c r="B782" s="64"/>
      <c r="C782" s="65">
        <v>6882</v>
      </c>
    </row>
    <row r="783" spans="2:3" s="1" customFormat="1" x14ac:dyDescent="0.2">
      <c r="B783" s="64"/>
      <c r="C783" s="65">
        <v>6915</v>
      </c>
    </row>
    <row r="784" spans="2:3" s="1" customFormat="1" x14ac:dyDescent="0.2">
      <c r="B784" s="64"/>
      <c r="C784" s="65">
        <v>6917</v>
      </c>
    </row>
    <row r="785" spans="2:3" s="1" customFormat="1" x14ac:dyDescent="0.2">
      <c r="B785" s="64"/>
      <c r="C785" s="65">
        <v>6951</v>
      </c>
    </row>
    <row r="786" spans="2:3" s="1" customFormat="1" x14ac:dyDescent="0.2">
      <c r="B786" s="64"/>
      <c r="C786" s="65">
        <v>6975</v>
      </c>
    </row>
    <row r="787" spans="2:3" s="1" customFormat="1" x14ac:dyDescent="0.2">
      <c r="B787" s="64"/>
      <c r="C787" s="65">
        <v>6981</v>
      </c>
    </row>
    <row r="788" spans="2:3" s="1" customFormat="1" x14ac:dyDescent="0.2">
      <c r="B788" s="64"/>
      <c r="C788" s="65">
        <v>6982</v>
      </c>
    </row>
    <row r="789" spans="2:3" s="1" customFormat="1" x14ac:dyDescent="0.2">
      <c r="B789" s="64"/>
      <c r="C789" s="65">
        <v>7002</v>
      </c>
    </row>
    <row r="790" spans="2:3" s="1" customFormat="1" x14ac:dyDescent="0.2">
      <c r="B790" s="64"/>
      <c r="C790" s="65">
        <v>7008</v>
      </c>
    </row>
    <row r="791" spans="2:3" s="1" customFormat="1" x14ac:dyDescent="0.2">
      <c r="B791" s="64"/>
      <c r="C791" s="65">
        <v>7009</v>
      </c>
    </row>
    <row r="792" spans="2:3" s="1" customFormat="1" x14ac:dyDescent="0.2">
      <c r="B792" s="64"/>
      <c r="C792" s="65">
        <v>7036</v>
      </c>
    </row>
    <row r="793" spans="2:3" s="1" customFormat="1" x14ac:dyDescent="0.2">
      <c r="B793" s="64"/>
      <c r="C793" s="65">
        <v>7041</v>
      </c>
    </row>
    <row r="794" spans="2:3" s="1" customFormat="1" x14ac:dyDescent="0.2">
      <c r="B794" s="64"/>
      <c r="C794" s="65">
        <v>7044</v>
      </c>
    </row>
    <row r="795" spans="2:3" s="1" customFormat="1" x14ac:dyDescent="0.2">
      <c r="B795" s="64"/>
      <c r="C795" s="65">
        <v>7081</v>
      </c>
    </row>
    <row r="796" spans="2:3" s="1" customFormat="1" x14ac:dyDescent="0.2">
      <c r="B796" s="64"/>
      <c r="C796" s="65">
        <v>7113</v>
      </c>
    </row>
    <row r="797" spans="2:3" s="1" customFormat="1" x14ac:dyDescent="0.2">
      <c r="B797" s="64"/>
      <c r="C797" s="65">
        <v>7142</v>
      </c>
    </row>
    <row r="798" spans="2:3" s="1" customFormat="1" x14ac:dyDescent="0.2">
      <c r="B798" s="64"/>
      <c r="C798" s="65">
        <v>7202</v>
      </c>
    </row>
    <row r="799" spans="2:3" s="1" customFormat="1" x14ac:dyDescent="0.2">
      <c r="B799" s="64"/>
      <c r="C799" s="65">
        <v>7203</v>
      </c>
    </row>
    <row r="800" spans="2:3" s="1" customFormat="1" x14ac:dyDescent="0.2">
      <c r="B800" s="64"/>
      <c r="C800" s="65">
        <v>7204</v>
      </c>
    </row>
    <row r="801" spans="2:3" s="1" customFormat="1" x14ac:dyDescent="0.2">
      <c r="B801" s="64"/>
      <c r="C801" s="65">
        <v>7206</v>
      </c>
    </row>
    <row r="802" spans="2:3" s="1" customFormat="1" x14ac:dyDescent="0.2">
      <c r="B802" s="64"/>
      <c r="C802" s="65">
        <v>7216</v>
      </c>
    </row>
    <row r="803" spans="2:3" s="1" customFormat="1" x14ac:dyDescent="0.2">
      <c r="B803" s="64"/>
      <c r="C803" s="65">
        <v>7218</v>
      </c>
    </row>
    <row r="804" spans="2:3" s="1" customFormat="1" x14ac:dyDescent="0.2">
      <c r="B804" s="64"/>
      <c r="C804" s="65">
        <v>7226</v>
      </c>
    </row>
    <row r="805" spans="2:3" s="1" customFormat="1" x14ac:dyDescent="0.2">
      <c r="B805" s="64"/>
      <c r="C805" s="65">
        <v>7312</v>
      </c>
    </row>
    <row r="806" spans="2:3" s="1" customFormat="1" x14ac:dyDescent="0.2">
      <c r="B806" s="64"/>
      <c r="C806" s="65">
        <v>7323</v>
      </c>
    </row>
    <row r="807" spans="2:3" s="1" customFormat="1" x14ac:dyDescent="0.2">
      <c r="B807" s="64"/>
      <c r="C807" s="65">
        <v>7329</v>
      </c>
    </row>
    <row r="808" spans="2:3" s="1" customFormat="1" x14ac:dyDescent="0.2">
      <c r="B808" s="64"/>
      <c r="C808" s="65">
        <v>7331</v>
      </c>
    </row>
    <row r="809" spans="2:3" s="1" customFormat="1" x14ac:dyDescent="0.2">
      <c r="B809" s="64"/>
      <c r="C809" s="65">
        <v>7332</v>
      </c>
    </row>
    <row r="810" spans="2:3" s="1" customFormat="1" x14ac:dyDescent="0.2">
      <c r="B810" s="64"/>
      <c r="C810" s="65">
        <v>7413</v>
      </c>
    </row>
    <row r="811" spans="2:3" s="1" customFormat="1" x14ac:dyDescent="0.2">
      <c r="B811" s="64"/>
      <c r="C811" s="65">
        <v>7415</v>
      </c>
    </row>
    <row r="812" spans="2:3" s="1" customFormat="1" x14ac:dyDescent="0.2">
      <c r="B812" s="64"/>
      <c r="C812" s="65">
        <v>7416</v>
      </c>
    </row>
    <row r="813" spans="2:3" s="1" customFormat="1" x14ac:dyDescent="0.2">
      <c r="B813" s="64"/>
      <c r="C813" s="65">
        <v>7417</v>
      </c>
    </row>
    <row r="814" spans="2:3" s="1" customFormat="1" x14ac:dyDescent="0.2">
      <c r="B814" s="64"/>
      <c r="C814" s="65">
        <v>7418</v>
      </c>
    </row>
    <row r="815" spans="2:3" s="1" customFormat="1" x14ac:dyDescent="0.2">
      <c r="B815" s="64"/>
      <c r="C815" s="65">
        <v>7466</v>
      </c>
    </row>
    <row r="816" spans="2:3" s="1" customFormat="1" x14ac:dyDescent="0.2">
      <c r="B816" s="64"/>
      <c r="C816" s="65">
        <v>7467</v>
      </c>
    </row>
    <row r="817" spans="2:3" s="1" customFormat="1" x14ac:dyDescent="0.2">
      <c r="B817" s="64"/>
      <c r="C817" s="65">
        <v>7495</v>
      </c>
    </row>
    <row r="818" spans="2:3" s="1" customFormat="1" x14ac:dyDescent="0.2">
      <c r="B818" s="64"/>
      <c r="C818" s="65">
        <v>7511</v>
      </c>
    </row>
    <row r="819" spans="2:3" s="1" customFormat="1" x14ac:dyDescent="0.2">
      <c r="B819" s="64"/>
      <c r="C819" s="65">
        <v>7512</v>
      </c>
    </row>
    <row r="820" spans="2:3" s="1" customFormat="1" x14ac:dyDescent="0.2">
      <c r="B820" s="64"/>
      <c r="C820" s="65">
        <v>7513</v>
      </c>
    </row>
    <row r="821" spans="2:3" s="1" customFormat="1" x14ac:dyDescent="0.2">
      <c r="B821" s="64"/>
      <c r="C821" s="65">
        <v>7514</v>
      </c>
    </row>
    <row r="822" spans="2:3" s="1" customFormat="1" x14ac:dyDescent="0.2">
      <c r="B822" s="64"/>
      <c r="C822" s="65">
        <v>7521</v>
      </c>
    </row>
    <row r="823" spans="2:3" s="1" customFormat="1" x14ac:dyDescent="0.2">
      <c r="B823" s="64"/>
      <c r="C823" s="65">
        <v>7523</v>
      </c>
    </row>
    <row r="824" spans="2:3" s="1" customFormat="1" x14ac:dyDescent="0.2">
      <c r="B824" s="64"/>
      <c r="C824" s="65">
        <v>7525</v>
      </c>
    </row>
    <row r="825" spans="2:3" s="1" customFormat="1" x14ac:dyDescent="0.2">
      <c r="B825" s="64"/>
      <c r="C825" s="65">
        <v>7531</v>
      </c>
    </row>
    <row r="826" spans="2:3" s="1" customFormat="1" x14ac:dyDescent="0.2">
      <c r="B826" s="64"/>
      <c r="C826" s="65">
        <v>7532</v>
      </c>
    </row>
    <row r="827" spans="2:3" s="1" customFormat="1" x14ac:dyDescent="0.2">
      <c r="B827" s="64"/>
      <c r="C827" s="65">
        <v>7533</v>
      </c>
    </row>
    <row r="828" spans="2:3" s="1" customFormat="1" x14ac:dyDescent="0.2">
      <c r="B828" s="64"/>
      <c r="C828" s="65">
        <v>7541</v>
      </c>
    </row>
    <row r="829" spans="2:3" s="1" customFormat="1" x14ac:dyDescent="0.2">
      <c r="B829" s="64"/>
      <c r="C829" s="65">
        <v>7542</v>
      </c>
    </row>
    <row r="830" spans="2:3" s="1" customFormat="1" x14ac:dyDescent="0.2">
      <c r="B830" s="64"/>
      <c r="C830" s="65">
        <v>7543</v>
      </c>
    </row>
    <row r="831" spans="2:3" s="1" customFormat="1" x14ac:dyDescent="0.2">
      <c r="B831" s="64"/>
      <c r="C831" s="65">
        <v>7544</v>
      </c>
    </row>
    <row r="832" spans="2:3" s="1" customFormat="1" x14ac:dyDescent="0.2">
      <c r="B832" s="64"/>
      <c r="C832" s="65">
        <v>7545</v>
      </c>
    </row>
    <row r="833" spans="2:3" s="1" customFormat="1" x14ac:dyDescent="0.2">
      <c r="B833" s="64"/>
      <c r="C833" s="65">
        <v>7547</v>
      </c>
    </row>
    <row r="834" spans="2:3" s="1" customFormat="1" x14ac:dyDescent="0.2">
      <c r="B834" s="64"/>
      <c r="C834" s="65">
        <v>7552</v>
      </c>
    </row>
    <row r="835" spans="2:3" s="1" customFormat="1" x14ac:dyDescent="0.2">
      <c r="B835" s="64"/>
      <c r="C835" s="65">
        <v>7553</v>
      </c>
    </row>
    <row r="836" spans="2:3" s="1" customFormat="1" x14ac:dyDescent="0.2">
      <c r="B836" s="64"/>
      <c r="C836" s="65">
        <v>7556</v>
      </c>
    </row>
    <row r="837" spans="2:3" s="1" customFormat="1" x14ac:dyDescent="0.2">
      <c r="B837" s="64"/>
      <c r="C837" s="65">
        <v>7557</v>
      </c>
    </row>
    <row r="838" spans="2:3" s="1" customFormat="1" x14ac:dyDescent="0.2">
      <c r="B838" s="64"/>
      <c r="C838" s="65">
        <v>7571</v>
      </c>
    </row>
    <row r="839" spans="2:3" s="1" customFormat="1" x14ac:dyDescent="0.2">
      <c r="B839" s="64"/>
      <c r="C839" s="65">
        <v>7572</v>
      </c>
    </row>
    <row r="840" spans="2:3" s="1" customFormat="1" x14ac:dyDescent="0.2">
      <c r="B840" s="64"/>
      <c r="C840" s="65">
        <v>7574</v>
      </c>
    </row>
    <row r="841" spans="2:3" s="1" customFormat="1" x14ac:dyDescent="0.2">
      <c r="B841" s="64"/>
      <c r="C841" s="65">
        <v>7576</v>
      </c>
    </row>
    <row r="842" spans="2:3" s="1" customFormat="1" x14ac:dyDescent="0.2">
      <c r="B842" s="64"/>
      <c r="C842" s="65">
        <v>7586</v>
      </c>
    </row>
    <row r="843" spans="2:3" s="1" customFormat="1" x14ac:dyDescent="0.2">
      <c r="B843" s="64"/>
      <c r="C843" s="65">
        <v>7601</v>
      </c>
    </row>
    <row r="844" spans="2:3" s="1" customFormat="1" x14ac:dyDescent="0.2">
      <c r="B844" s="64"/>
      <c r="C844" s="65">
        <v>7603</v>
      </c>
    </row>
    <row r="845" spans="2:3" s="1" customFormat="1" x14ac:dyDescent="0.2">
      <c r="B845" s="64"/>
      <c r="C845" s="65">
        <v>7604</v>
      </c>
    </row>
    <row r="846" spans="2:3" s="1" customFormat="1" x14ac:dyDescent="0.2">
      <c r="B846" s="64"/>
      <c r="C846" s="65">
        <v>7605</v>
      </c>
    </row>
    <row r="847" spans="2:3" s="1" customFormat="1" x14ac:dyDescent="0.2">
      <c r="B847" s="64"/>
      <c r="C847" s="65">
        <v>7606</v>
      </c>
    </row>
    <row r="848" spans="2:3" s="1" customFormat="1" x14ac:dyDescent="0.2">
      <c r="B848" s="64"/>
      <c r="C848" s="65">
        <v>7608</v>
      </c>
    </row>
    <row r="849" spans="2:3" s="1" customFormat="1" x14ac:dyDescent="0.2">
      <c r="B849" s="64"/>
      <c r="C849" s="65">
        <v>7636</v>
      </c>
    </row>
    <row r="850" spans="2:3" s="1" customFormat="1" x14ac:dyDescent="0.2">
      <c r="B850" s="64"/>
      <c r="C850" s="65">
        <v>7637</v>
      </c>
    </row>
    <row r="851" spans="2:3" s="1" customFormat="1" x14ac:dyDescent="0.2">
      <c r="B851" s="64"/>
      <c r="C851" s="65">
        <v>7663</v>
      </c>
    </row>
    <row r="852" spans="2:3" s="1" customFormat="1" x14ac:dyDescent="0.2">
      <c r="B852" s="64"/>
      <c r="C852" s="65">
        <v>7676</v>
      </c>
    </row>
    <row r="853" spans="2:3" s="1" customFormat="1" x14ac:dyDescent="0.2">
      <c r="B853" s="64"/>
      <c r="C853" s="65">
        <v>7734</v>
      </c>
    </row>
    <row r="854" spans="2:3" s="1" customFormat="1" x14ac:dyDescent="0.2">
      <c r="B854" s="64"/>
      <c r="C854" s="65">
        <v>7738</v>
      </c>
    </row>
    <row r="855" spans="2:3" s="1" customFormat="1" x14ac:dyDescent="0.2">
      <c r="B855" s="64"/>
      <c r="C855" s="65">
        <v>7741</v>
      </c>
    </row>
    <row r="856" spans="2:3" s="1" customFormat="1" x14ac:dyDescent="0.2">
      <c r="B856" s="64"/>
      <c r="C856" s="65">
        <v>7756</v>
      </c>
    </row>
    <row r="857" spans="2:3" s="1" customFormat="1" x14ac:dyDescent="0.2">
      <c r="B857" s="64"/>
      <c r="C857" s="65">
        <v>7766</v>
      </c>
    </row>
    <row r="858" spans="2:3" s="1" customFormat="1" x14ac:dyDescent="0.2">
      <c r="B858" s="64"/>
      <c r="C858" s="65">
        <v>7793</v>
      </c>
    </row>
    <row r="859" spans="2:3" s="1" customFormat="1" x14ac:dyDescent="0.2">
      <c r="B859" s="64"/>
      <c r="C859" s="65">
        <v>7794</v>
      </c>
    </row>
    <row r="860" spans="2:3" s="1" customFormat="1" x14ac:dyDescent="0.2">
      <c r="B860" s="64"/>
      <c r="C860" s="65">
        <v>7796</v>
      </c>
    </row>
    <row r="861" spans="2:3" s="1" customFormat="1" x14ac:dyDescent="0.2">
      <c r="B861" s="64"/>
      <c r="C861" s="65">
        <v>7797</v>
      </c>
    </row>
    <row r="862" spans="2:3" s="1" customFormat="1" x14ac:dyDescent="0.2">
      <c r="B862" s="64"/>
      <c r="C862" s="65">
        <v>7798</v>
      </c>
    </row>
    <row r="863" spans="2:3" s="1" customFormat="1" x14ac:dyDescent="0.2">
      <c r="B863" s="64"/>
      <c r="C863" s="65">
        <v>7812</v>
      </c>
    </row>
    <row r="864" spans="2:3" s="1" customFormat="1" x14ac:dyDescent="0.2">
      <c r="B864" s="64"/>
      <c r="C864" s="65">
        <v>7814</v>
      </c>
    </row>
    <row r="865" spans="2:3" s="1" customFormat="1" x14ac:dyDescent="0.2">
      <c r="B865" s="64"/>
      <c r="C865" s="65">
        <v>7815</v>
      </c>
    </row>
    <row r="866" spans="2:3" s="1" customFormat="1" x14ac:dyDescent="0.2">
      <c r="B866" s="64"/>
      <c r="C866" s="65">
        <v>7823</v>
      </c>
    </row>
    <row r="867" spans="2:3" s="1" customFormat="1" x14ac:dyDescent="0.2">
      <c r="B867" s="64"/>
      <c r="C867" s="65">
        <v>7824</v>
      </c>
    </row>
    <row r="868" spans="2:3" s="1" customFormat="1" x14ac:dyDescent="0.2">
      <c r="B868" s="64"/>
      <c r="C868" s="65">
        <v>7831</v>
      </c>
    </row>
    <row r="869" spans="2:3" s="1" customFormat="1" x14ac:dyDescent="0.2">
      <c r="B869" s="64"/>
      <c r="C869" s="65">
        <v>7843</v>
      </c>
    </row>
    <row r="870" spans="2:3" s="1" customFormat="1" x14ac:dyDescent="0.2">
      <c r="B870" s="64"/>
      <c r="C870" s="65">
        <v>7844</v>
      </c>
    </row>
    <row r="871" spans="2:3" s="1" customFormat="1" x14ac:dyDescent="0.2">
      <c r="B871" s="64"/>
      <c r="C871" s="65">
        <v>7845</v>
      </c>
    </row>
    <row r="872" spans="2:3" s="1" customFormat="1" x14ac:dyDescent="0.2">
      <c r="B872" s="64"/>
      <c r="C872" s="65">
        <v>7847</v>
      </c>
    </row>
    <row r="873" spans="2:3" s="1" customFormat="1" x14ac:dyDescent="0.2">
      <c r="B873" s="64"/>
      <c r="C873" s="65">
        <v>7876</v>
      </c>
    </row>
    <row r="874" spans="2:3" s="1" customFormat="1" x14ac:dyDescent="0.2">
      <c r="B874" s="64"/>
      <c r="C874" s="65">
        <v>7881</v>
      </c>
    </row>
    <row r="875" spans="2:3" s="1" customFormat="1" x14ac:dyDescent="0.2">
      <c r="B875" s="64"/>
      <c r="C875" s="65">
        <v>7885</v>
      </c>
    </row>
    <row r="876" spans="2:3" s="1" customFormat="1" x14ac:dyDescent="0.2">
      <c r="B876" s="64"/>
      <c r="C876" s="65">
        <v>7894</v>
      </c>
    </row>
    <row r="877" spans="2:3" s="1" customFormat="1" x14ac:dyDescent="0.2">
      <c r="B877" s="64"/>
      <c r="C877" s="65">
        <v>7902</v>
      </c>
    </row>
    <row r="878" spans="2:3" s="1" customFormat="1" x14ac:dyDescent="0.2">
      <c r="B878" s="64"/>
      <c r="C878" s="65">
        <v>7904</v>
      </c>
    </row>
    <row r="879" spans="2:3" s="1" customFormat="1" x14ac:dyDescent="0.2">
      <c r="B879" s="64"/>
      <c r="C879" s="65">
        <v>7905</v>
      </c>
    </row>
    <row r="880" spans="2:3" s="1" customFormat="1" x14ac:dyDescent="0.2">
      <c r="B880" s="64"/>
      <c r="C880" s="65">
        <v>7906</v>
      </c>
    </row>
    <row r="881" spans="2:3" s="1" customFormat="1" x14ac:dyDescent="0.2">
      <c r="B881" s="64"/>
      <c r="C881" s="65">
        <v>7909</v>
      </c>
    </row>
    <row r="882" spans="2:3" s="1" customFormat="1" x14ac:dyDescent="0.2">
      <c r="B882" s="64"/>
      <c r="C882" s="65">
        <v>7912</v>
      </c>
    </row>
    <row r="883" spans="2:3" s="1" customFormat="1" x14ac:dyDescent="0.2">
      <c r="B883" s="64"/>
      <c r="C883" s="65">
        <v>7916</v>
      </c>
    </row>
    <row r="884" spans="2:3" s="1" customFormat="1" x14ac:dyDescent="0.2">
      <c r="B884" s="64"/>
      <c r="C884" s="65">
        <v>7917</v>
      </c>
    </row>
    <row r="885" spans="2:3" s="1" customFormat="1" x14ac:dyDescent="0.2">
      <c r="B885" s="64"/>
      <c r="C885" s="65">
        <v>7925</v>
      </c>
    </row>
    <row r="886" spans="2:3" s="1" customFormat="1" x14ac:dyDescent="0.2">
      <c r="B886" s="64"/>
      <c r="C886" s="65">
        <v>7927</v>
      </c>
    </row>
    <row r="887" spans="2:3" s="1" customFormat="1" x14ac:dyDescent="0.2">
      <c r="B887" s="64"/>
      <c r="C887" s="65">
        <v>7932</v>
      </c>
    </row>
    <row r="888" spans="2:3" s="1" customFormat="1" x14ac:dyDescent="0.2">
      <c r="B888" s="64"/>
      <c r="C888" s="65">
        <v>7942</v>
      </c>
    </row>
    <row r="889" spans="2:3" s="1" customFormat="1" x14ac:dyDescent="0.2">
      <c r="B889" s="64"/>
      <c r="C889" s="65">
        <v>7964</v>
      </c>
    </row>
    <row r="890" spans="2:3" s="1" customFormat="1" x14ac:dyDescent="0.2">
      <c r="B890" s="64"/>
      <c r="C890" s="65">
        <v>7974</v>
      </c>
    </row>
    <row r="891" spans="2:3" s="1" customFormat="1" x14ac:dyDescent="0.2">
      <c r="B891" s="64"/>
      <c r="C891" s="65">
        <v>7983</v>
      </c>
    </row>
    <row r="892" spans="2:3" s="1" customFormat="1" x14ac:dyDescent="0.2">
      <c r="B892" s="64"/>
      <c r="C892" s="65">
        <v>8012</v>
      </c>
    </row>
    <row r="893" spans="2:3" s="1" customFormat="1" x14ac:dyDescent="0.2">
      <c r="B893" s="64"/>
      <c r="C893" s="65">
        <v>8021</v>
      </c>
    </row>
    <row r="894" spans="2:3" s="1" customFormat="1" x14ac:dyDescent="0.2">
      <c r="B894" s="64"/>
      <c r="C894" s="65">
        <v>8022</v>
      </c>
    </row>
    <row r="895" spans="2:3" s="1" customFormat="1" x14ac:dyDescent="0.2">
      <c r="B895" s="64"/>
      <c r="C895" s="65">
        <v>8025</v>
      </c>
    </row>
    <row r="896" spans="2:3" s="1" customFormat="1" x14ac:dyDescent="0.2">
      <c r="B896" s="64"/>
      <c r="C896" s="65">
        <v>8028</v>
      </c>
    </row>
    <row r="897" spans="2:3" s="1" customFormat="1" x14ac:dyDescent="0.2">
      <c r="B897" s="64"/>
      <c r="C897" s="65">
        <v>8031</v>
      </c>
    </row>
    <row r="898" spans="2:3" s="1" customFormat="1" x14ac:dyDescent="0.2">
      <c r="B898" s="64"/>
      <c r="C898" s="65">
        <v>8032</v>
      </c>
    </row>
    <row r="899" spans="2:3" s="1" customFormat="1" x14ac:dyDescent="0.2">
      <c r="B899" s="64"/>
      <c r="C899" s="65">
        <v>8033</v>
      </c>
    </row>
    <row r="900" spans="2:3" s="1" customFormat="1" x14ac:dyDescent="0.2">
      <c r="B900" s="64"/>
      <c r="C900" s="65">
        <v>8035</v>
      </c>
    </row>
    <row r="901" spans="2:3" s="1" customFormat="1" x14ac:dyDescent="0.2">
      <c r="B901" s="64"/>
      <c r="C901" s="65">
        <v>8076</v>
      </c>
    </row>
    <row r="902" spans="2:3" s="1" customFormat="1" x14ac:dyDescent="0.2">
      <c r="B902" s="64"/>
      <c r="C902" s="65">
        <v>8146</v>
      </c>
    </row>
    <row r="903" spans="2:3" s="1" customFormat="1" x14ac:dyDescent="0.2">
      <c r="B903" s="64"/>
      <c r="C903" s="65">
        <v>8167</v>
      </c>
    </row>
    <row r="904" spans="2:3" s="1" customFormat="1" x14ac:dyDescent="0.2">
      <c r="B904" s="64"/>
      <c r="C904" s="65">
        <v>8218</v>
      </c>
    </row>
    <row r="905" spans="2:3" s="1" customFormat="1" x14ac:dyDescent="0.2">
      <c r="B905" s="64"/>
      <c r="C905" s="65">
        <v>8223</v>
      </c>
    </row>
    <row r="906" spans="2:3" s="1" customFormat="1" x14ac:dyDescent="0.2">
      <c r="B906" s="64"/>
      <c r="C906" s="65">
        <v>8224</v>
      </c>
    </row>
    <row r="907" spans="2:3" s="1" customFormat="1" x14ac:dyDescent="0.2">
      <c r="B907" s="64"/>
      <c r="C907" s="65">
        <v>8225</v>
      </c>
    </row>
    <row r="908" spans="2:3" s="1" customFormat="1" x14ac:dyDescent="0.2">
      <c r="B908" s="64"/>
      <c r="C908" s="65">
        <v>8226</v>
      </c>
    </row>
    <row r="909" spans="2:3" s="1" customFormat="1" x14ac:dyDescent="0.2">
      <c r="B909" s="64"/>
      <c r="C909" s="65">
        <v>8231</v>
      </c>
    </row>
    <row r="910" spans="2:3" s="1" customFormat="1" x14ac:dyDescent="0.2">
      <c r="B910" s="64"/>
      <c r="C910" s="65">
        <v>8232</v>
      </c>
    </row>
    <row r="911" spans="2:3" s="1" customFormat="1" x14ac:dyDescent="0.2">
      <c r="B911" s="64"/>
      <c r="C911" s="65">
        <v>8243</v>
      </c>
    </row>
    <row r="912" spans="2:3" s="1" customFormat="1" x14ac:dyDescent="0.2">
      <c r="B912" s="64"/>
      <c r="C912" s="65">
        <v>8261</v>
      </c>
    </row>
    <row r="913" spans="2:3" s="1" customFormat="1" x14ac:dyDescent="0.2">
      <c r="B913" s="64"/>
      <c r="C913" s="65">
        <v>8262</v>
      </c>
    </row>
    <row r="914" spans="2:3" s="1" customFormat="1" x14ac:dyDescent="0.2">
      <c r="B914" s="64"/>
      <c r="C914" s="65">
        <v>8263</v>
      </c>
    </row>
    <row r="915" spans="2:3" s="1" customFormat="1" x14ac:dyDescent="0.2">
      <c r="B915" s="64"/>
      <c r="C915" s="65">
        <v>8303</v>
      </c>
    </row>
    <row r="916" spans="2:3" s="1" customFormat="1" x14ac:dyDescent="0.2">
      <c r="B916" s="64"/>
      <c r="C916" s="65">
        <v>8307</v>
      </c>
    </row>
    <row r="917" spans="2:3" s="1" customFormat="1" x14ac:dyDescent="0.2">
      <c r="B917" s="64"/>
      <c r="C917" s="65">
        <v>8308</v>
      </c>
    </row>
    <row r="918" spans="2:3" s="1" customFormat="1" x14ac:dyDescent="0.2">
      <c r="B918" s="64"/>
      <c r="C918" s="65">
        <v>8311</v>
      </c>
    </row>
    <row r="919" spans="2:3" s="1" customFormat="1" x14ac:dyDescent="0.2">
      <c r="B919" s="64"/>
      <c r="C919" s="65">
        <v>8312</v>
      </c>
    </row>
    <row r="920" spans="2:3" s="1" customFormat="1" x14ac:dyDescent="0.2">
      <c r="B920" s="64"/>
      <c r="C920" s="65">
        <v>8313</v>
      </c>
    </row>
    <row r="921" spans="2:3" s="1" customFormat="1" x14ac:dyDescent="0.2">
      <c r="B921" s="64"/>
      <c r="C921" s="65">
        <v>8314</v>
      </c>
    </row>
    <row r="922" spans="2:3" s="1" customFormat="1" x14ac:dyDescent="0.2">
      <c r="B922" s="64"/>
      <c r="C922" s="65">
        <v>8315</v>
      </c>
    </row>
    <row r="923" spans="2:3" s="1" customFormat="1" x14ac:dyDescent="0.2">
      <c r="B923" s="64"/>
      <c r="C923" s="65">
        <v>8331</v>
      </c>
    </row>
    <row r="924" spans="2:3" s="1" customFormat="1" x14ac:dyDescent="0.2">
      <c r="B924" s="64"/>
      <c r="C924" s="65">
        <v>8341</v>
      </c>
    </row>
    <row r="925" spans="2:3" s="1" customFormat="1" x14ac:dyDescent="0.2">
      <c r="B925" s="64"/>
      <c r="C925" s="65">
        <v>8343</v>
      </c>
    </row>
    <row r="926" spans="2:3" s="1" customFormat="1" x14ac:dyDescent="0.2">
      <c r="B926" s="64"/>
      <c r="C926" s="65">
        <v>8346</v>
      </c>
    </row>
    <row r="927" spans="2:3" s="1" customFormat="1" x14ac:dyDescent="0.2">
      <c r="B927" s="64"/>
      <c r="C927" s="65">
        <v>8347</v>
      </c>
    </row>
    <row r="928" spans="2:3" s="1" customFormat="1" x14ac:dyDescent="0.2">
      <c r="B928" s="64"/>
      <c r="C928" s="65">
        <v>8351</v>
      </c>
    </row>
    <row r="929" spans="2:3" s="1" customFormat="1" x14ac:dyDescent="0.2">
      <c r="B929" s="64"/>
      <c r="C929" s="65">
        <v>8363</v>
      </c>
    </row>
    <row r="930" spans="2:3" s="1" customFormat="1" x14ac:dyDescent="0.2">
      <c r="B930" s="64"/>
      <c r="C930" s="65">
        <v>8373</v>
      </c>
    </row>
    <row r="931" spans="2:3" s="1" customFormat="1" x14ac:dyDescent="0.2">
      <c r="B931" s="64"/>
      <c r="C931" s="65">
        <v>8374</v>
      </c>
    </row>
    <row r="932" spans="2:3" s="1" customFormat="1" x14ac:dyDescent="0.2">
      <c r="B932" s="64"/>
      <c r="C932" s="65">
        <v>8378</v>
      </c>
    </row>
    <row r="933" spans="2:3" s="1" customFormat="1" x14ac:dyDescent="0.2">
      <c r="B933" s="64"/>
      <c r="C933" s="65">
        <v>8382</v>
      </c>
    </row>
    <row r="934" spans="2:3" s="1" customFormat="1" x14ac:dyDescent="0.2">
      <c r="B934" s="64"/>
      <c r="C934" s="65">
        <v>8383</v>
      </c>
    </row>
    <row r="935" spans="2:3" s="1" customFormat="1" x14ac:dyDescent="0.2">
      <c r="B935" s="64"/>
      <c r="C935" s="65">
        <v>8385</v>
      </c>
    </row>
    <row r="936" spans="2:3" s="1" customFormat="1" x14ac:dyDescent="0.2">
      <c r="B936" s="64"/>
      <c r="C936" s="65">
        <v>8389</v>
      </c>
    </row>
    <row r="937" spans="2:3" s="1" customFormat="1" x14ac:dyDescent="0.2">
      <c r="B937" s="64"/>
      <c r="C937" s="65">
        <v>8391</v>
      </c>
    </row>
    <row r="938" spans="2:3" s="1" customFormat="1" x14ac:dyDescent="0.2">
      <c r="B938" s="64"/>
      <c r="C938" s="65">
        <v>8394</v>
      </c>
    </row>
    <row r="939" spans="2:3" s="1" customFormat="1" x14ac:dyDescent="0.2">
      <c r="B939" s="64"/>
      <c r="C939" s="65">
        <v>8395</v>
      </c>
    </row>
    <row r="940" spans="2:3" s="1" customFormat="1" x14ac:dyDescent="0.2">
      <c r="B940" s="64"/>
      <c r="C940" s="65">
        <v>8406</v>
      </c>
    </row>
    <row r="941" spans="2:3" s="1" customFormat="1" x14ac:dyDescent="0.2">
      <c r="B941" s="64"/>
      <c r="C941" s="65">
        <v>8408</v>
      </c>
    </row>
    <row r="942" spans="2:3" s="1" customFormat="1" x14ac:dyDescent="0.2">
      <c r="B942" s="64"/>
      <c r="C942" s="65">
        <v>8422</v>
      </c>
    </row>
    <row r="943" spans="2:3" s="1" customFormat="1" x14ac:dyDescent="0.2">
      <c r="B943" s="64"/>
      <c r="C943" s="65">
        <v>8423</v>
      </c>
    </row>
    <row r="944" spans="2:3" s="1" customFormat="1" x14ac:dyDescent="0.2">
      <c r="B944" s="64"/>
      <c r="C944" s="65">
        <v>8428</v>
      </c>
    </row>
    <row r="945" spans="2:3" s="1" customFormat="1" x14ac:dyDescent="0.2">
      <c r="B945" s="64"/>
      <c r="C945" s="65">
        <v>8432</v>
      </c>
    </row>
    <row r="946" spans="2:3" s="1" customFormat="1" x14ac:dyDescent="0.2">
      <c r="B946" s="64"/>
      <c r="C946" s="65">
        <v>8434</v>
      </c>
    </row>
    <row r="947" spans="2:3" s="1" customFormat="1" x14ac:dyDescent="0.2">
      <c r="B947" s="64"/>
      <c r="C947" s="65">
        <v>8437</v>
      </c>
    </row>
    <row r="948" spans="2:3" s="1" customFormat="1" x14ac:dyDescent="0.2">
      <c r="B948" s="64"/>
      <c r="C948" s="65">
        <v>8442</v>
      </c>
    </row>
    <row r="949" spans="2:3" s="1" customFormat="1" x14ac:dyDescent="0.2">
      <c r="B949" s="64"/>
      <c r="C949" s="65">
        <v>8451</v>
      </c>
    </row>
    <row r="950" spans="2:3" s="1" customFormat="1" x14ac:dyDescent="0.2">
      <c r="B950" s="64"/>
      <c r="C950" s="65">
        <v>8457</v>
      </c>
    </row>
    <row r="951" spans="2:3" s="1" customFormat="1" x14ac:dyDescent="0.2">
      <c r="B951" s="64"/>
      <c r="C951" s="65">
        <v>8459</v>
      </c>
    </row>
    <row r="952" spans="2:3" s="1" customFormat="1" x14ac:dyDescent="0.2">
      <c r="B952" s="64"/>
      <c r="C952" s="65">
        <v>8463</v>
      </c>
    </row>
    <row r="953" spans="2:3" s="1" customFormat="1" x14ac:dyDescent="0.2">
      <c r="B953" s="64"/>
      <c r="C953" s="65">
        <v>8467</v>
      </c>
    </row>
    <row r="954" spans="2:3" s="1" customFormat="1" x14ac:dyDescent="0.2">
      <c r="B954" s="64"/>
      <c r="C954" s="65">
        <v>8472</v>
      </c>
    </row>
    <row r="955" spans="2:3" s="1" customFormat="1" x14ac:dyDescent="0.2">
      <c r="B955" s="64"/>
      <c r="C955" s="65">
        <v>8475</v>
      </c>
    </row>
    <row r="956" spans="2:3" s="1" customFormat="1" x14ac:dyDescent="0.2">
      <c r="B956" s="64"/>
      <c r="C956" s="65">
        <v>8479</v>
      </c>
    </row>
    <row r="957" spans="2:3" s="1" customFormat="1" x14ac:dyDescent="0.2">
      <c r="B957" s="64"/>
      <c r="C957" s="65">
        <v>8483</v>
      </c>
    </row>
    <row r="958" spans="2:3" s="1" customFormat="1" x14ac:dyDescent="0.2">
      <c r="B958" s="64"/>
      <c r="C958" s="65">
        <v>8485</v>
      </c>
    </row>
    <row r="959" spans="2:3" s="1" customFormat="1" x14ac:dyDescent="0.2">
      <c r="B959" s="64"/>
      <c r="C959" s="65">
        <v>8486</v>
      </c>
    </row>
    <row r="960" spans="2:3" s="1" customFormat="1" x14ac:dyDescent="0.2">
      <c r="B960" s="64"/>
      <c r="C960" s="65">
        <v>8508</v>
      </c>
    </row>
    <row r="961" spans="2:3" s="1" customFormat="1" x14ac:dyDescent="0.2">
      <c r="B961" s="64"/>
      <c r="C961" s="65">
        <v>8511</v>
      </c>
    </row>
    <row r="962" spans="2:3" s="1" customFormat="1" x14ac:dyDescent="0.2">
      <c r="B962" s="64"/>
      <c r="C962" s="65">
        <v>8513</v>
      </c>
    </row>
    <row r="963" spans="2:3" s="1" customFormat="1" x14ac:dyDescent="0.2">
      <c r="B963" s="64"/>
      <c r="C963" s="65">
        <v>8522</v>
      </c>
    </row>
    <row r="964" spans="2:3" s="1" customFormat="1" x14ac:dyDescent="0.2">
      <c r="B964" s="64"/>
      <c r="C964" s="65">
        <v>8531</v>
      </c>
    </row>
    <row r="965" spans="2:3" s="1" customFormat="1" x14ac:dyDescent="0.2">
      <c r="B965" s="64"/>
      <c r="C965" s="65">
        <v>8539</v>
      </c>
    </row>
    <row r="966" spans="2:3" s="1" customFormat="1" x14ac:dyDescent="0.2">
      <c r="B966" s="64"/>
      <c r="C966" s="65">
        <v>8565</v>
      </c>
    </row>
    <row r="967" spans="2:3" s="1" customFormat="1" x14ac:dyDescent="0.2">
      <c r="B967" s="64"/>
      <c r="C967" s="65">
        <v>8584</v>
      </c>
    </row>
    <row r="968" spans="2:3" s="1" customFormat="1" x14ac:dyDescent="0.2">
      <c r="B968" s="64"/>
      <c r="C968" s="65">
        <v>8602</v>
      </c>
    </row>
    <row r="969" spans="2:3" s="1" customFormat="1" x14ac:dyDescent="0.2">
      <c r="B969" s="64"/>
      <c r="C969" s="65">
        <v>8606</v>
      </c>
    </row>
    <row r="970" spans="2:3" s="1" customFormat="1" x14ac:dyDescent="0.2">
      <c r="B970" s="64"/>
      <c r="C970" s="65">
        <v>8607</v>
      </c>
    </row>
    <row r="971" spans="2:3" s="1" customFormat="1" x14ac:dyDescent="0.2">
      <c r="B971" s="64"/>
      <c r="C971" s="65">
        <v>8608</v>
      </c>
    </row>
    <row r="972" spans="2:3" s="1" customFormat="1" x14ac:dyDescent="0.2">
      <c r="B972" s="64"/>
      <c r="C972" s="65">
        <v>8611</v>
      </c>
    </row>
    <row r="973" spans="2:3" s="1" customFormat="1" x14ac:dyDescent="0.2">
      <c r="B973" s="64"/>
      <c r="C973" s="65">
        <v>8614</v>
      </c>
    </row>
    <row r="974" spans="2:3" s="1" customFormat="1" x14ac:dyDescent="0.2">
      <c r="B974" s="64"/>
      <c r="C974" s="65">
        <v>8615</v>
      </c>
    </row>
    <row r="975" spans="2:3" s="1" customFormat="1" x14ac:dyDescent="0.2">
      <c r="B975" s="64"/>
      <c r="C975" s="65">
        <v>8627</v>
      </c>
    </row>
    <row r="976" spans="2:3" s="1" customFormat="1" x14ac:dyDescent="0.2">
      <c r="B976" s="64"/>
      <c r="C976" s="65">
        <v>8628</v>
      </c>
    </row>
    <row r="977" spans="2:3" s="1" customFormat="1" x14ac:dyDescent="0.2">
      <c r="B977" s="64"/>
      <c r="C977" s="65">
        <v>8635</v>
      </c>
    </row>
    <row r="978" spans="2:3" s="1" customFormat="1" x14ac:dyDescent="0.2">
      <c r="B978" s="64"/>
      <c r="C978" s="65">
        <v>8637</v>
      </c>
    </row>
    <row r="979" spans="2:3" s="1" customFormat="1" x14ac:dyDescent="0.2">
      <c r="B979" s="64"/>
      <c r="C979" s="65">
        <v>8647</v>
      </c>
    </row>
    <row r="980" spans="2:3" s="1" customFormat="1" x14ac:dyDescent="0.2">
      <c r="B980" s="64"/>
      <c r="C980" s="65">
        <v>8711</v>
      </c>
    </row>
    <row r="981" spans="2:3" s="1" customFormat="1" x14ac:dyDescent="0.2">
      <c r="B981" s="64"/>
      <c r="C981" s="65">
        <v>8713</v>
      </c>
    </row>
    <row r="982" spans="2:3" s="1" customFormat="1" x14ac:dyDescent="0.2">
      <c r="B982" s="64"/>
      <c r="C982" s="65">
        <v>8715</v>
      </c>
    </row>
    <row r="983" spans="2:3" s="1" customFormat="1" x14ac:dyDescent="0.2">
      <c r="B983" s="64"/>
      <c r="C983" s="65">
        <v>8721</v>
      </c>
    </row>
    <row r="984" spans="2:3" s="1" customFormat="1" x14ac:dyDescent="0.2">
      <c r="B984" s="64"/>
      <c r="C984" s="65">
        <v>8724</v>
      </c>
    </row>
    <row r="985" spans="2:3" s="1" customFormat="1" x14ac:dyDescent="0.2">
      <c r="B985" s="64"/>
      <c r="C985" s="65">
        <v>8735</v>
      </c>
    </row>
    <row r="986" spans="2:3" s="1" customFormat="1" x14ac:dyDescent="0.2">
      <c r="B986" s="64"/>
      <c r="C986" s="65">
        <v>8736</v>
      </c>
    </row>
    <row r="987" spans="2:3" s="1" customFormat="1" x14ac:dyDescent="0.2">
      <c r="B987" s="64"/>
      <c r="C987" s="65">
        <v>8742</v>
      </c>
    </row>
    <row r="988" spans="2:3" s="1" customFormat="1" x14ac:dyDescent="0.2">
      <c r="B988" s="64"/>
      <c r="C988" s="65">
        <v>8748</v>
      </c>
    </row>
    <row r="989" spans="2:3" s="1" customFormat="1" x14ac:dyDescent="0.2">
      <c r="B989" s="64"/>
      <c r="C989" s="65">
        <v>8751</v>
      </c>
    </row>
    <row r="990" spans="2:3" s="1" customFormat="1" x14ac:dyDescent="0.2">
      <c r="B990" s="64"/>
      <c r="C990" s="65">
        <v>8757</v>
      </c>
    </row>
    <row r="991" spans="2:3" s="1" customFormat="1" x14ac:dyDescent="0.2">
      <c r="B991" s="64"/>
      <c r="C991" s="65">
        <v>8759</v>
      </c>
    </row>
    <row r="992" spans="2:3" s="1" customFormat="1" x14ac:dyDescent="0.2">
      <c r="B992" s="64"/>
      <c r="C992" s="65">
        <v>8761</v>
      </c>
    </row>
    <row r="993" spans="2:3" s="1" customFormat="1" x14ac:dyDescent="0.2">
      <c r="B993" s="64"/>
      <c r="C993" s="65">
        <v>8765</v>
      </c>
    </row>
    <row r="994" spans="2:3" s="1" customFormat="1" x14ac:dyDescent="0.2">
      <c r="B994" s="64"/>
      <c r="C994" s="65">
        <v>8802</v>
      </c>
    </row>
    <row r="995" spans="2:3" s="1" customFormat="1" x14ac:dyDescent="0.2">
      <c r="B995" s="64"/>
      <c r="C995" s="65">
        <v>8804</v>
      </c>
    </row>
    <row r="996" spans="2:3" s="1" customFormat="1" x14ac:dyDescent="0.2">
      <c r="B996" s="64"/>
      <c r="C996" s="65">
        <v>8806</v>
      </c>
    </row>
    <row r="997" spans="2:3" s="1" customFormat="1" x14ac:dyDescent="0.2">
      <c r="B997" s="64"/>
      <c r="C997" s="65">
        <v>8807</v>
      </c>
    </row>
    <row r="998" spans="2:3" s="1" customFormat="1" x14ac:dyDescent="0.2">
      <c r="B998" s="64"/>
      <c r="C998" s="65">
        <v>8808</v>
      </c>
    </row>
    <row r="999" spans="2:3" s="1" customFormat="1" x14ac:dyDescent="0.2">
      <c r="B999" s="64"/>
      <c r="C999" s="65">
        <v>8812</v>
      </c>
    </row>
    <row r="1000" spans="2:3" s="1" customFormat="1" x14ac:dyDescent="0.2">
      <c r="B1000" s="64"/>
      <c r="C1000" s="65">
        <v>8854</v>
      </c>
    </row>
    <row r="1001" spans="2:3" s="1" customFormat="1" x14ac:dyDescent="0.2">
      <c r="B1001" s="64"/>
      <c r="C1001" s="65">
        <v>8861</v>
      </c>
    </row>
    <row r="1002" spans="2:3" s="1" customFormat="1" x14ac:dyDescent="0.2">
      <c r="B1002" s="64"/>
      <c r="C1002" s="65">
        <v>8862</v>
      </c>
    </row>
    <row r="1003" spans="2:3" s="1" customFormat="1" x14ac:dyDescent="0.2">
      <c r="B1003" s="64"/>
      <c r="C1003" s="65">
        <v>8891</v>
      </c>
    </row>
    <row r="1004" spans="2:3" s="1" customFormat="1" x14ac:dyDescent="0.2">
      <c r="B1004" s="64"/>
      <c r="C1004" s="65">
        <v>8895</v>
      </c>
    </row>
    <row r="1005" spans="2:3" s="1" customFormat="1" x14ac:dyDescent="0.2">
      <c r="B1005" s="64"/>
      <c r="C1005" s="65">
        <v>8896</v>
      </c>
    </row>
    <row r="1006" spans="2:3" s="1" customFormat="1" x14ac:dyDescent="0.2">
      <c r="B1006" s="64"/>
      <c r="C1006" s="65">
        <v>8911</v>
      </c>
    </row>
    <row r="1007" spans="2:3" s="1" customFormat="1" x14ac:dyDescent="0.2">
      <c r="B1007" s="64"/>
      <c r="C1007" s="65">
        <v>8915</v>
      </c>
    </row>
    <row r="1008" spans="2:3" s="1" customFormat="1" x14ac:dyDescent="0.2">
      <c r="B1008" s="64"/>
      <c r="C1008" s="65">
        <v>8917</v>
      </c>
    </row>
    <row r="1009" spans="2:3" s="1" customFormat="1" x14ac:dyDescent="0.2">
      <c r="B1009" s="64"/>
      <c r="C1009" s="65">
        <v>8918</v>
      </c>
    </row>
    <row r="1010" spans="2:3" s="1" customFormat="1" x14ac:dyDescent="0.2">
      <c r="B1010" s="64"/>
      <c r="C1010" s="65">
        <v>8921</v>
      </c>
    </row>
    <row r="1011" spans="2:3" s="1" customFormat="1" x14ac:dyDescent="0.2">
      <c r="B1011" s="64"/>
      <c r="C1011" s="65">
        <v>8922</v>
      </c>
    </row>
    <row r="1012" spans="2:3" s="1" customFormat="1" x14ac:dyDescent="0.2">
      <c r="B1012" s="64"/>
      <c r="C1012" s="65">
        <v>8923</v>
      </c>
    </row>
    <row r="1013" spans="2:3" s="1" customFormat="1" x14ac:dyDescent="0.2">
      <c r="B1013" s="64"/>
      <c r="C1013" s="65">
        <v>8924</v>
      </c>
    </row>
    <row r="1014" spans="2:3" s="1" customFormat="1" x14ac:dyDescent="0.2">
      <c r="B1014" s="64"/>
      <c r="C1014" s="65">
        <v>8926</v>
      </c>
    </row>
    <row r="1015" spans="2:3" s="1" customFormat="1" x14ac:dyDescent="0.2">
      <c r="B1015" s="64"/>
      <c r="C1015" s="65">
        <v>8931</v>
      </c>
    </row>
    <row r="1016" spans="2:3" s="1" customFormat="1" x14ac:dyDescent="0.2">
      <c r="B1016" s="64"/>
      <c r="C1016" s="65">
        <v>8932</v>
      </c>
    </row>
    <row r="1017" spans="2:3" s="1" customFormat="1" x14ac:dyDescent="0.2">
      <c r="B1017" s="64"/>
      <c r="C1017" s="65">
        <v>8933</v>
      </c>
    </row>
    <row r="1018" spans="2:3" s="1" customFormat="1" x14ac:dyDescent="0.2">
      <c r="B1018" s="64"/>
      <c r="C1018" s="65">
        <v>8936</v>
      </c>
    </row>
    <row r="1019" spans="2:3" s="1" customFormat="1" x14ac:dyDescent="0.2">
      <c r="B1019" s="64"/>
      <c r="C1019" s="65">
        <v>8937</v>
      </c>
    </row>
    <row r="1020" spans="2:3" s="1" customFormat="1" x14ac:dyDescent="0.2">
      <c r="B1020" s="64"/>
      <c r="C1020" s="65">
        <v>9014</v>
      </c>
    </row>
    <row r="1021" spans="2:3" s="1" customFormat="1" x14ac:dyDescent="0.2">
      <c r="B1021" s="64"/>
      <c r="C1021" s="65">
        <v>9021</v>
      </c>
    </row>
    <row r="1022" spans="2:3" s="1" customFormat="1" x14ac:dyDescent="0.2">
      <c r="B1022" s="64"/>
      <c r="C1022" s="65">
        <v>9054</v>
      </c>
    </row>
    <row r="1023" spans="2:3" s="1" customFormat="1" x14ac:dyDescent="0.2">
      <c r="B1023" s="64"/>
      <c r="C1023" s="65">
        <v>9055</v>
      </c>
    </row>
    <row r="1024" spans="2:3" s="1" customFormat="1" x14ac:dyDescent="0.2">
      <c r="B1024" s="64"/>
      <c r="C1024" s="65">
        <v>9063</v>
      </c>
    </row>
    <row r="1025" spans="2:3" s="1" customFormat="1" x14ac:dyDescent="0.2">
      <c r="B1025" s="64"/>
      <c r="C1025" s="65">
        <v>9071</v>
      </c>
    </row>
    <row r="1026" spans="2:3" s="1" customFormat="1" x14ac:dyDescent="0.2">
      <c r="B1026" s="64"/>
      <c r="C1026" s="65">
        <v>9074</v>
      </c>
    </row>
    <row r="1027" spans="2:3" s="1" customFormat="1" x14ac:dyDescent="0.2">
      <c r="B1027" s="64"/>
      <c r="C1027" s="65">
        <v>9075</v>
      </c>
    </row>
    <row r="1028" spans="2:3" s="1" customFormat="1" x14ac:dyDescent="0.2">
      <c r="B1028" s="64"/>
      <c r="C1028" s="65">
        <v>9078</v>
      </c>
    </row>
    <row r="1029" spans="2:3" s="1" customFormat="1" x14ac:dyDescent="0.2">
      <c r="B1029" s="64"/>
      <c r="C1029" s="65">
        <v>9079</v>
      </c>
    </row>
    <row r="1030" spans="2:3" s="1" customFormat="1" x14ac:dyDescent="0.2">
      <c r="B1030" s="64"/>
      <c r="C1030" s="65">
        <v>9089</v>
      </c>
    </row>
    <row r="1031" spans="2:3" s="1" customFormat="1" x14ac:dyDescent="0.2">
      <c r="B1031" s="64"/>
      <c r="C1031" s="65">
        <v>9108</v>
      </c>
    </row>
    <row r="1032" spans="2:3" s="1" customFormat="1" x14ac:dyDescent="0.2">
      <c r="B1032" s="64"/>
      <c r="C1032" s="65">
        <v>9112</v>
      </c>
    </row>
    <row r="1033" spans="2:3" s="1" customFormat="1" x14ac:dyDescent="0.2">
      <c r="B1033" s="64"/>
      <c r="C1033" s="65">
        <v>9132</v>
      </c>
    </row>
    <row r="1034" spans="2:3" s="1" customFormat="1" x14ac:dyDescent="0.2">
      <c r="B1034" s="64"/>
      <c r="C1034" s="65">
        <v>9134</v>
      </c>
    </row>
    <row r="1035" spans="2:3" s="1" customFormat="1" x14ac:dyDescent="0.2">
      <c r="B1035" s="64"/>
      <c r="C1035" s="65">
        <v>9135</v>
      </c>
    </row>
    <row r="1036" spans="2:3" s="1" customFormat="1" x14ac:dyDescent="0.2">
      <c r="B1036" s="64"/>
      <c r="C1036" s="65">
        <v>9138</v>
      </c>
    </row>
    <row r="1037" spans="2:3" s="1" customFormat="1" x14ac:dyDescent="0.2">
      <c r="B1037" s="64"/>
      <c r="C1037" s="65">
        <v>9141</v>
      </c>
    </row>
    <row r="1038" spans="2:3" s="1" customFormat="1" x14ac:dyDescent="0.2">
      <c r="B1038" s="64"/>
      <c r="C1038" s="65">
        <v>9142</v>
      </c>
    </row>
    <row r="1039" spans="2:3" s="1" customFormat="1" x14ac:dyDescent="0.2">
      <c r="B1039" s="64"/>
      <c r="C1039" s="65">
        <v>9143</v>
      </c>
    </row>
    <row r="1040" spans="2:3" s="1" customFormat="1" x14ac:dyDescent="0.2">
      <c r="B1040" s="64"/>
      <c r="C1040" s="65">
        <v>9144</v>
      </c>
    </row>
    <row r="1041" spans="2:3" s="1" customFormat="1" x14ac:dyDescent="0.2">
      <c r="B1041" s="64"/>
      <c r="C1041" s="65">
        <v>9151</v>
      </c>
    </row>
    <row r="1042" spans="2:3" s="1" customFormat="1" x14ac:dyDescent="0.2">
      <c r="B1042" s="64"/>
      <c r="C1042" s="65">
        <v>9162</v>
      </c>
    </row>
    <row r="1043" spans="2:3" s="1" customFormat="1" x14ac:dyDescent="0.2">
      <c r="B1043" s="64"/>
      <c r="C1043" s="65">
        <v>9172</v>
      </c>
    </row>
    <row r="1044" spans="2:3" s="1" customFormat="1" x14ac:dyDescent="0.2">
      <c r="B1044" s="64"/>
      <c r="C1044" s="65">
        <v>9178</v>
      </c>
    </row>
    <row r="1045" spans="2:3" s="1" customFormat="1" x14ac:dyDescent="0.2">
      <c r="B1045" s="64"/>
      <c r="C1045" s="65">
        <v>9201</v>
      </c>
    </row>
    <row r="1046" spans="2:3" s="1" customFormat="1" x14ac:dyDescent="0.2">
      <c r="B1046" s="64"/>
      <c r="C1046" s="65">
        <v>9202</v>
      </c>
    </row>
    <row r="1047" spans="2:3" s="1" customFormat="1" x14ac:dyDescent="0.2">
      <c r="B1047" s="64"/>
      <c r="C1047" s="65">
        <v>9205</v>
      </c>
    </row>
    <row r="1048" spans="2:3" s="1" customFormat="1" x14ac:dyDescent="0.2">
      <c r="B1048" s="64"/>
      <c r="C1048" s="65">
        <v>9223</v>
      </c>
    </row>
    <row r="1049" spans="2:3" s="1" customFormat="1" x14ac:dyDescent="0.2">
      <c r="B1049" s="64"/>
      <c r="C1049" s="65">
        <v>9248</v>
      </c>
    </row>
    <row r="1050" spans="2:3" s="1" customFormat="1" x14ac:dyDescent="0.2">
      <c r="B1050" s="64"/>
      <c r="C1050" s="65">
        <v>9256</v>
      </c>
    </row>
    <row r="1051" spans="2:3" s="1" customFormat="1" x14ac:dyDescent="0.2">
      <c r="B1051" s="64"/>
      <c r="C1051" s="65">
        <v>9258</v>
      </c>
    </row>
    <row r="1052" spans="2:3" s="1" customFormat="1" x14ac:dyDescent="0.2">
      <c r="B1052" s="64"/>
      <c r="C1052" s="65">
        <v>9261</v>
      </c>
    </row>
    <row r="1053" spans="2:3" s="1" customFormat="1" x14ac:dyDescent="0.2">
      <c r="B1053" s="64"/>
      <c r="C1053" s="65">
        <v>9262</v>
      </c>
    </row>
    <row r="1054" spans="2:3" s="1" customFormat="1" x14ac:dyDescent="0.2">
      <c r="B1054" s="64"/>
      <c r="C1054" s="65">
        <v>9265</v>
      </c>
    </row>
    <row r="1055" spans="2:3" s="1" customFormat="1" x14ac:dyDescent="0.2">
      <c r="B1055" s="64"/>
      <c r="C1055" s="65">
        <v>9271</v>
      </c>
    </row>
    <row r="1056" spans="2:3" s="1" customFormat="1" x14ac:dyDescent="0.2">
      <c r="B1056" s="64"/>
      <c r="C1056" s="65">
        <v>9281</v>
      </c>
    </row>
    <row r="1057" spans="2:3" s="1" customFormat="1" x14ac:dyDescent="0.2">
      <c r="B1057" s="64"/>
      <c r="C1057" s="65">
        <v>9283</v>
      </c>
    </row>
    <row r="1058" spans="2:3" s="1" customFormat="1" x14ac:dyDescent="0.2">
      <c r="B1058" s="64"/>
      <c r="C1058" s="65">
        <v>9286</v>
      </c>
    </row>
    <row r="1059" spans="2:3" s="1" customFormat="1" x14ac:dyDescent="0.2">
      <c r="B1059" s="64"/>
      <c r="C1059" s="65">
        <v>9287</v>
      </c>
    </row>
    <row r="1060" spans="2:3" s="1" customFormat="1" x14ac:dyDescent="0.2">
      <c r="B1060" s="64"/>
      <c r="C1060" s="65">
        <v>9288</v>
      </c>
    </row>
    <row r="1061" spans="2:3" s="1" customFormat="1" x14ac:dyDescent="0.2">
      <c r="B1061" s="64"/>
      <c r="C1061" s="65">
        <v>9289</v>
      </c>
    </row>
    <row r="1062" spans="2:3" s="1" customFormat="1" x14ac:dyDescent="0.2">
      <c r="B1062" s="64"/>
      <c r="C1062" s="65">
        <v>9296</v>
      </c>
    </row>
    <row r="1063" spans="2:3" s="1" customFormat="1" x14ac:dyDescent="0.2">
      <c r="B1063" s="64"/>
      <c r="C1063" s="65">
        <v>9298</v>
      </c>
    </row>
    <row r="1064" spans="2:3" s="1" customFormat="1" x14ac:dyDescent="0.2">
      <c r="B1064" s="64"/>
      <c r="C1064" s="65">
        <v>9299</v>
      </c>
    </row>
    <row r="1065" spans="2:3" s="1" customFormat="1" x14ac:dyDescent="0.2">
      <c r="B1065" s="64"/>
      <c r="C1065" s="65">
        <v>9305</v>
      </c>
    </row>
    <row r="1066" spans="2:3" s="1" customFormat="1" x14ac:dyDescent="0.2">
      <c r="B1066" s="64"/>
      <c r="C1066" s="65">
        <v>9307</v>
      </c>
    </row>
    <row r="1067" spans="2:3" s="1" customFormat="1" x14ac:dyDescent="0.2">
      <c r="B1067" s="64"/>
      <c r="C1067" s="65">
        <v>9311</v>
      </c>
    </row>
    <row r="1068" spans="2:3" s="1" customFormat="1" x14ac:dyDescent="0.2">
      <c r="B1068" s="64"/>
      <c r="C1068" s="65">
        <v>9313</v>
      </c>
    </row>
    <row r="1069" spans="2:3" s="1" customFormat="1" x14ac:dyDescent="0.2">
      <c r="B1069" s="64"/>
      <c r="C1069" s="65">
        <v>9335</v>
      </c>
    </row>
    <row r="1070" spans="2:3" s="1" customFormat="1" x14ac:dyDescent="0.2">
      <c r="B1070" s="64"/>
      <c r="C1070" s="65">
        <v>9361</v>
      </c>
    </row>
    <row r="1071" spans="2:3" s="1" customFormat="1" x14ac:dyDescent="0.2">
      <c r="B1071" s="64"/>
      <c r="C1071" s="65">
        <v>9362</v>
      </c>
    </row>
    <row r="1072" spans="2:3" s="1" customFormat="1" x14ac:dyDescent="0.2">
      <c r="B1072" s="64"/>
      <c r="C1072" s="65">
        <v>9402</v>
      </c>
    </row>
    <row r="1073" spans="2:3" s="1" customFormat="1" x14ac:dyDescent="0.2">
      <c r="B1073" s="64"/>
      <c r="C1073" s="65">
        <v>9404</v>
      </c>
    </row>
    <row r="1074" spans="2:3" s="1" customFormat="1" x14ac:dyDescent="0.2">
      <c r="B1074" s="64"/>
      <c r="C1074" s="65">
        <v>9406</v>
      </c>
    </row>
    <row r="1075" spans="2:3" s="1" customFormat="1" x14ac:dyDescent="0.2">
      <c r="B1075" s="64"/>
      <c r="C1075" s="65">
        <v>9407</v>
      </c>
    </row>
    <row r="1076" spans="2:3" s="1" customFormat="1" x14ac:dyDescent="0.2">
      <c r="B1076" s="64"/>
      <c r="C1076" s="65">
        <v>9417</v>
      </c>
    </row>
    <row r="1077" spans="2:3" s="1" customFormat="1" x14ac:dyDescent="0.2">
      <c r="B1077" s="64"/>
      <c r="C1077" s="65">
        <v>9419</v>
      </c>
    </row>
    <row r="1078" spans="2:3" s="1" customFormat="1" x14ac:dyDescent="0.2">
      <c r="B1078" s="64"/>
      <c r="C1078" s="65">
        <v>9423</v>
      </c>
    </row>
    <row r="1079" spans="2:3" s="1" customFormat="1" x14ac:dyDescent="0.2">
      <c r="B1079" s="64"/>
      <c r="C1079" s="65">
        <v>9441</v>
      </c>
    </row>
    <row r="1080" spans="2:3" s="1" customFormat="1" x14ac:dyDescent="0.2">
      <c r="B1080" s="64"/>
      <c r="C1080" s="65">
        <v>9443</v>
      </c>
    </row>
    <row r="1081" spans="2:3" s="1" customFormat="1" x14ac:dyDescent="0.2">
      <c r="B1081" s="64"/>
      <c r="C1081" s="65">
        <v>9465</v>
      </c>
    </row>
    <row r="1082" spans="2:3" s="1" customFormat="1" x14ac:dyDescent="0.2">
      <c r="B1082" s="64"/>
      <c r="C1082" s="65">
        <v>9483</v>
      </c>
    </row>
    <row r="1083" spans="2:3" s="1" customFormat="1" x14ac:dyDescent="0.2">
      <c r="B1083" s="64"/>
      <c r="C1083" s="65">
        <v>9493</v>
      </c>
    </row>
    <row r="1084" spans="2:3" s="1" customFormat="1" x14ac:dyDescent="0.2">
      <c r="B1084" s="64"/>
      <c r="C1084" s="65">
        <v>9496</v>
      </c>
    </row>
    <row r="1085" spans="2:3" s="1" customFormat="1" x14ac:dyDescent="0.2">
      <c r="B1085" s="64"/>
      <c r="C1085" s="65">
        <v>9501</v>
      </c>
    </row>
    <row r="1086" spans="2:3" s="1" customFormat="1" x14ac:dyDescent="0.2">
      <c r="B1086" s="64"/>
      <c r="C1086" s="65">
        <v>9502</v>
      </c>
    </row>
    <row r="1087" spans="2:3" s="1" customFormat="1" x14ac:dyDescent="0.2">
      <c r="B1087" s="64"/>
      <c r="C1087" s="65">
        <v>9503</v>
      </c>
    </row>
    <row r="1088" spans="2:3" s="1" customFormat="1" x14ac:dyDescent="0.2">
      <c r="B1088" s="64"/>
      <c r="C1088" s="65">
        <v>9514</v>
      </c>
    </row>
    <row r="1089" spans="2:3" s="1" customFormat="1" x14ac:dyDescent="0.2">
      <c r="B1089" s="64"/>
      <c r="C1089" s="65">
        <v>9521</v>
      </c>
    </row>
    <row r="1090" spans="2:3" s="1" customFormat="1" x14ac:dyDescent="0.2">
      <c r="B1090" s="64"/>
      <c r="C1090" s="65">
        <v>9545</v>
      </c>
    </row>
    <row r="1091" spans="2:3" s="1" customFormat="1" x14ac:dyDescent="0.2">
      <c r="B1091" s="64"/>
      <c r="C1091" s="65">
        <v>9563</v>
      </c>
    </row>
    <row r="1092" spans="2:3" s="1" customFormat="1" x14ac:dyDescent="0.2">
      <c r="B1092" s="64"/>
      <c r="C1092" s="65">
        <v>9566</v>
      </c>
    </row>
    <row r="1093" spans="2:3" s="1" customFormat="1" x14ac:dyDescent="0.2">
      <c r="B1093" s="64"/>
      <c r="C1093" s="65">
        <v>9571</v>
      </c>
    </row>
    <row r="1094" spans="2:3" s="1" customFormat="1" x14ac:dyDescent="0.2">
      <c r="B1094" s="64"/>
      <c r="C1094" s="65">
        <v>9573</v>
      </c>
    </row>
    <row r="1095" spans="2:3" s="1" customFormat="1" x14ac:dyDescent="0.2">
      <c r="B1095" s="64"/>
      <c r="C1095" s="65">
        <v>9581</v>
      </c>
    </row>
    <row r="1096" spans="2:3" s="1" customFormat="1" x14ac:dyDescent="0.2">
      <c r="B1096" s="64"/>
      <c r="C1096" s="65">
        <v>9585</v>
      </c>
    </row>
    <row r="1097" spans="2:3" s="1" customFormat="1" x14ac:dyDescent="0.2">
      <c r="B1097" s="64"/>
      <c r="C1097" s="65">
        <v>9601</v>
      </c>
    </row>
    <row r="1098" spans="2:3" s="1" customFormat="1" x14ac:dyDescent="0.2">
      <c r="B1098" s="64"/>
      <c r="C1098" s="65">
        <v>9602</v>
      </c>
    </row>
    <row r="1099" spans="2:3" s="1" customFormat="1" x14ac:dyDescent="0.2">
      <c r="B1099" s="64"/>
      <c r="C1099" s="65">
        <v>9607</v>
      </c>
    </row>
    <row r="1100" spans="2:3" s="1" customFormat="1" x14ac:dyDescent="0.2">
      <c r="B1100" s="64"/>
      <c r="C1100" s="65">
        <v>9618</v>
      </c>
    </row>
    <row r="1101" spans="2:3" s="1" customFormat="1" x14ac:dyDescent="0.2">
      <c r="B1101" s="64"/>
      <c r="C1101" s="65">
        <v>9621</v>
      </c>
    </row>
    <row r="1102" spans="2:3" s="1" customFormat="1" x14ac:dyDescent="0.2">
      <c r="B1102" s="64"/>
      <c r="C1102" s="65">
        <v>9625</v>
      </c>
    </row>
    <row r="1103" spans="2:3" s="1" customFormat="1" x14ac:dyDescent="0.2">
      <c r="B1103" s="64"/>
      <c r="C1103" s="65">
        <v>9635</v>
      </c>
    </row>
    <row r="1104" spans="2:3" s="1" customFormat="1" x14ac:dyDescent="0.2">
      <c r="B1104" s="64"/>
      <c r="C1104" s="65">
        <v>9641</v>
      </c>
    </row>
    <row r="1105" spans="2:3" s="1" customFormat="1" x14ac:dyDescent="0.2">
      <c r="B1105" s="64"/>
      <c r="C1105" s="65">
        <v>9642</v>
      </c>
    </row>
    <row r="1106" spans="2:3" s="1" customFormat="1" x14ac:dyDescent="0.2">
      <c r="B1106" s="64"/>
      <c r="C1106" s="65">
        <v>9645</v>
      </c>
    </row>
    <row r="1107" spans="2:3" s="1" customFormat="1" x14ac:dyDescent="0.2">
      <c r="B1107" s="64"/>
      <c r="C1107" s="65">
        <v>9648</v>
      </c>
    </row>
    <row r="1108" spans="2:3" s="1" customFormat="1" x14ac:dyDescent="0.2">
      <c r="B1108" s="64"/>
      <c r="C1108" s="65">
        <v>9649</v>
      </c>
    </row>
    <row r="1109" spans="2:3" s="1" customFormat="1" x14ac:dyDescent="0.2">
      <c r="B1109" s="64"/>
      <c r="C1109" s="65">
        <v>9659</v>
      </c>
    </row>
    <row r="1110" spans="2:3" s="1" customFormat="1" x14ac:dyDescent="0.2">
      <c r="B1110" s="64"/>
      <c r="C1110" s="65">
        <v>9661</v>
      </c>
    </row>
    <row r="1111" spans="2:3" s="1" customFormat="1" x14ac:dyDescent="0.2">
      <c r="B1111" s="64"/>
      <c r="C1111" s="65">
        <v>9663</v>
      </c>
    </row>
    <row r="1112" spans="2:3" s="1" customFormat="1" x14ac:dyDescent="0.2">
      <c r="B1112" s="64"/>
      <c r="C1112" s="65">
        <v>9665</v>
      </c>
    </row>
    <row r="1113" spans="2:3" s="1" customFormat="1" x14ac:dyDescent="0.2">
      <c r="B1113" s="64"/>
      <c r="C1113" s="65">
        <v>9673</v>
      </c>
    </row>
    <row r="1114" spans="2:3" s="1" customFormat="1" x14ac:dyDescent="0.2">
      <c r="B1114" s="64"/>
      <c r="C1114" s="65">
        <v>9684</v>
      </c>
    </row>
    <row r="1115" spans="2:3" s="1" customFormat="1" x14ac:dyDescent="0.2">
      <c r="B1115" s="64"/>
      <c r="C1115" s="65">
        <v>9686</v>
      </c>
    </row>
    <row r="1116" spans="2:3" s="1" customFormat="1" x14ac:dyDescent="0.2">
      <c r="B1116" s="64"/>
      <c r="C1116" s="65">
        <v>9687</v>
      </c>
    </row>
    <row r="1117" spans="2:3" s="1" customFormat="1" x14ac:dyDescent="0.2">
      <c r="B1117" s="64"/>
      <c r="C1117" s="65">
        <v>9688</v>
      </c>
    </row>
    <row r="1118" spans="2:3" s="1" customFormat="1" x14ac:dyDescent="0.2">
      <c r="B1118" s="64"/>
      <c r="C1118" s="65">
        <v>9696</v>
      </c>
    </row>
    <row r="1119" spans="2:3" s="1" customFormat="1" x14ac:dyDescent="0.2">
      <c r="B1119" s="64"/>
      <c r="C1119" s="65">
        <v>9697</v>
      </c>
    </row>
    <row r="1120" spans="2:3" s="1" customFormat="1" x14ac:dyDescent="0.2">
      <c r="B1120" s="64"/>
      <c r="C1120" s="65">
        <v>9698</v>
      </c>
    </row>
    <row r="1121" spans="2:3" s="1" customFormat="1" x14ac:dyDescent="0.2">
      <c r="B1121" s="64"/>
      <c r="C1121" s="65">
        <v>9699</v>
      </c>
    </row>
    <row r="1122" spans="2:3" s="1" customFormat="1" x14ac:dyDescent="0.2">
      <c r="B1122" s="64"/>
      <c r="C1122" s="65">
        <v>9711</v>
      </c>
    </row>
    <row r="1123" spans="2:3" s="1" customFormat="1" x14ac:dyDescent="0.2">
      <c r="B1123" s="64"/>
      <c r="C1123" s="65">
        <v>9712</v>
      </c>
    </row>
    <row r="1124" spans="2:3" s="1" customFormat="1" x14ac:dyDescent="0.2">
      <c r="B1124" s="64"/>
      <c r="C1124" s="65">
        <v>9713</v>
      </c>
    </row>
    <row r="1125" spans="2:3" s="1" customFormat="1" x14ac:dyDescent="0.2">
      <c r="B1125" s="64"/>
      <c r="C1125" s="65">
        <v>9714</v>
      </c>
    </row>
    <row r="1126" spans="2:3" s="1" customFormat="1" x14ac:dyDescent="0.2">
      <c r="B1126" s="64"/>
      <c r="C1126" s="65">
        <v>9715</v>
      </c>
    </row>
    <row r="1127" spans="2:3" s="1" customFormat="1" x14ac:dyDescent="0.2">
      <c r="B1127" s="64"/>
      <c r="C1127" s="65">
        <v>9716</v>
      </c>
    </row>
    <row r="1128" spans="2:3" s="1" customFormat="1" x14ac:dyDescent="0.2">
      <c r="B1128" s="64"/>
      <c r="C1128" s="65">
        <v>9717</v>
      </c>
    </row>
    <row r="1129" spans="2:3" s="1" customFormat="1" x14ac:dyDescent="0.2">
      <c r="B1129" s="64"/>
      <c r="C1129" s="65">
        <v>9718</v>
      </c>
    </row>
    <row r="1130" spans="2:3" s="1" customFormat="1" x14ac:dyDescent="0.2">
      <c r="B1130" s="64"/>
      <c r="C1130" s="65">
        <v>9723</v>
      </c>
    </row>
    <row r="1131" spans="2:3" s="1" customFormat="1" x14ac:dyDescent="0.2">
      <c r="B1131" s="64"/>
      <c r="C1131" s="65">
        <v>9724</v>
      </c>
    </row>
    <row r="1132" spans="2:3" s="1" customFormat="1" x14ac:dyDescent="0.2">
      <c r="B1132" s="64"/>
      <c r="C1132" s="65">
        <v>9725</v>
      </c>
    </row>
    <row r="1133" spans="2:3" s="1" customFormat="1" x14ac:dyDescent="0.2">
      <c r="B1133" s="64"/>
      <c r="C1133" s="65">
        <v>9726</v>
      </c>
    </row>
    <row r="1134" spans="2:3" s="1" customFormat="1" x14ac:dyDescent="0.2">
      <c r="B1134" s="64"/>
      <c r="C1134" s="65">
        <v>9727</v>
      </c>
    </row>
    <row r="1135" spans="2:3" s="1" customFormat="1" x14ac:dyDescent="0.2">
      <c r="B1135" s="64"/>
      <c r="C1135" s="65">
        <v>9732</v>
      </c>
    </row>
    <row r="1136" spans="2:3" s="1" customFormat="1" x14ac:dyDescent="0.2">
      <c r="B1136" s="64"/>
      <c r="C1136" s="65">
        <v>9733</v>
      </c>
    </row>
    <row r="1137" spans="2:3" s="1" customFormat="1" x14ac:dyDescent="0.2">
      <c r="B1137" s="64"/>
      <c r="C1137" s="65">
        <v>9736</v>
      </c>
    </row>
    <row r="1138" spans="2:3" s="1" customFormat="1" x14ac:dyDescent="0.2">
      <c r="B1138" s="64"/>
      <c r="C1138" s="65">
        <v>9737</v>
      </c>
    </row>
    <row r="1139" spans="2:3" s="1" customFormat="1" x14ac:dyDescent="0.2">
      <c r="B1139" s="64"/>
      <c r="C1139" s="65">
        <v>9738</v>
      </c>
    </row>
    <row r="1140" spans="2:3" s="1" customFormat="1" x14ac:dyDescent="0.2">
      <c r="B1140" s="64"/>
      <c r="C1140" s="65">
        <v>9741</v>
      </c>
    </row>
    <row r="1141" spans="2:3" s="1" customFormat="1" x14ac:dyDescent="0.2">
      <c r="B1141" s="64"/>
      <c r="C1141" s="65">
        <v>9742</v>
      </c>
    </row>
    <row r="1142" spans="2:3" s="1" customFormat="1" x14ac:dyDescent="0.2">
      <c r="B1142" s="64"/>
      <c r="C1142" s="65">
        <v>9743</v>
      </c>
    </row>
    <row r="1143" spans="2:3" s="1" customFormat="1" x14ac:dyDescent="0.2">
      <c r="B1143" s="64"/>
      <c r="C1143" s="65">
        <v>9745</v>
      </c>
    </row>
    <row r="1144" spans="2:3" s="1" customFormat="1" x14ac:dyDescent="0.2">
      <c r="B1144" s="64"/>
      <c r="C1144" s="65">
        <v>9771</v>
      </c>
    </row>
    <row r="1145" spans="2:3" s="1" customFormat="1" x14ac:dyDescent="0.2">
      <c r="B1145" s="64"/>
      <c r="C1145" s="65">
        <v>9832</v>
      </c>
    </row>
    <row r="1146" spans="2:3" s="1" customFormat="1" x14ac:dyDescent="0.2">
      <c r="B1146" s="64"/>
      <c r="C1146" s="65">
        <v>9864</v>
      </c>
    </row>
    <row r="1147" spans="2:3" s="1" customFormat="1" x14ac:dyDescent="0.2">
      <c r="B1147" s="64"/>
      <c r="C1147" s="65">
        <v>9871</v>
      </c>
    </row>
    <row r="1148" spans="2:3" s="1" customFormat="1" x14ac:dyDescent="0.2">
      <c r="B1148" s="64"/>
      <c r="C1148" s="65">
        <v>9873</v>
      </c>
    </row>
    <row r="1149" spans="2:3" s="1" customFormat="1" x14ac:dyDescent="0.2">
      <c r="B1149" s="64"/>
      <c r="C1149" s="65">
        <v>9882</v>
      </c>
    </row>
    <row r="1150" spans="2:3" s="1" customFormat="1" x14ac:dyDescent="0.2">
      <c r="B1150" s="64"/>
      <c r="C1150" s="65">
        <v>9884</v>
      </c>
    </row>
    <row r="1151" spans="2:3" s="1" customFormat="1" x14ac:dyDescent="0.2">
      <c r="B1151" s="64"/>
      <c r="C1151" s="65">
        <v>9885</v>
      </c>
    </row>
    <row r="1152" spans="2:3" s="1" customFormat="1" x14ac:dyDescent="0.2">
      <c r="B1152" s="64"/>
      <c r="C1152" s="65">
        <v>9892</v>
      </c>
    </row>
    <row r="1153" spans="2:3" s="1" customFormat="1" x14ac:dyDescent="0.2">
      <c r="B1153" s="64"/>
      <c r="C1153" s="65">
        <v>9902</v>
      </c>
    </row>
    <row r="1154" spans="2:3" s="1" customFormat="1" x14ac:dyDescent="0.2">
      <c r="B1154" s="64"/>
      <c r="C1154" s="65">
        <v>9907</v>
      </c>
    </row>
    <row r="1155" spans="2:3" s="1" customFormat="1" x14ac:dyDescent="0.2">
      <c r="B1155" s="64"/>
      <c r="C1155" s="65">
        <v>9908</v>
      </c>
    </row>
    <row r="1156" spans="2:3" s="1" customFormat="1" x14ac:dyDescent="0.2">
      <c r="B1156" s="64"/>
      <c r="C1156" s="65">
        <v>9911</v>
      </c>
    </row>
    <row r="1157" spans="2:3" s="1" customFormat="1" x14ac:dyDescent="0.2">
      <c r="B1157" s="64"/>
      <c r="C1157" s="65">
        <v>9912</v>
      </c>
    </row>
    <row r="1158" spans="2:3" s="1" customFormat="1" x14ac:dyDescent="0.2">
      <c r="B1158" s="64"/>
      <c r="C1158" s="65">
        <v>9914</v>
      </c>
    </row>
    <row r="1159" spans="2:3" s="1" customFormat="1" x14ac:dyDescent="0.2">
      <c r="B1159" s="64"/>
      <c r="C1159" s="65">
        <v>9917</v>
      </c>
    </row>
    <row r="1160" spans="2:3" s="1" customFormat="1" x14ac:dyDescent="0.2">
      <c r="B1160" s="64"/>
      <c r="C1160" s="65">
        <v>9918</v>
      </c>
    </row>
    <row r="1161" spans="2:3" s="1" customFormat="1" x14ac:dyDescent="0.2">
      <c r="B1161" s="64"/>
      <c r="C1161" s="65">
        <v>9921</v>
      </c>
    </row>
    <row r="1162" spans="2:3" s="1" customFormat="1" x14ac:dyDescent="0.2">
      <c r="B1162" s="64"/>
      <c r="C1162" s="65">
        <v>9923</v>
      </c>
    </row>
    <row r="1163" spans="2:3" s="1" customFormat="1" x14ac:dyDescent="0.2">
      <c r="B1163" s="64"/>
      <c r="C1163" s="65">
        <v>9931</v>
      </c>
    </row>
    <row r="1164" spans="2:3" s="1" customFormat="1" x14ac:dyDescent="0.2">
      <c r="B1164" s="64"/>
      <c r="C1164" s="65">
        <v>9932</v>
      </c>
    </row>
    <row r="1165" spans="2:3" s="1" customFormat="1" x14ac:dyDescent="0.2">
      <c r="B1165" s="64"/>
      <c r="C1165" s="65">
        <v>9933</v>
      </c>
    </row>
    <row r="1166" spans="2:3" s="1" customFormat="1" x14ac:dyDescent="0.2">
      <c r="B1166" s="64"/>
      <c r="C1166" s="65">
        <v>9936</v>
      </c>
    </row>
    <row r="1167" spans="2:3" s="1" customFormat="1" x14ac:dyDescent="0.2">
      <c r="B1167" s="64"/>
      <c r="C1167" s="65">
        <v>9939</v>
      </c>
    </row>
    <row r="1168" spans="2:3" s="1" customFormat="1" x14ac:dyDescent="0.2">
      <c r="B1168" s="64"/>
      <c r="C1168" s="65">
        <v>9943</v>
      </c>
    </row>
    <row r="1169" spans="2:3" s="1" customFormat="1" x14ac:dyDescent="0.2">
      <c r="B1169" s="64"/>
      <c r="C1169" s="65">
        <v>9947</v>
      </c>
    </row>
    <row r="1170" spans="2:3" s="1" customFormat="1" x14ac:dyDescent="0.2">
      <c r="B1170" s="64"/>
      <c r="C1170" s="65">
        <v>9948</v>
      </c>
    </row>
    <row r="1171" spans="2:3" s="1" customFormat="1" x14ac:dyDescent="0.2">
      <c r="B1171" s="64"/>
      <c r="C1171" s="65">
        <v>9955</v>
      </c>
    </row>
    <row r="1172" spans="2:3" s="1" customFormat="1" x14ac:dyDescent="0.2">
      <c r="B1172" s="64"/>
      <c r="C1172" s="65">
        <v>9956</v>
      </c>
    </row>
    <row r="1173" spans="2:3" s="1" customFormat="1" x14ac:dyDescent="0.2">
      <c r="B1173" s="64"/>
      <c r="C1173" s="65">
        <v>9961</v>
      </c>
    </row>
    <row r="1174" spans="2:3" s="1" customFormat="1" x14ac:dyDescent="0.2">
      <c r="B1174" s="64"/>
      <c r="C1174" s="65">
        <v>9963</v>
      </c>
    </row>
    <row r="1175" spans="2:3" s="1" customFormat="1" x14ac:dyDescent="0.2">
      <c r="B1175" s="64"/>
      <c r="C1175" s="65">
        <v>9964</v>
      </c>
    </row>
    <row r="1176" spans="2:3" s="1" customFormat="1" x14ac:dyDescent="0.2">
      <c r="B1176" s="64"/>
      <c r="C1176" s="65">
        <v>9965</v>
      </c>
    </row>
    <row r="1177" spans="2:3" s="1" customFormat="1" x14ac:dyDescent="0.2">
      <c r="B1177" s="64"/>
      <c r="C1177" s="65">
        <v>9969</v>
      </c>
    </row>
    <row r="1178" spans="2:3" s="1" customFormat="1" x14ac:dyDescent="0.2">
      <c r="B1178" s="64"/>
      <c r="C1178" s="65">
        <v>9973</v>
      </c>
    </row>
    <row r="1179" spans="2:3" s="1" customFormat="1" x14ac:dyDescent="0.2">
      <c r="B1179" s="64"/>
      <c r="C1179" s="65">
        <v>9974</v>
      </c>
    </row>
    <row r="1180" spans="2:3" s="1" customFormat="1" x14ac:dyDescent="0.2">
      <c r="B1180" s="64"/>
      <c r="C1180" s="65">
        <v>9977</v>
      </c>
    </row>
    <row r="1181" spans="2:3" s="1" customFormat="1" x14ac:dyDescent="0.2">
      <c r="B1181" s="64"/>
      <c r="C1181" s="65">
        <v>9981</v>
      </c>
    </row>
    <row r="1182" spans="2:3" s="1" customFormat="1" x14ac:dyDescent="0.2">
      <c r="B1182" s="64"/>
      <c r="C1182" s="65">
        <v>9982</v>
      </c>
    </row>
    <row r="1183" spans="2:3" s="1" customFormat="1" x14ac:dyDescent="0.2">
      <c r="B1183" s="64"/>
      <c r="C1183" s="65">
        <v>9984</v>
      </c>
    </row>
    <row r="1184" spans="2:3" s="1" customFormat="1" x14ac:dyDescent="0.2">
      <c r="B1184" s="64"/>
      <c r="C1184" s="65">
        <v>9987</v>
      </c>
    </row>
    <row r="1185" spans="2:3" s="1" customFormat="1" x14ac:dyDescent="0.2">
      <c r="B1185" s="64"/>
      <c r="C1185" s="65">
        <v>9995</v>
      </c>
    </row>
    <row r="1186" spans="2:3" s="1" customFormat="1" x14ac:dyDescent="0.2">
      <c r="B1186" s="64"/>
      <c r="C1186" s="65">
        <v>9999</v>
      </c>
    </row>
    <row r="1187" spans="2:3" s="1" customFormat="1" x14ac:dyDescent="0.2">
      <c r="B1187" s="64"/>
    </row>
  </sheetData>
  <sheetProtection password="DFB1" sheet="1" objects="1" scenarios="1"/>
  <phoneticPr fontId="0" type="noConversion"/>
  <pageMargins left="0.74803149606299213" right="0.74803149606299213" top="0.98425196850393704" bottom="0.98425196850393704" header="0.51181102362204722" footer="0.51181102362204722"/>
  <pageSetup paperSize="9" scale="48" orientation="portrait" r:id="rId1"/>
  <headerFooter alignWithMargins="0">
    <oddHeader>&amp;L&amp;"Arial,Vet"&amp;F&amp;R&amp;"Arial,Vet"&amp;A</oddHeader>
    <oddFooter>&amp;L&amp;"Arial,Vet"PO-Raad&amp;C&amp;"Arial,Vet"&amp;D&amp;R&amp;"Arial,Vet"pagina &amp;P</oddFooter>
  </headerFooter>
  <rowBreaks count="2" manualBreakCount="2">
    <brk id="63" max="9" man="1"/>
    <brk id="156" max="9"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6"/>
  <dimension ref="A1:S138"/>
  <sheetViews>
    <sheetView showGridLines="0" tabSelected="1" zoomScale="85" zoomScaleNormal="85" workbookViewId="0">
      <pane ySplit="10" topLeftCell="A11" activePane="bottomLeft" state="frozen"/>
      <selection activeCell="B2" sqref="B2"/>
      <selection pane="bottomLeft" activeCell="B2" sqref="B2"/>
    </sheetView>
  </sheetViews>
  <sheetFormatPr defaultColWidth="9.140625" defaultRowHeight="12.75" x14ac:dyDescent="0.2"/>
  <cols>
    <col min="1" max="1" width="3.7109375" style="80" customWidth="1"/>
    <col min="2" max="3" width="2.7109375" style="80" customWidth="1"/>
    <col min="4" max="4" width="22.85546875" style="80" customWidth="1"/>
    <col min="5" max="5" width="23.7109375" style="80" customWidth="1"/>
    <col min="6" max="6" width="2.7109375" style="80" customWidth="1"/>
    <col min="7" max="11" width="16.85546875" style="80" customWidth="1"/>
    <col min="12" max="13" width="2.7109375" style="80" customWidth="1"/>
    <col min="14" max="14" width="14.7109375" style="80" customWidth="1"/>
    <col min="15" max="16384" width="9.140625" style="80"/>
  </cols>
  <sheetData>
    <row r="1" spans="1:14" ht="12.75" customHeight="1" x14ac:dyDescent="0.2"/>
    <row r="2" spans="1:14" ht="12" customHeight="1" x14ac:dyDescent="0.2">
      <c r="B2" s="81"/>
      <c r="C2" s="82"/>
      <c r="D2" s="83"/>
      <c r="E2" s="83"/>
      <c r="F2" s="83"/>
      <c r="G2" s="84"/>
      <c r="H2" s="84"/>
      <c r="I2" s="84"/>
      <c r="J2" s="84"/>
      <c r="K2" s="84"/>
      <c r="L2" s="84"/>
      <c r="M2" s="85"/>
      <c r="N2" s="86"/>
    </row>
    <row r="3" spans="1:14" x14ac:dyDescent="0.2">
      <c r="B3" s="87"/>
      <c r="C3" s="88"/>
      <c r="D3" s="89"/>
      <c r="E3" s="89"/>
      <c r="F3" s="89"/>
      <c r="G3" s="90"/>
      <c r="H3" s="90"/>
      <c r="I3" s="90"/>
      <c r="J3" s="90"/>
      <c r="K3" s="90"/>
      <c r="L3" s="90"/>
      <c r="M3" s="91"/>
      <c r="N3" s="86"/>
    </row>
    <row r="4" spans="1:14" s="92" customFormat="1" ht="18.75" x14ac:dyDescent="0.3">
      <c r="B4" s="93"/>
      <c r="C4" s="94" t="s">
        <v>154</v>
      </c>
      <c r="D4" s="95"/>
      <c r="E4" s="95"/>
      <c r="F4" s="95"/>
      <c r="G4" s="95"/>
      <c r="H4" s="95"/>
      <c r="I4" s="95"/>
      <c r="J4" s="95"/>
      <c r="K4" s="95"/>
      <c r="L4" s="95"/>
      <c r="M4" s="96"/>
    </row>
    <row r="5" spans="1:14" ht="18.75" x14ac:dyDescent="0.3">
      <c r="A5" s="97"/>
      <c r="B5" s="98"/>
      <c r="C5" s="99" t="str">
        <f>G12</f>
        <v>Basisschool</v>
      </c>
      <c r="D5" s="100"/>
      <c r="E5" s="100"/>
      <c r="F5" s="100"/>
      <c r="G5" s="100"/>
      <c r="H5" s="100"/>
      <c r="I5" s="100"/>
      <c r="J5" s="100"/>
      <c r="K5" s="100"/>
      <c r="L5" s="88"/>
      <c r="M5" s="91"/>
    </row>
    <row r="6" spans="1:14" x14ac:dyDescent="0.2">
      <c r="A6" s="97"/>
      <c r="B6" s="101"/>
      <c r="C6" s="100"/>
      <c r="D6" s="102"/>
      <c r="E6" s="102"/>
      <c r="F6" s="102"/>
      <c r="G6" s="103"/>
      <c r="H6" s="103"/>
      <c r="I6" s="102"/>
      <c r="J6" s="100"/>
      <c r="K6" s="100"/>
      <c r="L6" s="88"/>
      <c r="M6" s="91"/>
    </row>
    <row r="7" spans="1:14" x14ac:dyDescent="0.2">
      <c r="A7" s="97"/>
      <c r="B7" s="101"/>
      <c r="C7" s="100"/>
      <c r="D7" s="102"/>
      <c r="E7" s="102"/>
      <c r="F7" s="102"/>
      <c r="G7" s="103"/>
      <c r="H7" s="103"/>
      <c r="I7" s="102"/>
      <c r="J7" s="100"/>
      <c r="K7" s="100"/>
      <c r="L7" s="88"/>
      <c r="M7" s="91"/>
    </row>
    <row r="8" spans="1:14" x14ac:dyDescent="0.2">
      <c r="A8" s="97"/>
      <c r="B8" s="101"/>
      <c r="C8" s="100"/>
      <c r="D8" s="102"/>
      <c r="E8" s="102"/>
      <c r="F8" s="102"/>
      <c r="G8" s="103"/>
      <c r="H8" s="103"/>
      <c r="I8" s="102"/>
      <c r="J8" s="100"/>
      <c r="K8" s="100"/>
      <c r="L8" s="88"/>
      <c r="M8" s="91"/>
    </row>
    <row r="9" spans="1:14" x14ac:dyDescent="0.2">
      <c r="A9" s="97"/>
      <c r="B9" s="101"/>
      <c r="C9" s="100"/>
      <c r="D9" s="102"/>
      <c r="E9" s="102"/>
      <c r="F9" s="102"/>
      <c r="G9" s="103"/>
      <c r="H9" s="103"/>
      <c r="I9" s="102"/>
      <c r="J9" s="100"/>
      <c r="K9" s="100"/>
      <c r="L9" s="88"/>
      <c r="M9" s="91"/>
    </row>
    <row r="10" spans="1:14" x14ac:dyDescent="0.2">
      <c r="B10" s="87"/>
      <c r="C10" s="88"/>
      <c r="D10" s="89"/>
      <c r="E10" s="89"/>
      <c r="F10" s="89"/>
      <c r="G10" s="90"/>
      <c r="H10" s="90"/>
      <c r="I10" s="90"/>
      <c r="J10" s="90"/>
      <c r="K10" s="90"/>
      <c r="L10" s="90"/>
      <c r="M10" s="91"/>
    </row>
    <row r="11" spans="1:14" x14ac:dyDescent="0.2">
      <c r="B11" s="87"/>
      <c r="C11" s="104"/>
      <c r="D11" s="105"/>
      <c r="E11" s="105"/>
      <c r="F11" s="105"/>
      <c r="G11" s="106"/>
      <c r="H11" s="106"/>
      <c r="I11" s="106"/>
      <c r="J11" s="106"/>
      <c r="K11" s="106"/>
      <c r="L11" s="107"/>
      <c r="M11" s="91"/>
    </row>
    <row r="12" spans="1:14" x14ac:dyDescent="0.2">
      <c r="B12" s="87"/>
      <c r="C12" s="108"/>
      <c r="D12" s="109" t="s">
        <v>16</v>
      </c>
      <c r="E12" s="109"/>
      <c r="F12" s="110"/>
      <c r="G12" s="111" t="s">
        <v>667</v>
      </c>
      <c r="H12" s="112"/>
      <c r="I12" s="112"/>
      <c r="J12" s="113"/>
      <c r="K12" s="113"/>
      <c r="L12" s="114"/>
      <c r="M12" s="91"/>
    </row>
    <row r="13" spans="1:14" x14ac:dyDescent="0.2">
      <c r="B13" s="87"/>
      <c r="C13" s="108"/>
      <c r="D13" s="109" t="s">
        <v>17</v>
      </c>
      <c r="E13" s="109"/>
      <c r="F13" s="110"/>
      <c r="G13" s="115" t="s">
        <v>496</v>
      </c>
      <c r="H13" s="112"/>
      <c r="I13" s="112"/>
      <c r="J13" s="113"/>
      <c r="K13" s="113"/>
      <c r="L13" s="114"/>
      <c r="M13" s="91"/>
    </row>
    <row r="14" spans="1:14" x14ac:dyDescent="0.2">
      <c r="B14" s="87"/>
      <c r="C14" s="108"/>
      <c r="D14" s="109" t="s">
        <v>411</v>
      </c>
      <c r="E14" s="109"/>
      <c r="F14" s="110"/>
      <c r="G14" s="115">
        <v>1000</v>
      </c>
      <c r="H14" s="112"/>
      <c r="I14" s="112"/>
      <c r="J14" s="113"/>
      <c r="K14" s="113"/>
      <c r="L14" s="114"/>
      <c r="M14" s="91"/>
    </row>
    <row r="15" spans="1:14" x14ac:dyDescent="0.2">
      <c r="B15" s="87"/>
      <c r="C15" s="116"/>
      <c r="D15" s="117"/>
      <c r="E15" s="117"/>
      <c r="F15" s="117"/>
      <c r="G15" s="118"/>
      <c r="H15" s="118"/>
      <c r="I15" s="118"/>
      <c r="J15" s="118"/>
      <c r="K15" s="118"/>
      <c r="L15" s="119"/>
      <c r="M15" s="91"/>
    </row>
    <row r="16" spans="1:14" x14ac:dyDescent="0.2">
      <c r="B16" s="87"/>
      <c r="C16" s="88"/>
      <c r="D16" s="88"/>
      <c r="E16" s="88"/>
      <c r="F16" s="88"/>
      <c r="G16" s="90"/>
      <c r="H16" s="90"/>
      <c r="I16" s="90"/>
      <c r="J16" s="90"/>
      <c r="K16" s="90"/>
      <c r="L16" s="90"/>
      <c r="M16" s="91"/>
    </row>
    <row r="17" spans="2:19" x14ac:dyDescent="0.2">
      <c r="B17" s="87"/>
      <c r="C17" s="88"/>
      <c r="D17" s="88"/>
      <c r="E17" s="88"/>
      <c r="F17" s="88"/>
      <c r="G17" s="90"/>
      <c r="H17" s="90"/>
      <c r="I17" s="90"/>
      <c r="J17" s="90"/>
      <c r="K17" s="90"/>
      <c r="L17" s="90"/>
      <c r="M17" s="91"/>
    </row>
    <row r="18" spans="2:19" x14ac:dyDescent="0.2">
      <c r="B18" s="87"/>
      <c r="C18" s="88"/>
      <c r="D18" s="88"/>
      <c r="E18" s="88"/>
      <c r="F18" s="88"/>
      <c r="G18" s="90"/>
      <c r="H18" s="90"/>
      <c r="I18" s="90"/>
      <c r="J18" s="90"/>
      <c r="K18" s="90"/>
      <c r="L18" s="90"/>
      <c r="M18" s="91"/>
    </row>
    <row r="19" spans="2:19" s="92" customFormat="1" x14ac:dyDescent="0.2">
      <c r="B19" s="120"/>
      <c r="C19" s="95"/>
      <c r="D19" s="121"/>
      <c r="E19" s="122" t="s">
        <v>290</v>
      </c>
      <c r="F19" s="122"/>
      <c r="G19" s="123" t="str">
        <f>tab!D2</f>
        <v>2013/14</v>
      </c>
      <c r="H19" s="123" t="str">
        <f>tab!E2</f>
        <v>2014/15</v>
      </c>
      <c r="I19" s="123" t="str">
        <f>tab!F2</f>
        <v>2015/16</v>
      </c>
      <c r="J19" s="123" t="str">
        <f>tab!G2</f>
        <v>2016/17</v>
      </c>
      <c r="K19" s="123" t="str">
        <f>tab!H2</f>
        <v>2017/18</v>
      </c>
      <c r="L19" s="123"/>
      <c r="M19" s="96"/>
    </row>
    <row r="20" spans="2:19" s="92" customFormat="1" x14ac:dyDescent="0.2">
      <c r="B20" s="120"/>
      <c r="C20" s="95"/>
      <c r="D20" s="121"/>
      <c r="E20" s="122" t="s">
        <v>304</v>
      </c>
      <c r="F20" s="122"/>
      <c r="G20" s="123">
        <f>tab!C4</f>
        <v>2012</v>
      </c>
      <c r="H20" s="123">
        <f>tab!D4</f>
        <v>2013</v>
      </c>
      <c r="I20" s="123">
        <f>tab!E4</f>
        <v>2014</v>
      </c>
      <c r="J20" s="123">
        <f>tab!F4</f>
        <v>2015</v>
      </c>
      <c r="K20" s="123">
        <f>tab!G4</f>
        <v>2016</v>
      </c>
      <c r="L20" s="123"/>
      <c r="M20" s="96"/>
      <c r="N20" s="124"/>
      <c r="O20" s="124"/>
      <c r="P20" s="124"/>
      <c r="Q20" s="124"/>
      <c r="R20" s="124"/>
      <c r="S20" s="124"/>
    </row>
    <row r="21" spans="2:19" x14ac:dyDescent="0.2">
      <c r="B21" s="87"/>
      <c r="C21" s="88"/>
      <c r="D21" s="88"/>
      <c r="E21" s="88"/>
      <c r="F21" s="88"/>
      <c r="G21" s="90"/>
      <c r="H21" s="90"/>
      <c r="I21" s="90"/>
      <c r="J21" s="90"/>
      <c r="K21" s="90"/>
      <c r="L21" s="90"/>
      <c r="M21" s="91"/>
    </row>
    <row r="22" spans="2:19" x14ac:dyDescent="0.2">
      <c r="B22" s="87"/>
      <c r="C22" s="104"/>
      <c r="D22" s="105"/>
      <c r="E22" s="105"/>
      <c r="F22" s="105"/>
      <c r="G22" s="106"/>
      <c r="H22" s="106"/>
      <c r="I22" s="106"/>
      <c r="J22" s="106"/>
      <c r="K22" s="106"/>
      <c r="L22" s="107"/>
      <c r="M22" s="91"/>
    </row>
    <row r="23" spans="2:19" s="97" customFormat="1" x14ac:dyDescent="0.2">
      <c r="B23" s="101"/>
      <c r="C23" s="125"/>
      <c r="D23" s="126" t="s">
        <v>674</v>
      </c>
      <c r="E23" s="126"/>
      <c r="F23" s="127"/>
      <c r="G23" s="128"/>
      <c r="H23" s="128"/>
      <c r="I23" s="128"/>
      <c r="J23" s="128"/>
      <c r="K23" s="128"/>
      <c r="L23" s="129"/>
      <c r="M23" s="130"/>
    </row>
    <row r="24" spans="2:19" x14ac:dyDescent="0.2">
      <c r="B24" s="87"/>
      <c r="C24" s="108"/>
      <c r="D24" s="110"/>
      <c r="E24" s="110"/>
      <c r="F24" s="110"/>
      <c r="G24" s="131"/>
      <c r="H24" s="131"/>
      <c r="I24" s="131"/>
      <c r="J24" s="131"/>
      <c r="K24" s="131"/>
      <c r="L24" s="114"/>
      <c r="M24" s="91"/>
    </row>
    <row r="25" spans="2:19" x14ac:dyDescent="0.2">
      <c r="B25" s="87"/>
      <c r="C25" s="108"/>
      <c r="D25" s="109" t="s">
        <v>255</v>
      </c>
      <c r="E25" s="109"/>
      <c r="F25" s="109"/>
      <c r="G25" s="132">
        <v>110</v>
      </c>
      <c r="H25" s="132">
        <v>110</v>
      </c>
      <c r="I25" s="132">
        <f t="shared" ref="I25:K26" si="0">H25</f>
        <v>110</v>
      </c>
      <c r="J25" s="132">
        <f t="shared" si="0"/>
        <v>110</v>
      </c>
      <c r="K25" s="132">
        <f t="shared" si="0"/>
        <v>110</v>
      </c>
      <c r="L25" s="133"/>
      <c r="M25" s="91"/>
    </row>
    <row r="26" spans="2:19" x14ac:dyDescent="0.2">
      <c r="B26" s="87"/>
      <c r="C26" s="108"/>
      <c r="D26" s="109" t="s">
        <v>256</v>
      </c>
      <c r="E26" s="109"/>
      <c r="F26" s="109"/>
      <c r="G26" s="132">
        <v>110</v>
      </c>
      <c r="H26" s="132">
        <v>110</v>
      </c>
      <c r="I26" s="132">
        <f t="shared" si="0"/>
        <v>110</v>
      </c>
      <c r="J26" s="132">
        <f t="shared" si="0"/>
        <v>110</v>
      </c>
      <c r="K26" s="132">
        <f t="shared" si="0"/>
        <v>110</v>
      </c>
      <c r="L26" s="133"/>
      <c r="M26" s="91"/>
    </row>
    <row r="27" spans="2:19" x14ac:dyDescent="0.2">
      <c r="B27" s="87"/>
      <c r="C27" s="108"/>
      <c r="D27" s="134" t="s">
        <v>288</v>
      </c>
      <c r="E27" s="134"/>
      <c r="F27" s="134"/>
      <c r="G27" s="135">
        <f>G25+G26</f>
        <v>220</v>
      </c>
      <c r="H27" s="135">
        <f>H25+H26</f>
        <v>220</v>
      </c>
      <c r="I27" s="135">
        <f>I25+I26</f>
        <v>220</v>
      </c>
      <c r="J27" s="135">
        <f>J25+J26</f>
        <v>220</v>
      </c>
      <c r="K27" s="135">
        <f>K25+K26</f>
        <v>220</v>
      </c>
      <c r="L27" s="136"/>
      <c r="M27" s="91"/>
    </row>
    <row r="28" spans="2:19" x14ac:dyDescent="0.2">
      <c r="B28" s="87"/>
      <c r="C28" s="108"/>
      <c r="D28" s="110" t="s">
        <v>642</v>
      </c>
      <c r="E28" s="137">
        <v>0.3</v>
      </c>
      <c r="F28" s="138"/>
      <c r="G28" s="132">
        <v>0</v>
      </c>
      <c r="H28" s="132">
        <v>0</v>
      </c>
      <c r="I28" s="132">
        <f t="shared" ref="I28:K29" si="1">+H28</f>
        <v>0</v>
      </c>
      <c r="J28" s="132">
        <f t="shared" si="1"/>
        <v>0</v>
      </c>
      <c r="K28" s="132">
        <f t="shared" si="1"/>
        <v>0</v>
      </c>
      <c r="L28" s="133"/>
      <c r="M28" s="91"/>
    </row>
    <row r="29" spans="2:19" x14ac:dyDescent="0.2">
      <c r="B29" s="87"/>
      <c r="C29" s="108"/>
      <c r="D29" s="110" t="s">
        <v>642</v>
      </c>
      <c r="E29" s="137">
        <v>1.2</v>
      </c>
      <c r="F29" s="138"/>
      <c r="G29" s="132">
        <v>0</v>
      </c>
      <c r="H29" s="132">
        <v>0</v>
      </c>
      <c r="I29" s="132">
        <f t="shared" si="1"/>
        <v>0</v>
      </c>
      <c r="J29" s="132">
        <f t="shared" si="1"/>
        <v>0</v>
      </c>
      <c r="K29" s="132">
        <f t="shared" si="1"/>
        <v>0</v>
      </c>
      <c r="L29" s="133"/>
      <c r="M29" s="91"/>
    </row>
    <row r="30" spans="2:19" x14ac:dyDescent="0.2">
      <c r="B30" s="87"/>
      <c r="C30" s="108"/>
      <c r="D30" s="109" t="s">
        <v>274</v>
      </c>
      <c r="E30" s="109"/>
      <c r="F30" s="109"/>
      <c r="G30" s="139">
        <f>($E$28*G28)+($E$29*G29)</f>
        <v>0</v>
      </c>
      <c r="H30" s="139">
        <f>($E$28*H28)+($E$29*H29)</f>
        <v>0</v>
      </c>
      <c r="I30" s="139">
        <f>($E$28*I28)+($E$29*I29)</f>
        <v>0</v>
      </c>
      <c r="J30" s="139">
        <f>($E$28*J28)+($E$29*J29)</f>
        <v>0</v>
      </c>
      <c r="K30" s="139">
        <f>($E$28*K28)+($E$29*K29)</f>
        <v>0</v>
      </c>
      <c r="L30" s="140"/>
      <c r="M30" s="91"/>
    </row>
    <row r="31" spans="2:19" x14ac:dyDescent="0.2">
      <c r="B31" s="87"/>
      <c r="C31" s="108"/>
      <c r="D31" s="109" t="s">
        <v>372</v>
      </c>
      <c r="E31" s="109"/>
      <c r="F31" s="109"/>
      <c r="G31" s="141">
        <f>ROUND(IF(G32&lt;(G27*0.8),G32,(0.8*G27)),0)</f>
        <v>0</v>
      </c>
      <c r="H31" s="141">
        <f>ROUND(IF(H32&lt;(H27*0.8),H32,(0.8*H27)),0)</f>
        <v>0</v>
      </c>
      <c r="I31" s="141">
        <f>ROUND(IF(I32&lt;(I27*0.8),I32,(0.8*I27)),0)</f>
        <v>0</v>
      </c>
      <c r="J31" s="141">
        <f>ROUND(IF(J32&lt;(J27*0.8),J32,(0.8*J27)),0)</f>
        <v>0</v>
      </c>
      <c r="K31" s="141">
        <f>ROUND(IF(K32&lt;(K27*0.8),K32,(0.8*K27)),0)</f>
        <v>0</v>
      </c>
      <c r="L31" s="140"/>
      <c r="M31" s="91"/>
    </row>
    <row r="32" spans="2:19" x14ac:dyDescent="0.2">
      <c r="B32" s="87"/>
      <c r="C32" s="108"/>
      <c r="D32" s="142" t="s">
        <v>98</v>
      </c>
      <c r="E32" s="142"/>
      <c r="F32" s="142"/>
      <c r="G32" s="143">
        <f>IF((ROUND(IF(G30-(tab!D28*G27)&lt;0,0,(G30-(tab!D28*G27))),0))&lt;(G88+G101+G114+G127),(G88+G101+G114+G127),((ROUND(IF(G30-(tab!D28*G27)&lt;0,0,(G30-(tab!D28*G27))),0))))</f>
        <v>0</v>
      </c>
      <c r="H32" s="143">
        <f>IF((ROUND(IF(H30-(tab!$E28*H27)&lt;0,0,(H30-(tab!$E28*H27))),0))&lt;(H88+H101+H114+H127),(H88+H101+H114+H127),((ROUND(IF(H30-(tab!$E28*H27)&lt;0,0,(H30-(tab!$E28*H27))),0))))</f>
        <v>0</v>
      </c>
      <c r="I32" s="143">
        <f>IF((ROUND(IF(I30-(tab!$E28*I27)&lt;0,0,(I30-(tab!$E28*I27))),0))&lt;(I88+I101+I114+I127),(I88+I101+I114+I127),((ROUND(IF(I30-(tab!$E28*I27)&lt;0,0,(I30-(tab!$E28*I27))),0))))</f>
        <v>0</v>
      </c>
      <c r="J32" s="143">
        <f>IF((ROUND(IF(J30-(tab!$E28*J27)&lt;0,0,(J30-(tab!$E28*J27))),0))&lt;(J88+J101+J114+J127),(J88+J101+J114+J127),((ROUND(IF(J30-(tab!$E28*J27)&lt;0,0,(J30-(tab!$E28*J27))),0))))</f>
        <v>0</v>
      </c>
      <c r="K32" s="143">
        <f>IF((ROUND(IF(K30-(tab!$E28*K27)&lt;0,0,(K30-(tab!$E28*K27))),0))&lt;(K88+K101+K114+K127),(K88+K101+K114+K127),((ROUND(IF(K30-(tab!$E28*K27)&lt;0,0,(K30-(tab!$E28*K27))),0))))</f>
        <v>0</v>
      </c>
      <c r="L32" s="140"/>
      <c r="M32" s="91"/>
    </row>
    <row r="33" spans="2:13" x14ac:dyDescent="0.2">
      <c r="B33" s="87"/>
      <c r="C33" s="108"/>
      <c r="D33" s="109" t="s">
        <v>158</v>
      </c>
      <c r="E33" s="109"/>
      <c r="F33" s="109"/>
      <c r="G33" s="139" t="str">
        <f>IF(G14=LOOKUP(G14,Postcode_gebieden),"ja","nee")</f>
        <v>nee</v>
      </c>
      <c r="H33" s="1206" t="str">
        <f>G33</f>
        <v>nee</v>
      </c>
      <c r="I33" s="1206" t="str">
        <f>+H33</f>
        <v>nee</v>
      </c>
      <c r="J33" s="1206" t="str">
        <f>+I33</f>
        <v>nee</v>
      </c>
      <c r="K33" s="1206" t="str">
        <f>+J33</f>
        <v>nee</v>
      </c>
      <c r="L33" s="140"/>
      <c r="M33" s="91"/>
    </row>
    <row r="34" spans="2:13" x14ac:dyDescent="0.2">
      <c r="B34" s="87"/>
      <c r="C34" s="108"/>
      <c r="D34" s="109" t="s">
        <v>409</v>
      </c>
      <c r="E34" s="109"/>
      <c r="F34" s="109"/>
      <c r="G34" s="139">
        <f>SUM(G28:G29)</f>
        <v>0</v>
      </c>
      <c r="H34" s="139">
        <f>SUM(H28:H29)</f>
        <v>0</v>
      </c>
      <c r="I34" s="139">
        <f>SUM(I28:I29)</f>
        <v>0</v>
      </c>
      <c r="J34" s="139">
        <f>SUM(J28:J29)</f>
        <v>0</v>
      </c>
      <c r="K34" s="139">
        <f>SUM(K28:K29)</f>
        <v>0</v>
      </c>
      <c r="L34" s="140"/>
      <c r="M34" s="91"/>
    </row>
    <row r="35" spans="2:13" x14ac:dyDescent="0.2">
      <c r="B35" s="87"/>
      <c r="C35" s="108"/>
      <c r="D35" s="109"/>
      <c r="E35" s="109"/>
      <c r="F35" s="109"/>
      <c r="G35" s="144"/>
      <c r="H35" s="144"/>
      <c r="I35" s="144"/>
      <c r="J35" s="144"/>
      <c r="K35" s="144"/>
      <c r="L35" s="140"/>
      <c r="M35" s="91"/>
    </row>
    <row r="36" spans="2:13" x14ac:dyDescent="0.2">
      <c r="B36" s="145"/>
      <c r="C36" s="146"/>
      <c r="D36" s="147" t="s">
        <v>254</v>
      </c>
      <c r="E36" s="147"/>
      <c r="F36" s="147"/>
      <c r="G36" s="135">
        <f>FLOOR(G27*1.03,1)</f>
        <v>226</v>
      </c>
      <c r="H36" s="135">
        <f>FLOOR(H27*1.03,1)</f>
        <v>226</v>
      </c>
      <c r="I36" s="135">
        <f>FLOOR(I27*1.03,1)</f>
        <v>226</v>
      </c>
      <c r="J36" s="135">
        <f>FLOOR(J27*1.03,1)</f>
        <v>226</v>
      </c>
      <c r="K36" s="135">
        <f>FLOOR(K27*1.03,1)</f>
        <v>226</v>
      </c>
      <c r="L36" s="136"/>
      <c r="M36" s="148"/>
    </row>
    <row r="37" spans="2:13" x14ac:dyDescent="0.2">
      <c r="B37" s="145"/>
      <c r="C37" s="146"/>
      <c r="D37" s="147"/>
      <c r="E37" s="147"/>
      <c r="F37" s="147"/>
      <c r="G37" s="149"/>
      <c r="H37" s="149"/>
      <c r="I37" s="149"/>
      <c r="J37" s="149"/>
      <c r="K37" s="149"/>
      <c r="L37" s="136"/>
      <c r="M37" s="148"/>
    </row>
    <row r="38" spans="2:13" x14ac:dyDescent="0.2">
      <c r="B38" s="145"/>
      <c r="C38" s="146"/>
      <c r="D38" s="109" t="s">
        <v>36</v>
      </c>
      <c r="E38" s="109"/>
      <c r="F38" s="109"/>
      <c r="G38" s="150" t="s">
        <v>373</v>
      </c>
      <c r="H38" s="150" t="str">
        <f>+G38</f>
        <v>nee</v>
      </c>
      <c r="I38" s="150" t="str">
        <f>+H38</f>
        <v>nee</v>
      </c>
      <c r="J38" s="150" t="str">
        <f>+I38</f>
        <v>nee</v>
      </c>
      <c r="K38" s="150" t="str">
        <f>+J38</f>
        <v>nee</v>
      </c>
      <c r="L38" s="136"/>
      <c r="M38" s="148"/>
    </row>
    <row r="39" spans="2:13" x14ac:dyDescent="0.2">
      <c r="B39" s="145"/>
      <c r="C39" s="146"/>
      <c r="D39" s="147"/>
      <c r="E39" s="147"/>
      <c r="F39" s="147"/>
      <c r="G39" s="149"/>
      <c r="H39" s="149"/>
      <c r="I39" s="149"/>
      <c r="J39" s="149"/>
      <c r="K39" s="149"/>
      <c r="L39" s="136"/>
      <c r="M39" s="148"/>
    </row>
    <row r="40" spans="2:13" x14ac:dyDescent="0.2">
      <c r="B40" s="87"/>
      <c r="C40" s="116"/>
      <c r="D40" s="117"/>
      <c r="E40" s="117"/>
      <c r="F40" s="117"/>
      <c r="G40" s="117"/>
      <c r="H40" s="117"/>
      <c r="I40" s="117"/>
      <c r="J40" s="117"/>
      <c r="K40" s="117"/>
      <c r="L40" s="151"/>
      <c r="M40" s="91"/>
    </row>
    <row r="41" spans="2:13" x14ac:dyDescent="0.2">
      <c r="B41" s="87"/>
      <c r="C41" s="95"/>
      <c r="D41" s="95"/>
      <c r="E41" s="95"/>
      <c r="F41" s="95"/>
      <c r="G41" s="95"/>
      <c r="H41" s="95"/>
      <c r="I41" s="95"/>
      <c r="J41" s="95"/>
      <c r="K41" s="95"/>
      <c r="L41" s="95"/>
      <c r="M41" s="91"/>
    </row>
    <row r="42" spans="2:13" x14ac:dyDescent="0.2">
      <c r="B42" s="87"/>
      <c r="C42" s="95"/>
      <c r="D42" s="152"/>
      <c r="E42" s="152"/>
      <c r="F42" s="152"/>
      <c r="G42" s="152"/>
      <c r="H42" s="152"/>
      <c r="I42" s="152"/>
      <c r="J42" s="152"/>
      <c r="K42" s="152"/>
      <c r="L42" s="95"/>
      <c r="M42" s="91"/>
    </row>
    <row r="43" spans="2:13" s="97" customFormat="1" x14ac:dyDescent="0.2">
      <c r="B43" s="101"/>
      <c r="C43" s="95"/>
      <c r="D43" s="153"/>
      <c r="E43" s="122" t="s">
        <v>388</v>
      </c>
      <c r="F43" s="152"/>
      <c r="G43" s="123">
        <f>mat!H8</f>
        <v>2013</v>
      </c>
      <c r="H43" s="123">
        <f>mat!I8</f>
        <v>2014</v>
      </c>
      <c r="I43" s="123">
        <f>mat!J8</f>
        <v>2015</v>
      </c>
      <c r="J43" s="123">
        <f>mat!K8</f>
        <v>2016</v>
      </c>
      <c r="K43" s="123">
        <f>mat!L8</f>
        <v>2017</v>
      </c>
      <c r="L43" s="123"/>
      <c r="M43" s="130"/>
    </row>
    <row r="44" spans="2:13" s="97" customFormat="1" x14ac:dyDescent="0.2">
      <c r="B44" s="101"/>
      <c r="C44" s="95"/>
      <c r="D44" s="153"/>
      <c r="E44" s="122" t="s">
        <v>304</v>
      </c>
      <c r="F44" s="152"/>
      <c r="G44" s="123">
        <f>mat!H9</f>
        <v>2012</v>
      </c>
      <c r="H44" s="123">
        <f>mat!I9</f>
        <v>2013</v>
      </c>
      <c r="I44" s="123">
        <f>mat!J9</f>
        <v>2014</v>
      </c>
      <c r="J44" s="123">
        <f>mat!K9</f>
        <v>2015</v>
      </c>
      <c r="K44" s="123">
        <f>mat!L9</f>
        <v>2016</v>
      </c>
      <c r="L44" s="123"/>
      <c r="M44" s="130"/>
    </row>
    <row r="45" spans="2:13" x14ac:dyDescent="0.2">
      <c r="B45" s="87"/>
      <c r="C45" s="95"/>
      <c r="D45" s="122"/>
      <c r="E45" s="122"/>
      <c r="F45" s="152"/>
      <c r="G45" s="152"/>
      <c r="H45" s="152"/>
      <c r="I45" s="152"/>
      <c r="J45" s="152"/>
      <c r="K45" s="152"/>
      <c r="L45" s="152"/>
      <c r="M45" s="91"/>
    </row>
    <row r="46" spans="2:13" x14ac:dyDescent="0.2">
      <c r="B46" s="87"/>
      <c r="C46" s="104"/>
      <c r="D46" s="154"/>
      <c r="E46" s="154"/>
      <c r="F46" s="155"/>
      <c r="G46" s="155"/>
      <c r="H46" s="155"/>
      <c r="I46" s="155"/>
      <c r="J46" s="155"/>
      <c r="K46" s="155"/>
      <c r="L46" s="156"/>
      <c r="M46" s="91"/>
    </row>
    <row r="47" spans="2:13" x14ac:dyDescent="0.2">
      <c r="B47" s="87"/>
      <c r="C47" s="108"/>
      <c r="D47" s="157" t="s">
        <v>146</v>
      </c>
      <c r="E47" s="157"/>
      <c r="F47" s="109"/>
      <c r="G47" s="109"/>
      <c r="H47" s="109"/>
      <c r="I47" s="109"/>
      <c r="J47" s="109"/>
      <c r="K47" s="109"/>
      <c r="L47" s="158"/>
      <c r="M47" s="91"/>
    </row>
    <row r="48" spans="2:13" x14ac:dyDescent="0.2">
      <c r="B48" s="87"/>
      <c r="C48" s="108"/>
      <c r="D48" s="159"/>
      <c r="E48" s="159"/>
      <c r="F48" s="109"/>
      <c r="G48" s="109"/>
      <c r="H48" s="109"/>
      <c r="I48" s="109"/>
      <c r="J48" s="109"/>
      <c r="K48" s="109"/>
      <c r="L48" s="158"/>
      <c r="M48" s="91"/>
    </row>
    <row r="49" spans="2:13" x14ac:dyDescent="0.2">
      <c r="B49" s="87"/>
      <c r="C49" s="108"/>
      <c r="D49" s="109" t="s">
        <v>518</v>
      </c>
      <c r="E49" s="109"/>
      <c r="F49" s="109"/>
      <c r="G49" s="132">
        <v>0</v>
      </c>
      <c r="H49" s="160">
        <v>0</v>
      </c>
      <c r="I49" s="160">
        <f>H49</f>
        <v>0</v>
      </c>
      <c r="J49" s="160">
        <f>I49</f>
        <v>0</v>
      </c>
      <c r="K49" s="160">
        <f>J49</f>
        <v>0</v>
      </c>
      <c r="L49" s="161"/>
      <c r="M49" s="91"/>
    </row>
    <row r="50" spans="2:13" x14ac:dyDescent="0.2">
      <c r="B50" s="145"/>
      <c r="C50" s="146"/>
      <c r="D50" s="109" t="s">
        <v>624</v>
      </c>
      <c r="E50" s="109"/>
      <c r="F50" s="147"/>
      <c r="G50" s="162">
        <f>FLOOR(+G49*1.03,1)</f>
        <v>0</v>
      </c>
      <c r="H50" s="162">
        <f>FLOOR(+H49*1.03,1)</f>
        <v>0</v>
      </c>
      <c r="I50" s="162">
        <f>FLOOR(+I49*1.03,1)</f>
        <v>0</v>
      </c>
      <c r="J50" s="162">
        <f>FLOOR(+J49*1.03,1)</f>
        <v>0</v>
      </c>
      <c r="K50" s="162">
        <f>FLOOR(+K49*1.03,1)</f>
        <v>0</v>
      </c>
      <c r="L50" s="163"/>
      <c r="M50" s="148"/>
    </row>
    <row r="51" spans="2:13" x14ac:dyDescent="0.2">
      <c r="B51" s="87"/>
      <c r="C51" s="108"/>
      <c r="D51" s="109"/>
      <c r="E51" s="109"/>
      <c r="F51" s="109"/>
      <c r="G51" s="109"/>
      <c r="H51" s="109"/>
      <c r="I51" s="109"/>
      <c r="J51" s="109"/>
      <c r="K51" s="109"/>
      <c r="L51" s="158"/>
      <c r="M51" s="91"/>
    </row>
    <row r="52" spans="2:13" x14ac:dyDescent="0.2">
      <c r="B52" s="87"/>
      <c r="C52" s="108"/>
      <c r="D52" s="109" t="s">
        <v>588</v>
      </c>
      <c r="E52" s="109"/>
      <c r="F52" s="110"/>
      <c r="G52" s="164">
        <f>IF(G56=0,0,1)+IF(G57=0,0,1)+IF(G58=0,0,1)+IF(G59=0,0,1)</f>
        <v>0</v>
      </c>
      <c r="H52" s="164">
        <f>IF(H56=0,0,1)+IF(H57=0,0,1)+IF(H58=0,0,1)+IF(H59=0,0,1)</f>
        <v>0</v>
      </c>
      <c r="I52" s="164">
        <f>IF(I56=0,0,1)+IF(I57=0,0,1)+IF(I58=0,0,1)+IF(I59=0,0,1)</f>
        <v>0</v>
      </c>
      <c r="J52" s="164">
        <f>IF(J56=0,0,1)+IF(J57=0,0,1)+IF(J58=0,0,1)+IF(J59=0,0,1)</f>
        <v>0</v>
      </c>
      <c r="K52" s="164">
        <f>IF(K56=0,0,1)+IF(K57=0,0,1)+IF(K58=0,0,1)+IF(K59=0,0,1)</f>
        <v>0</v>
      </c>
      <c r="L52" s="133"/>
      <c r="M52" s="91"/>
    </row>
    <row r="53" spans="2:13" x14ac:dyDescent="0.2">
      <c r="B53" s="87"/>
      <c r="C53" s="108"/>
      <c r="D53" s="109"/>
      <c r="E53" s="109"/>
      <c r="F53" s="109"/>
      <c r="G53" s="109"/>
      <c r="H53" s="109"/>
      <c r="I53" s="109"/>
      <c r="J53" s="109"/>
      <c r="K53" s="109"/>
      <c r="L53" s="158"/>
      <c r="M53" s="91"/>
    </row>
    <row r="54" spans="2:13" x14ac:dyDescent="0.2">
      <c r="B54" s="87"/>
      <c r="C54" s="108"/>
      <c r="D54" s="165" t="s">
        <v>277</v>
      </c>
      <c r="E54" s="165"/>
      <c r="F54" s="109"/>
      <c r="G54" s="109"/>
      <c r="H54" s="109"/>
      <c r="I54" s="109"/>
      <c r="J54" s="109"/>
      <c r="K54" s="109"/>
      <c r="L54" s="158"/>
      <c r="M54" s="91"/>
    </row>
    <row r="55" spans="2:13" x14ac:dyDescent="0.2">
      <c r="B55" s="87"/>
      <c r="C55" s="108"/>
      <c r="D55" s="110" t="s">
        <v>108</v>
      </c>
      <c r="E55" s="110"/>
      <c r="F55" s="110"/>
      <c r="G55" s="139">
        <f>ROUND(((tab!$C$158*G25)+(tab!$C$159*G26)+(IF(tab!$C$161-(G27*tab!$C$162)&lt;0,0,(tab!$C$161-(G27*tab!$C$162))))+(tab!$C$160*G31)),0)</f>
        <v>9</v>
      </c>
      <c r="H55" s="139">
        <f>ROUND(((tab!$I$158*H25)+(tab!$I$159*H26)+(IF(tab!$I$161-(H27*tab!$I$162)&lt;0,0,(tab!$I$161-(H27*tab!$I$162))))+(tab!$I$160*H31)),0)</f>
        <v>9</v>
      </c>
      <c r="I55" s="139">
        <f>ROUND(((tab!$I$158*I25)+(tab!$I$159*I26)+(IF(tab!$I$161-(I27*tab!$I$162)&lt;0,0,(tab!$I$161-(I27*tab!$I$162))))+(tab!$I$160*I31)),0)</f>
        <v>9</v>
      </c>
      <c r="J55" s="139">
        <f>ROUND(((tab!$I$158*J25)+(tab!$I$159*J26)+(IF(tab!$I$161-(J27*tab!$I$162)&lt;0,0,(tab!$I$161-(J27*tab!$I$162))))+(tab!$I$160*J31)),0)</f>
        <v>9</v>
      </c>
      <c r="K55" s="139">
        <f>ROUND(((tab!$I$158*K25)+(tab!$I$159*K26)+(IF(tab!$I$161-(K27*tab!$I$162)&lt;0,0,(tab!$I$161-(K27*tab!$I$162))))+(tab!$I$160*K31)),0)</f>
        <v>9</v>
      </c>
      <c r="L55" s="140"/>
      <c r="M55" s="91"/>
    </row>
    <row r="56" spans="2:13" x14ac:dyDescent="0.2">
      <c r="B56" s="87"/>
      <c r="C56" s="108"/>
      <c r="D56" s="109" t="str">
        <f>D80</f>
        <v>Hoofdvestiging</v>
      </c>
      <c r="E56" s="109"/>
      <c r="F56" s="109"/>
      <c r="G56" s="166">
        <f>IF(G84=0,0,(ROUND(((tab!$C$158*G82)+(tab!$C$159*G83)+(IF(tab!$C$161-(G84*tab!$C$162)&lt;0,0,(tab!$C$161-(G84*tab!$C$162))))+(tab!$C$160*G88)),0)))</f>
        <v>0</v>
      </c>
      <c r="H56" s="166">
        <f>IF(H84=0,0,(ROUND(((tab!$I$158*H82)+(tab!$I$159*H83)+(IF(tab!$I$161-(H84*tab!$I$162)&lt;0,0,(tab!$I$161-(H84*tab!$I$162))))+(tab!$I$160*H88)),0)))</f>
        <v>0</v>
      </c>
      <c r="I56" s="166">
        <f>IF(I84=0,0,(ROUND(((tab!$I$158*I82)+(tab!$I$159*I83)+(IF(tab!$I$161-(I84*tab!$I$162)&lt;0,0,(tab!$I$161-(I84*tab!$I$162))))+(tab!$I$160*I88)),0)))</f>
        <v>0</v>
      </c>
      <c r="J56" s="166">
        <f>IF(J84=0,0,(ROUND(((tab!$I$158*J82)+(tab!$I$159*J83)+(IF(tab!$I$161-(J84*tab!$I$162)&lt;0,0,(tab!$I$161-(J84*tab!$I$162))))+(tab!$I$160*J88)),0)))</f>
        <v>0</v>
      </c>
      <c r="K56" s="166">
        <f>IF(K84=0,0,(ROUND(((tab!$I$158*K82)+(tab!$I$159*K83)+(IF(tab!$I$161-(K84*tab!$I$162)&lt;0,0,(tab!$I$161-(K84*tab!$I$162))))+(tab!$I$160*K88)),0)))</f>
        <v>0</v>
      </c>
      <c r="L56" s="167"/>
      <c r="M56" s="91"/>
    </row>
    <row r="57" spans="2:13" x14ac:dyDescent="0.2">
      <c r="B57" s="87"/>
      <c r="C57" s="108"/>
      <c r="D57" s="109" t="str">
        <f>D93</f>
        <v>Nevenvestiging 1</v>
      </c>
      <c r="E57" s="109"/>
      <c r="F57" s="109"/>
      <c r="G57" s="166">
        <f>IF(G97=0,0,(ROUND(((tab!$C$158*G95)+(tab!$C$159*G96)+(IF(tab!$C$161-(G97*tab!$C$162)&lt;0,0,(tab!$C$161-(G97*tab!$C$162))))+(tab!$C$160*G101)),0)))</f>
        <v>0</v>
      </c>
      <c r="H57" s="166">
        <f>IF(H97=0,0,(ROUND(((tab!$I$158*H95)+(tab!$I$159*H96)+(IF(tab!$I$161-(H97*tab!$I$162)&lt;0,0,(tab!$I$161-(H97*tab!$I$162))))+(tab!$I$160*H101)),0)))</f>
        <v>0</v>
      </c>
      <c r="I57" s="166">
        <f>IF(I97=0,0,(ROUND(((tab!$I$158*I95)+(tab!$I$159*I96)+(IF(tab!$I$161-(I97*tab!$I$162)&lt;0,0,(tab!$I$161-(I97*tab!$I$162))))+(tab!$I$160*I101)),0)))</f>
        <v>0</v>
      </c>
      <c r="J57" s="166">
        <f>IF(J97=0,0,(ROUND(((tab!$I$158*J95)+(tab!$I$159*J96)+(IF(tab!$I$161-(J97*tab!$I$162)&lt;0,0,(tab!$I$161-(J97*tab!$I$162))))+(tab!$I$160*J101)),0)))</f>
        <v>0</v>
      </c>
      <c r="K57" s="166">
        <f>IF(K97=0,0,(ROUND(((tab!$I$158*K95)+(tab!$I$159*K96)+(IF(tab!$I$161-(K97*tab!$I$162)&lt;0,0,(tab!$I$161-(K97*tab!$I$162))))+(tab!$I$160*K101)),0)))</f>
        <v>0</v>
      </c>
      <c r="L57" s="167"/>
      <c r="M57" s="91"/>
    </row>
    <row r="58" spans="2:13" x14ac:dyDescent="0.2">
      <c r="B58" s="87"/>
      <c r="C58" s="108"/>
      <c r="D58" s="109" t="str">
        <f>D106</f>
        <v>Nevenvestiging 2</v>
      </c>
      <c r="E58" s="109"/>
      <c r="F58" s="109"/>
      <c r="G58" s="166">
        <f>IF(G110=0,0,(ROUND(((tab!$C$158*G108)+(tab!$C$159*G109)+(IF(tab!$C$161-(G110*tab!$C$162)&lt;0,0,(tab!$C$161-(G110*tab!$C$162))))+(tab!$C$160*G114)),0)))</f>
        <v>0</v>
      </c>
      <c r="H58" s="166">
        <f>IF(H110=0,0,(ROUND(((tab!$I$158*H108)+(tab!$I$159*H109)+(IF(tab!$I$161-(H110*tab!$I$162)&lt;0,0,(tab!$I$161-(H110*tab!$I$162))))+(tab!$I$160*H114)),0)))</f>
        <v>0</v>
      </c>
      <c r="I58" s="166">
        <f>IF(I110=0,0,(ROUND(((tab!$I$158*I108)+(tab!$I$159*I109)+(IF(tab!$I$161-(I110*tab!$I$162)&lt;0,0,(tab!$I$161-(I110*tab!$I$162))))+(tab!$I$160*I114)),0)))</f>
        <v>0</v>
      </c>
      <c r="J58" s="166">
        <f>IF(J110=0,0,(ROUND(((tab!$I$158*J108)+(tab!$I$159*J109)+(IF(tab!$I$161-(J110*tab!$I$162)&lt;0,0,(tab!$I$161-(J110*tab!$I$162))))+(tab!$I$160*J114)),0)))</f>
        <v>0</v>
      </c>
      <c r="K58" s="166">
        <f>IF(K110=0,0,(ROUND(((tab!$I$158*K108)+(tab!$I$159*K109)+(IF(tab!$I$161-(K110*tab!$I$162)&lt;0,0,(tab!$I$161-(K110*tab!$I$162))))+(tab!$I$160*K114)),0)))</f>
        <v>0</v>
      </c>
      <c r="L58" s="167"/>
      <c r="M58" s="91"/>
    </row>
    <row r="59" spans="2:13" x14ac:dyDescent="0.2">
      <c r="B59" s="87"/>
      <c r="C59" s="108"/>
      <c r="D59" s="109" t="str">
        <f>D119</f>
        <v>Nevenvestiging 3</v>
      </c>
      <c r="E59" s="109"/>
      <c r="F59" s="109"/>
      <c r="G59" s="166">
        <f>IF(G123=0,0,(ROUND(((tab!$C$158*G121)+(tab!$C$159*G122)+(IF(tab!$C$161-(G123*tab!$C$162)&lt;0,0,(tab!$C$161-(G123*tab!$C$162))))+(tab!$C$160*G127)),0)))</f>
        <v>0</v>
      </c>
      <c r="H59" s="166">
        <f>IF(H123=0,0,(ROUND(((tab!$I$158*H121)+(tab!$I$159*H122)+(IF(tab!$I$161-(H123*tab!$I$162)&lt;0,0,(tab!$I$161-(H123*tab!$I$162))))+(tab!$I$160*H127)),0)))</f>
        <v>0</v>
      </c>
      <c r="I59" s="166">
        <f>IF(I123=0,0,(ROUND(((tab!$I$158*I121)+(tab!$I$159*I122)+(IF(tab!$I$161-(I123*tab!$I$162)&lt;0,0,(tab!$I$161-(I123*tab!$I$162))))+(tab!$I$160*I127)),0)))</f>
        <v>0</v>
      </c>
      <c r="J59" s="166">
        <f>IF(J123=0,0,(ROUND(((tab!$I$158*J121)+(tab!$I$159*J122)+(IF(tab!$I$161-(J123*tab!$I$162)&lt;0,0,(tab!$I$161-(J123*tab!$I$162))))+(tab!$I$160*J127)),0)))</f>
        <v>0</v>
      </c>
      <c r="K59" s="166">
        <f>IF(K123=0,0,(ROUND(((tab!$I$158*K121)+(tab!$I$159*K122)+(IF(tab!$I$161-(K123*tab!$I$162)&lt;0,0,(tab!$I$161-(K123*tab!$I$162))))+(tab!$I$160*K127)),0)))</f>
        <v>0</v>
      </c>
      <c r="L59" s="167"/>
      <c r="M59" s="91"/>
    </row>
    <row r="60" spans="2:13" x14ac:dyDescent="0.2">
      <c r="B60" s="87"/>
      <c r="C60" s="108"/>
      <c r="D60" s="109"/>
      <c r="E60" s="109"/>
      <c r="F60" s="109"/>
      <c r="G60" s="109"/>
      <c r="H60" s="109"/>
      <c r="I60" s="109"/>
      <c r="J60" s="109"/>
      <c r="K60" s="109"/>
      <c r="L60" s="158"/>
      <c r="M60" s="91"/>
    </row>
    <row r="61" spans="2:13" x14ac:dyDescent="0.2">
      <c r="B61" s="87"/>
      <c r="C61" s="108"/>
      <c r="D61" s="165" t="s">
        <v>325</v>
      </c>
      <c r="E61" s="165"/>
      <c r="F61" s="109"/>
      <c r="G61" s="109"/>
      <c r="H61" s="109"/>
      <c r="I61" s="109"/>
      <c r="J61" s="109"/>
      <c r="K61" s="109"/>
      <c r="L61" s="158"/>
      <c r="M61" s="91"/>
    </row>
    <row r="62" spans="2:13" x14ac:dyDescent="0.2">
      <c r="B62" s="87"/>
      <c r="C62" s="108"/>
      <c r="D62" s="109" t="str">
        <f>D55</f>
        <v>School zonder nevenvestiging</v>
      </c>
      <c r="E62" s="109"/>
      <c r="F62" s="110"/>
      <c r="G62" s="166">
        <f>LOOKUP(G55,groepenleerlingennu,vloeroppervlaknu)</f>
        <v>1190</v>
      </c>
      <c r="H62" s="166">
        <f t="shared" ref="G62:J66" si="2">LOOKUP(H55,groepenleerlingennu,vloeroppervlaknu)</f>
        <v>1190</v>
      </c>
      <c r="I62" s="166">
        <f t="shared" si="2"/>
        <v>1190</v>
      </c>
      <c r="J62" s="166">
        <f t="shared" si="2"/>
        <v>1190</v>
      </c>
      <c r="K62" s="166">
        <f>LOOKUP(K55,groepenleerlingennu,vloeroppervlaknu)</f>
        <v>1190</v>
      </c>
      <c r="L62" s="167"/>
      <c r="M62" s="91"/>
    </row>
    <row r="63" spans="2:13" x14ac:dyDescent="0.2">
      <c r="B63" s="87"/>
      <c r="C63" s="108"/>
      <c r="D63" s="109" t="str">
        <f>D56</f>
        <v>Hoofdvestiging</v>
      </c>
      <c r="E63" s="109"/>
      <c r="F63" s="109"/>
      <c r="G63" s="166">
        <f>LOOKUP(G56,groepenleerlingennu,vloeroppervlaknu)</f>
        <v>0</v>
      </c>
      <c r="H63" s="166">
        <f t="shared" si="2"/>
        <v>0</v>
      </c>
      <c r="I63" s="166">
        <f t="shared" si="2"/>
        <v>0</v>
      </c>
      <c r="J63" s="166">
        <f t="shared" si="2"/>
        <v>0</v>
      </c>
      <c r="K63" s="166">
        <f>LOOKUP(K56,groepenleerlingennu,vloeroppervlaknu)</f>
        <v>0</v>
      </c>
      <c r="L63" s="167"/>
      <c r="M63" s="91"/>
    </row>
    <row r="64" spans="2:13" x14ac:dyDescent="0.2">
      <c r="B64" s="87"/>
      <c r="C64" s="108"/>
      <c r="D64" s="109" t="str">
        <f>D57</f>
        <v>Nevenvestiging 1</v>
      </c>
      <c r="E64" s="109"/>
      <c r="F64" s="109"/>
      <c r="G64" s="166">
        <f t="shared" si="2"/>
        <v>0</v>
      </c>
      <c r="H64" s="166">
        <f t="shared" si="2"/>
        <v>0</v>
      </c>
      <c r="I64" s="166">
        <f t="shared" si="2"/>
        <v>0</v>
      </c>
      <c r="J64" s="166">
        <f t="shared" si="2"/>
        <v>0</v>
      </c>
      <c r="K64" s="166">
        <f>LOOKUP(K57,groepenleerlingennu,vloeroppervlaknu)</f>
        <v>0</v>
      </c>
      <c r="L64" s="167"/>
      <c r="M64" s="91"/>
    </row>
    <row r="65" spans="2:13" x14ac:dyDescent="0.2">
      <c r="B65" s="87"/>
      <c r="C65" s="108"/>
      <c r="D65" s="109" t="str">
        <f>D58</f>
        <v>Nevenvestiging 2</v>
      </c>
      <c r="E65" s="109"/>
      <c r="F65" s="109"/>
      <c r="G65" s="166">
        <f>LOOKUP(G58,groepenleerlingennu,vloeroppervlaknu)</f>
        <v>0</v>
      </c>
      <c r="H65" s="166">
        <f t="shared" ref="H65:J66" si="3">LOOKUP(H58,groepenleerlingennu,vloeroppervlaknu)</f>
        <v>0</v>
      </c>
      <c r="I65" s="166">
        <f t="shared" si="3"/>
        <v>0</v>
      </c>
      <c r="J65" s="166">
        <f t="shared" si="3"/>
        <v>0</v>
      </c>
      <c r="K65" s="166">
        <f>LOOKUP(K58,groepenleerlingennu,vloeroppervlaknu)</f>
        <v>0</v>
      </c>
      <c r="L65" s="167"/>
      <c r="M65" s="91"/>
    </row>
    <row r="66" spans="2:13" x14ac:dyDescent="0.2">
      <c r="B66" s="87"/>
      <c r="C66" s="108"/>
      <c r="D66" s="109" t="str">
        <f>D59</f>
        <v>Nevenvestiging 3</v>
      </c>
      <c r="E66" s="109"/>
      <c r="F66" s="109"/>
      <c r="G66" s="166">
        <f t="shared" si="2"/>
        <v>0</v>
      </c>
      <c r="H66" s="166">
        <f t="shared" si="3"/>
        <v>0</v>
      </c>
      <c r="I66" s="166">
        <f t="shared" si="3"/>
        <v>0</v>
      </c>
      <c r="J66" s="166">
        <f t="shared" si="3"/>
        <v>0</v>
      </c>
      <c r="K66" s="166">
        <f>LOOKUP(K59,groepenleerlingennu,vloeroppervlaknu)</f>
        <v>0</v>
      </c>
      <c r="L66" s="167"/>
      <c r="M66" s="91"/>
    </row>
    <row r="67" spans="2:13" x14ac:dyDescent="0.2">
      <c r="B67" s="87"/>
      <c r="C67" s="116"/>
      <c r="D67" s="168"/>
      <c r="E67" s="168"/>
      <c r="F67" s="168"/>
      <c r="G67" s="168"/>
      <c r="H67" s="168"/>
      <c r="I67" s="168"/>
      <c r="J67" s="168"/>
      <c r="K67" s="168"/>
      <c r="L67" s="151"/>
      <c r="M67" s="91"/>
    </row>
    <row r="68" spans="2:13" x14ac:dyDescent="0.2">
      <c r="B68" s="145"/>
      <c r="C68" s="169"/>
      <c r="D68" s="170"/>
      <c r="E68" s="170"/>
      <c r="F68" s="170"/>
      <c r="G68" s="171"/>
      <c r="H68" s="171"/>
      <c r="I68" s="171"/>
      <c r="J68" s="171"/>
      <c r="K68" s="171"/>
      <c r="L68" s="171"/>
      <c r="M68" s="148"/>
    </row>
    <row r="69" spans="2:13" ht="15" x14ac:dyDescent="0.25">
      <c r="B69" s="172"/>
      <c r="C69" s="173"/>
      <c r="D69" s="174"/>
      <c r="E69" s="174"/>
      <c r="F69" s="174"/>
      <c r="G69" s="175"/>
      <c r="H69" s="175"/>
      <c r="I69" s="175"/>
      <c r="J69" s="175"/>
      <c r="K69" s="175"/>
      <c r="L69" s="176"/>
      <c r="M69" s="177"/>
    </row>
    <row r="70" spans="2:13" x14ac:dyDescent="0.2">
      <c r="B70" s="87"/>
      <c r="C70" s="88"/>
      <c r="D70" s="89"/>
      <c r="E70" s="89"/>
      <c r="F70" s="89"/>
      <c r="G70" s="90"/>
      <c r="H70" s="90"/>
      <c r="I70" s="90"/>
      <c r="J70" s="90"/>
      <c r="K70" s="90"/>
      <c r="L70" s="90"/>
      <c r="M70" s="91"/>
    </row>
    <row r="71" spans="2:13" x14ac:dyDescent="0.2">
      <c r="B71" s="87"/>
      <c r="C71" s="88"/>
      <c r="D71" s="89"/>
      <c r="E71" s="89"/>
      <c r="F71" s="89"/>
      <c r="G71" s="90"/>
      <c r="H71" s="90"/>
      <c r="I71" s="90"/>
      <c r="J71" s="90"/>
      <c r="K71" s="90"/>
      <c r="L71" s="90"/>
      <c r="M71" s="91"/>
    </row>
    <row r="72" spans="2:13" s="178" customFormat="1" ht="18.75" x14ac:dyDescent="0.3">
      <c r="B72" s="93"/>
      <c r="C72" s="179" t="s">
        <v>526</v>
      </c>
      <c r="D72" s="94"/>
      <c r="E72" s="94"/>
      <c r="F72" s="180"/>
      <c r="G72" s="181"/>
      <c r="H72" s="181"/>
      <c r="I72" s="181"/>
      <c r="J72" s="181"/>
      <c r="K72" s="181"/>
      <c r="L72" s="181"/>
      <c r="M72" s="182"/>
    </row>
    <row r="73" spans="2:13" x14ac:dyDescent="0.2">
      <c r="B73" s="87"/>
      <c r="C73" s="88" t="s">
        <v>533</v>
      </c>
      <c r="D73" s="88"/>
      <c r="E73" s="88"/>
      <c r="F73" s="89"/>
      <c r="G73" s="90"/>
      <c r="H73" s="90"/>
      <c r="I73" s="90"/>
      <c r="J73" s="90"/>
      <c r="K73" s="90"/>
      <c r="L73" s="90"/>
      <c r="M73" s="91"/>
    </row>
    <row r="74" spans="2:13" x14ac:dyDescent="0.2">
      <c r="B74" s="87"/>
      <c r="C74" s="88"/>
      <c r="D74" s="89"/>
      <c r="E74" s="89"/>
      <c r="F74" s="89"/>
      <c r="G74" s="90"/>
      <c r="H74" s="90"/>
      <c r="I74" s="90"/>
      <c r="J74" s="90"/>
      <c r="K74" s="90"/>
      <c r="L74" s="90"/>
      <c r="M74" s="91"/>
    </row>
    <row r="75" spans="2:13" x14ac:dyDescent="0.2">
      <c r="B75" s="87"/>
      <c r="C75" s="88"/>
      <c r="D75" s="89"/>
      <c r="E75" s="89"/>
      <c r="F75" s="89"/>
      <c r="G75" s="90"/>
      <c r="H75" s="90"/>
      <c r="I75" s="90"/>
      <c r="J75" s="90"/>
      <c r="K75" s="90"/>
      <c r="L75" s="90"/>
      <c r="M75" s="91"/>
    </row>
    <row r="76" spans="2:13" s="92" customFormat="1" x14ac:dyDescent="0.2">
      <c r="B76" s="120"/>
      <c r="C76" s="95"/>
      <c r="D76" s="121"/>
      <c r="E76" s="122"/>
      <c r="F76" s="122" t="s">
        <v>290</v>
      </c>
      <c r="G76" s="123" t="str">
        <f t="shared" ref="G76:K77" si="4">G19</f>
        <v>2013/14</v>
      </c>
      <c r="H76" s="123" t="str">
        <f t="shared" si="4"/>
        <v>2014/15</v>
      </c>
      <c r="I76" s="123" t="str">
        <f t="shared" si="4"/>
        <v>2015/16</v>
      </c>
      <c r="J76" s="123" t="str">
        <f t="shared" si="4"/>
        <v>2016/17</v>
      </c>
      <c r="K76" s="123" t="str">
        <f t="shared" si="4"/>
        <v>2017/18</v>
      </c>
      <c r="L76" s="123"/>
      <c r="M76" s="96"/>
    </row>
    <row r="77" spans="2:13" s="92" customFormat="1" x14ac:dyDescent="0.2">
      <c r="B77" s="120"/>
      <c r="C77" s="95"/>
      <c r="D77" s="121"/>
      <c r="E77" s="122"/>
      <c r="F77" s="122" t="s">
        <v>304</v>
      </c>
      <c r="G77" s="123">
        <f t="shared" si="4"/>
        <v>2012</v>
      </c>
      <c r="H77" s="123">
        <f t="shared" si="4"/>
        <v>2013</v>
      </c>
      <c r="I77" s="123">
        <f t="shared" si="4"/>
        <v>2014</v>
      </c>
      <c r="J77" s="123">
        <f t="shared" si="4"/>
        <v>2015</v>
      </c>
      <c r="K77" s="123">
        <f t="shared" si="4"/>
        <v>2016</v>
      </c>
      <c r="L77" s="123"/>
      <c r="M77" s="96"/>
    </row>
    <row r="78" spans="2:13" x14ac:dyDescent="0.2">
      <c r="B78" s="87"/>
      <c r="C78" s="88"/>
      <c r="D78" s="89"/>
      <c r="E78" s="89"/>
      <c r="F78" s="89"/>
      <c r="G78" s="90"/>
      <c r="H78" s="90"/>
      <c r="I78" s="90"/>
      <c r="J78" s="90"/>
      <c r="K78" s="90"/>
      <c r="L78" s="90"/>
      <c r="M78" s="91"/>
    </row>
    <row r="79" spans="2:13" x14ac:dyDescent="0.2">
      <c r="B79" s="183"/>
      <c r="C79" s="184"/>
      <c r="D79" s="185"/>
      <c r="E79" s="185"/>
      <c r="F79" s="105"/>
      <c r="G79" s="105"/>
      <c r="H79" s="105"/>
      <c r="I79" s="105"/>
      <c r="J79" s="105"/>
      <c r="K79" s="105"/>
      <c r="L79" s="186"/>
      <c r="M79" s="91"/>
    </row>
    <row r="80" spans="2:13" x14ac:dyDescent="0.2">
      <c r="B80" s="87"/>
      <c r="C80" s="108"/>
      <c r="D80" s="187" t="s">
        <v>369</v>
      </c>
      <c r="E80" s="185"/>
      <c r="F80" s="110"/>
      <c r="G80" s="110"/>
      <c r="H80" s="110"/>
      <c r="I80" s="110"/>
      <c r="J80" s="110"/>
      <c r="K80" s="110"/>
      <c r="L80" s="188"/>
      <c r="M80" s="91"/>
    </row>
    <row r="81" spans="2:13" x14ac:dyDescent="0.2">
      <c r="B81" s="87"/>
      <c r="C81" s="108"/>
      <c r="D81" s="110" t="s">
        <v>355</v>
      </c>
      <c r="E81" s="110"/>
      <c r="F81" s="110"/>
      <c r="G81" s="132">
        <v>1111</v>
      </c>
      <c r="H81" s="110"/>
      <c r="I81" s="110"/>
      <c r="J81" s="110"/>
      <c r="K81" s="110"/>
      <c r="L81" s="188"/>
      <c r="M81" s="91"/>
    </row>
    <row r="82" spans="2:13" x14ac:dyDescent="0.2">
      <c r="B82" s="87"/>
      <c r="C82" s="108"/>
      <c r="D82" s="109" t="s">
        <v>255</v>
      </c>
      <c r="E82" s="109"/>
      <c r="F82" s="110"/>
      <c r="G82" s="189">
        <f>IF(G97=0,0,G25-(G95+G108+G121))</f>
        <v>0</v>
      </c>
      <c r="H82" s="189">
        <f>IF(H97=0,0,H25-(H95+H108+H121))</f>
        <v>0</v>
      </c>
      <c r="I82" s="189">
        <f>IF(I97=0,0,I25-(I95+I108+I121))</f>
        <v>0</v>
      </c>
      <c r="J82" s="189">
        <f>IF(J97=0,0,J25-(J95+J108+J121))</f>
        <v>0</v>
      </c>
      <c r="K82" s="189">
        <f>IF(K97=0,0,K25-(K95+K108+K121))</f>
        <v>0</v>
      </c>
      <c r="L82" s="133"/>
      <c r="M82" s="91"/>
    </row>
    <row r="83" spans="2:13" x14ac:dyDescent="0.2">
      <c r="B83" s="87"/>
      <c r="C83" s="108"/>
      <c r="D83" s="109" t="s">
        <v>256</v>
      </c>
      <c r="E83" s="109"/>
      <c r="F83" s="110"/>
      <c r="G83" s="189">
        <f>IF(G97=0,0,G26-(G96+G109+G122))</f>
        <v>0</v>
      </c>
      <c r="H83" s="189">
        <f>IF(H97=0,0,H26-(H96+H109+H122))</f>
        <v>0</v>
      </c>
      <c r="I83" s="189">
        <f>IF(I97=0,0,I26-(I96+I109+I122))</f>
        <v>0</v>
      </c>
      <c r="J83" s="189">
        <f>IF(J97=0,0,J26-(J96+J109+J122))</f>
        <v>0</v>
      </c>
      <c r="K83" s="189">
        <f>IF(K97=0,0,K26-(K96+K109+K122))</f>
        <v>0</v>
      </c>
      <c r="L83" s="133"/>
      <c r="M83" s="91"/>
    </row>
    <row r="84" spans="2:13" x14ac:dyDescent="0.2">
      <c r="B84" s="87"/>
      <c r="C84" s="108"/>
      <c r="D84" s="134" t="s">
        <v>288</v>
      </c>
      <c r="E84" s="134"/>
      <c r="F84" s="134"/>
      <c r="G84" s="135">
        <f>G82+G83</f>
        <v>0</v>
      </c>
      <c r="H84" s="135">
        <f>H82+H83</f>
        <v>0</v>
      </c>
      <c r="I84" s="135">
        <f>I82+I83</f>
        <v>0</v>
      </c>
      <c r="J84" s="135">
        <f>J82+J83</f>
        <v>0</v>
      </c>
      <c r="K84" s="135">
        <f>K82+K83</f>
        <v>0</v>
      </c>
      <c r="L84" s="136"/>
      <c r="M84" s="91"/>
    </row>
    <row r="85" spans="2:13" x14ac:dyDescent="0.2">
      <c r="B85" s="87"/>
      <c r="C85" s="108"/>
      <c r="D85" s="110" t="s">
        <v>642</v>
      </c>
      <c r="E85" s="137">
        <v>0.3</v>
      </c>
      <c r="F85" s="110"/>
      <c r="G85" s="189">
        <f t="shared" ref="G85:K86" si="5">IF(G$97=0,0,(G28-(G98+G111+G124)))</f>
        <v>0</v>
      </c>
      <c r="H85" s="189">
        <f t="shared" si="5"/>
        <v>0</v>
      </c>
      <c r="I85" s="189">
        <f t="shared" si="5"/>
        <v>0</v>
      </c>
      <c r="J85" s="189">
        <f t="shared" si="5"/>
        <v>0</v>
      </c>
      <c r="K85" s="189">
        <f t="shared" si="5"/>
        <v>0</v>
      </c>
      <c r="L85" s="133"/>
      <c r="M85" s="91"/>
    </row>
    <row r="86" spans="2:13" x14ac:dyDescent="0.2">
      <c r="B86" s="87"/>
      <c r="C86" s="108"/>
      <c r="D86" s="110" t="s">
        <v>642</v>
      </c>
      <c r="E86" s="137">
        <v>1.2</v>
      </c>
      <c r="F86" s="110"/>
      <c r="G86" s="189">
        <f t="shared" si="5"/>
        <v>0</v>
      </c>
      <c r="H86" s="189">
        <f t="shared" si="5"/>
        <v>0</v>
      </c>
      <c r="I86" s="189">
        <f t="shared" si="5"/>
        <v>0</v>
      </c>
      <c r="J86" s="189">
        <f t="shared" si="5"/>
        <v>0</v>
      </c>
      <c r="K86" s="189">
        <f t="shared" si="5"/>
        <v>0</v>
      </c>
      <c r="L86" s="133"/>
      <c r="M86" s="91"/>
    </row>
    <row r="87" spans="2:13" x14ac:dyDescent="0.2">
      <c r="B87" s="87"/>
      <c r="C87" s="108"/>
      <c r="D87" s="109" t="s">
        <v>274</v>
      </c>
      <c r="E87" s="109"/>
      <c r="F87" s="110"/>
      <c r="G87" s="139">
        <f>($E$28*G85)+($E$29*G86)</f>
        <v>0</v>
      </c>
      <c r="H87" s="139">
        <f>($E$28*H85)+($E$29*H86)</f>
        <v>0</v>
      </c>
      <c r="I87" s="139">
        <f>($E$28*I85)+($E$29*I86)</f>
        <v>0</v>
      </c>
      <c r="J87" s="139">
        <f>($E$28*J85)+($E$29*J86)</f>
        <v>0</v>
      </c>
      <c r="K87" s="139">
        <f>($E$28*K85)+($E$29*K86)</f>
        <v>0</v>
      </c>
      <c r="L87" s="140"/>
      <c r="M87" s="91"/>
    </row>
    <row r="88" spans="2:13" x14ac:dyDescent="0.2">
      <c r="B88" s="87"/>
      <c r="C88" s="108"/>
      <c r="D88" s="109" t="s">
        <v>372</v>
      </c>
      <c r="E88" s="109"/>
      <c r="F88" s="110"/>
      <c r="G88" s="141">
        <f>ROUND(IF(G91&lt;(G84*0.8),G91,(0.8*G84)),0)</f>
        <v>0</v>
      </c>
      <c r="H88" s="141">
        <f>ROUND(IF(H91&lt;(H84*0.8),H91,(0.8*H84)),0)</f>
        <v>0</v>
      </c>
      <c r="I88" s="141">
        <f>ROUND(IF(I91&lt;(I84*0.8),I91,(0.8*I84)),0)</f>
        <v>0</v>
      </c>
      <c r="J88" s="141">
        <f>ROUND(IF(J91&lt;(J84*0.8),J91,(0.8*J84)),0)</f>
        <v>0</v>
      </c>
      <c r="K88" s="141">
        <f>ROUND(IF(K91&lt;(K84*0.8),K91,(0.8*K84)),0)</f>
        <v>0</v>
      </c>
      <c r="L88" s="140"/>
      <c r="M88" s="91"/>
    </row>
    <row r="89" spans="2:13" x14ac:dyDescent="0.2">
      <c r="B89" s="87"/>
      <c r="C89" s="108"/>
      <c r="D89" s="109" t="s">
        <v>158</v>
      </c>
      <c r="E89" s="109"/>
      <c r="F89" s="109"/>
      <c r="G89" s="190" t="str">
        <f>IF(G81=LOOKUP(G81,Postcode_gebieden),"ja","nee")</f>
        <v>nee</v>
      </c>
      <c r="H89" s="1206" t="str">
        <f>+G89</f>
        <v>nee</v>
      </c>
      <c r="I89" s="139" t="str">
        <f>+H89</f>
        <v>nee</v>
      </c>
      <c r="J89" s="139" t="str">
        <f>+I89</f>
        <v>nee</v>
      </c>
      <c r="K89" s="1206" t="str">
        <f>+J89</f>
        <v>nee</v>
      </c>
      <c r="L89" s="140"/>
      <c r="M89" s="91"/>
    </row>
    <row r="90" spans="2:13" x14ac:dyDescent="0.2">
      <c r="B90" s="87"/>
      <c r="C90" s="108"/>
      <c r="D90" s="109" t="s">
        <v>159</v>
      </c>
      <c r="E90" s="109"/>
      <c r="F90" s="109"/>
      <c r="G90" s="139">
        <f>SUM(G85:G86)</f>
        <v>0</v>
      </c>
      <c r="H90" s="139">
        <f>SUM(H85:H86)</f>
        <v>0</v>
      </c>
      <c r="I90" s="139">
        <f>SUM(I85:I86)</f>
        <v>0</v>
      </c>
      <c r="J90" s="139">
        <f>SUM(J85:J86)</f>
        <v>0</v>
      </c>
      <c r="K90" s="139">
        <f>SUM(K85:K86)</f>
        <v>0</v>
      </c>
      <c r="L90" s="140"/>
      <c r="M90" s="91"/>
    </row>
    <row r="91" spans="2:13" x14ac:dyDescent="0.2">
      <c r="B91" s="183"/>
      <c r="C91" s="191"/>
      <c r="D91" s="192"/>
      <c r="E91" s="192"/>
      <c r="F91" s="147"/>
      <c r="G91" s="143">
        <f>ROUND(IF(G87-tab!$D$28*G84&lt;0,0,G87-tab!$D$28*G84),0)</f>
        <v>0</v>
      </c>
      <c r="H91" s="143">
        <f>ROUND(IF(H87-tab!$E$28*H84&lt;0,0,H87-tab!$E$28*H84),0)</f>
        <v>0</v>
      </c>
      <c r="I91" s="143">
        <f>ROUND(IF(I87-tab!$E$28*I84&lt;0,0,I87-tab!$E$28*I84),0)</f>
        <v>0</v>
      </c>
      <c r="J91" s="143">
        <f>ROUND(IF(J87-tab!$E$28*J84&lt;0,0,J87-tab!$E$28*J84),0)</f>
        <v>0</v>
      </c>
      <c r="K91" s="143">
        <f>ROUND(IF(K87-tab!$E$28*K84&lt;0,0,K87-tab!$E$28*K84),0)</f>
        <v>0</v>
      </c>
      <c r="L91" s="193"/>
      <c r="M91" s="194"/>
    </row>
    <row r="92" spans="2:13" x14ac:dyDescent="0.2">
      <c r="B92" s="87"/>
      <c r="C92" s="108"/>
      <c r="D92" s="110"/>
      <c r="E92" s="110"/>
      <c r="F92" s="110"/>
      <c r="G92" s="110"/>
      <c r="H92" s="110"/>
      <c r="I92" s="110"/>
      <c r="J92" s="110"/>
      <c r="K92" s="110"/>
      <c r="L92" s="188"/>
      <c r="M92" s="91"/>
    </row>
    <row r="93" spans="2:13" x14ac:dyDescent="0.2">
      <c r="B93" s="87"/>
      <c r="C93" s="108"/>
      <c r="D93" s="187" t="s">
        <v>523</v>
      </c>
      <c r="E93" s="185"/>
      <c r="F93" s="110"/>
      <c r="G93" s="110"/>
      <c r="H93" s="110"/>
      <c r="I93" s="110"/>
      <c r="J93" s="110"/>
      <c r="K93" s="110"/>
      <c r="L93" s="188"/>
      <c r="M93" s="91"/>
    </row>
    <row r="94" spans="2:13" x14ac:dyDescent="0.2">
      <c r="B94" s="87"/>
      <c r="C94" s="108"/>
      <c r="D94" s="110" t="s">
        <v>356</v>
      </c>
      <c r="E94" s="110"/>
      <c r="F94" s="110"/>
      <c r="G94" s="132">
        <v>1111</v>
      </c>
      <c r="H94" s="110"/>
      <c r="I94" s="110"/>
      <c r="J94" s="110"/>
      <c r="K94" s="110"/>
      <c r="L94" s="188"/>
      <c r="M94" s="91"/>
    </row>
    <row r="95" spans="2:13" x14ac:dyDescent="0.2">
      <c r="B95" s="87"/>
      <c r="C95" s="108"/>
      <c r="D95" s="109" t="s">
        <v>255</v>
      </c>
      <c r="E95" s="109"/>
      <c r="F95" s="110"/>
      <c r="G95" s="132">
        <v>0</v>
      </c>
      <c r="H95" s="132">
        <v>0</v>
      </c>
      <c r="I95" s="132">
        <f t="shared" ref="I95:K96" si="6">H95</f>
        <v>0</v>
      </c>
      <c r="J95" s="132">
        <f t="shared" si="6"/>
        <v>0</v>
      </c>
      <c r="K95" s="132">
        <f t="shared" si="6"/>
        <v>0</v>
      </c>
      <c r="L95" s="133"/>
      <c r="M95" s="91"/>
    </row>
    <row r="96" spans="2:13" x14ac:dyDescent="0.2">
      <c r="B96" s="87"/>
      <c r="C96" s="108"/>
      <c r="D96" s="109" t="s">
        <v>256</v>
      </c>
      <c r="E96" s="109"/>
      <c r="F96" s="110"/>
      <c r="G96" s="132">
        <v>0</v>
      </c>
      <c r="H96" s="132">
        <v>0</v>
      </c>
      <c r="I96" s="132">
        <f t="shared" si="6"/>
        <v>0</v>
      </c>
      <c r="J96" s="132">
        <f t="shared" si="6"/>
        <v>0</v>
      </c>
      <c r="K96" s="132">
        <f t="shared" si="6"/>
        <v>0</v>
      </c>
      <c r="L96" s="133"/>
      <c r="M96" s="91"/>
    </row>
    <row r="97" spans="2:13" x14ac:dyDescent="0.2">
      <c r="B97" s="87"/>
      <c r="C97" s="108"/>
      <c r="D97" s="134" t="s">
        <v>288</v>
      </c>
      <c r="E97" s="134"/>
      <c r="F97" s="134"/>
      <c r="G97" s="135">
        <f>G95+G96</f>
        <v>0</v>
      </c>
      <c r="H97" s="135">
        <f>H95+H96</f>
        <v>0</v>
      </c>
      <c r="I97" s="135">
        <f>I95+I96</f>
        <v>0</v>
      </c>
      <c r="J97" s="135">
        <f>J95+J96</f>
        <v>0</v>
      </c>
      <c r="K97" s="135">
        <f>K95+K96</f>
        <v>0</v>
      </c>
      <c r="L97" s="136"/>
      <c r="M97" s="91"/>
    </row>
    <row r="98" spans="2:13" x14ac:dyDescent="0.2">
      <c r="B98" s="87"/>
      <c r="C98" s="108"/>
      <c r="D98" s="110" t="s">
        <v>642</v>
      </c>
      <c r="E98" s="137">
        <v>0.3</v>
      </c>
      <c r="F98" s="110"/>
      <c r="G98" s="132">
        <v>0</v>
      </c>
      <c r="H98" s="132">
        <v>0</v>
      </c>
      <c r="I98" s="132">
        <f t="shared" ref="I98:K99" si="7">H98</f>
        <v>0</v>
      </c>
      <c r="J98" s="132">
        <f t="shared" si="7"/>
        <v>0</v>
      </c>
      <c r="K98" s="132">
        <f t="shared" si="7"/>
        <v>0</v>
      </c>
      <c r="L98" s="133"/>
      <c r="M98" s="91"/>
    </row>
    <row r="99" spans="2:13" x14ac:dyDescent="0.2">
      <c r="B99" s="87"/>
      <c r="C99" s="108"/>
      <c r="D99" s="110" t="s">
        <v>642</v>
      </c>
      <c r="E99" s="137">
        <v>1.2</v>
      </c>
      <c r="F99" s="110"/>
      <c r="G99" s="132">
        <v>0</v>
      </c>
      <c r="H99" s="132">
        <v>0</v>
      </c>
      <c r="I99" s="132">
        <f t="shared" si="7"/>
        <v>0</v>
      </c>
      <c r="J99" s="132">
        <f t="shared" si="7"/>
        <v>0</v>
      </c>
      <c r="K99" s="132">
        <f t="shared" si="7"/>
        <v>0</v>
      </c>
      <c r="L99" s="133"/>
      <c r="M99" s="91"/>
    </row>
    <row r="100" spans="2:13" x14ac:dyDescent="0.2">
      <c r="B100" s="87"/>
      <c r="C100" s="108"/>
      <c r="D100" s="109" t="s">
        <v>274</v>
      </c>
      <c r="E100" s="109"/>
      <c r="F100" s="110"/>
      <c r="G100" s="139">
        <f>($E$28*G98)+($E$29*G99)</f>
        <v>0</v>
      </c>
      <c r="H100" s="139">
        <f>($E$28*H98)+($E$29*H99)</f>
        <v>0</v>
      </c>
      <c r="I100" s="139">
        <f>($E$28*I98)+($E$29*I99)</f>
        <v>0</v>
      </c>
      <c r="J100" s="139">
        <f>($E$28*J98)+($E$29*J99)</f>
        <v>0</v>
      </c>
      <c r="K100" s="139">
        <f>($E$28*K98)+($E$29*K99)</f>
        <v>0</v>
      </c>
      <c r="L100" s="140"/>
      <c r="M100" s="91"/>
    </row>
    <row r="101" spans="2:13" x14ac:dyDescent="0.2">
      <c r="B101" s="87"/>
      <c r="C101" s="108"/>
      <c r="D101" s="109" t="s">
        <v>372</v>
      </c>
      <c r="E101" s="109"/>
      <c r="F101" s="110"/>
      <c r="G101" s="141">
        <f>ROUND(IF(G104&lt;(G97*0.8),G104,(0.8*G97)),0)</f>
        <v>0</v>
      </c>
      <c r="H101" s="141">
        <f>ROUND(IF(H104&lt;(H97*0.8),H104,(0.8*H97)),0)</f>
        <v>0</v>
      </c>
      <c r="I101" s="141">
        <f>ROUND(IF(I104&lt;(I97*0.8),I104,(0.8*I97)),0)</f>
        <v>0</v>
      </c>
      <c r="J101" s="141">
        <f>ROUND(IF(J104&lt;(J97*0.8),J104,(0.8*J97)),0)</f>
        <v>0</v>
      </c>
      <c r="K101" s="141">
        <f>ROUND(IF(K104&lt;(K97*0.8),K104,(0.8*K97)),0)</f>
        <v>0</v>
      </c>
      <c r="L101" s="140"/>
      <c r="M101" s="91"/>
    </row>
    <row r="102" spans="2:13" x14ac:dyDescent="0.2">
      <c r="B102" s="87"/>
      <c r="C102" s="108"/>
      <c r="D102" s="109" t="s">
        <v>158</v>
      </c>
      <c r="E102" s="109"/>
      <c r="F102" s="109"/>
      <c r="G102" s="190" t="str">
        <f>IF(G94=LOOKUP(G94,Postcode_gebieden),"ja","nee")</f>
        <v>nee</v>
      </c>
      <c r="H102" s="1206" t="str">
        <f>+G102</f>
        <v>nee</v>
      </c>
      <c r="I102" s="139" t="str">
        <f>+H102</f>
        <v>nee</v>
      </c>
      <c r="J102" s="139" t="str">
        <f>+I102</f>
        <v>nee</v>
      </c>
      <c r="K102" s="1206" t="str">
        <f>+J102</f>
        <v>nee</v>
      </c>
      <c r="L102" s="140"/>
      <c r="M102" s="91"/>
    </row>
    <row r="103" spans="2:13" x14ac:dyDescent="0.2">
      <c r="B103" s="87"/>
      <c r="C103" s="108"/>
      <c r="D103" s="109" t="s">
        <v>159</v>
      </c>
      <c r="E103" s="109"/>
      <c r="F103" s="109"/>
      <c r="G103" s="139">
        <f>SUM(G98:G99)</f>
        <v>0</v>
      </c>
      <c r="H103" s="139">
        <f>SUM(H98:H99)</f>
        <v>0</v>
      </c>
      <c r="I103" s="139">
        <f>SUM(I98:I99)</f>
        <v>0</v>
      </c>
      <c r="J103" s="139">
        <f>SUM(J98:J99)</f>
        <v>0</v>
      </c>
      <c r="K103" s="139">
        <f>SUM(K98:K99)</f>
        <v>0</v>
      </c>
      <c r="L103" s="140"/>
      <c r="M103" s="91"/>
    </row>
    <row r="104" spans="2:13" x14ac:dyDescent="0.2">
      <c r="B104" s="87"/>
      <c r="C104" s="191"/>
      <c r="D104" s="192"/>
      <c r="E104" s="192"/>
      <c r="F104" s="147"/>
      <c r="G104" s="143">
        <f>ROUND(IF(G100-tab!$D$28*G97&lt;0,0,G100-tab!$D$28*G97),0)</f>
        <v>0</v>
      </c>
      <c r="H104" s="143">
        <f>ROUND(IF(H100-tab!$E$28*H97&lt;0,0,H100-tab!$E$28*H97),0)</f>
        <v>0</v>
      </c>
      <c r="I104" s="143">
        <f>ROUND(IF(I100-tab!$E$28*I97&lt;0,0,I100-tab!$E$28*I97),0)</f>
        <v>0</v>
      </c>
      <c r="J104" s="143">
        <f>ROUND(IF(J100-tab!$E$28*J97&lt;0,0,J100-tab!$E$28*J97),0)</f>
        <v>0</v>
      </c>
      <c r="K104" s="143">
        <f>ROUND(IF(K100-tab!$E$28*K97&lt;0,0,K100-tab!$E$28*K97),0)</f>
        <v>0</v>
      </c>
      <c r="L104" s="193"/>
      <c r="M104" s="91"/>
    </row>
    <row r="105" spans="2:13" x14ac:dyDescent="0.2">
      <c r="B105" s="87"/>
      <c r="C105" s="108"/>
      <c r="D105" s="110"/>
      <c r="E105" s="110"/>
      <c r="F105" s="110"/>
      <c r="G105" s="110"/>
      <c r="H105" s="110"/>
      <c r="I105" s="110"/>
      <c r="J105" s="110"/>
      <c r="K105" s="110"/>
      <c r="L105" s="188"/>
      <c r="M105" s="91"/>
    </row>
    <row r="106" spans="2:13" x14ac:dyDescent="0.2">
      <c r="B106" s="87"/>
      <c r="C106" s="108"/>
      <c r="D106" s="187" t="s">
        <v>524</v>
      </c>
      <c r="E106" s="185"/>
      <c r="F106" s="110"/>
      <c r="G106" s="110"/>
      <c r="H106" s="110"/>
      <c r="I106" s="110"/>
      <c r="J106" s="110"/>
      <c r="K106" s="110"/>
      <c r="L106" s="188"/>
      <c r="M106" s="91"/>
    </row>
    <row r="107" spans="2:13" x14ac:dyDescent="0.2">
      <c r="B107" s="87"/>
      <c r="C107" s="108"/>
      <c r="D107" s="110" t="s">
        <v>356</v>
      </c>
      <c r="E107" s="110"/>
      <c r="F107" s="110"/>
      <c r="G107" s="132">
        <v>1111</v>
      </c>
      <c r="H107" s="110"/>
      <c r="I107" s="110"/>
      <c r="J107" s="110"/>
      <c r="K107" s="110"/>
      <c r="L107" s="188"/>
      <c r="M107" s="91"/>
    </row>
    <row r="108" spans="2:13" x14ac:dyDescent="0.2">
      <c r="B108" s="87"/>
      <c r="C108" s="108"/>
      <c r="D108" s="109" t="s">
        <v>255</v>
      </c>
      <c r="E108" s="109"/>
      <c r="F108" s="110"/>
      <c r="G108" s="132">
        <v>0</v>
      </c>
      <c r="H108" s="132">
        <v>0</v>
      </c>
      <c r="I108" s="132">
        <f t="shared" ref="I108:K109" si="8">H108</f>
        <v>0</v>
      </c>
      <c r="J108" s="132">
        <f t="shared" si="8"/>
        <v>0</v>
      </c>
      <c r="K108" s="132">
        <f t="shared" si="8"/>
        <v>0</v>
      </c>
      <c r="L108" s="133"/>
      <c r="M108" s="195"/>
    </row>
    <row r="109" spans="2:13" x14ac:dyDescent="0.2">
      <c r="B109" s="87"/>
      <c r="C109" s="108"/>
      <c r="D109" s="109" t="s">
        <v>256</v>
      </c>
      <c r="E109" s="109"/>
      <c r="F109" s="110"/>
      <c r="G109" s="132">
        <v>0</v>
      </c>
      <c r="H109" s="132">
        <v>0</v>
      </c>
      <c r="I109" s="132">
        <f t="shared" si="8"/>
        <v>0</v>
      </c>
      <c r="J109" s="132">
        <f t="shared" si="8"/>
        <v>0</v>
      </c>
      <c r="K109" s="132">
        <f t="shared" si="8"/>
        <v>0</v>
      </c>
      <c r="L109" s="133"/>
      <c r="M109" s="195"/>
    </row>
    <row r="110" spans="2:13" x14ac:dyDescent="0.2">
      <c r="B110" s="87"/>
      <c r="C110" s="108"/>
      <c r="D110" s="134" t="s">
        <v>288</v>
      </c>
      <c r="E110" s="134"/>
      <c r="F110" s="134"/>
      <c r="G110" s="135">
        <f>G108+G109</f>
        <v>0</v>
      </c>
      <c r="H110" s="135">
        <f>H108+H109</f>
        <v>0</v>
      </c>
      <c r="I110" s="135">
        <f>I108+I109</f>
        <v>0</v>
      </c>
      <c r="J110" s="135">
        <f>J108+J109</f>
        <v>0</v>
      </c>
      <c r="K110" s="135">
        <f>K108+K109</f>
        <v>0</v>
      </c>
      <c r="L110" s="136"/>
      <c r="M110" s="196"/>
    </row>
    <row r="111" spans="2:13" x14ac:dyDescent="0.2">
      <c r="B111" s="87"/>
      <c r="C111" s="108"/>
      <c r="D111" s="110" t="s">
        <v>642</v>
      </c>
      <c r="E111" s="137">
        <v>0.3</v>
      </c>
      <c r="F111" s="110"/>
      <c r="G111" s="132">
        <v>0</v>
      </c>
      <c r="H111" s="132">
        <v>0</v>
      </c>
      <c r="I111" s="132">
        <f t="shared" ref="I111:K112" si="9">H111</f>
        <v>0</v>
      </c>
      <c r="J111" s="132">
        <f t="shared" si="9"/>
        <v>0</v>
      </c>
      <c r="K111" s="132">
        <f t="shared" si="9"/>
        <v>0</v>
      </c>
      <c r="L111" s="133"/>
      <c r="M111" s="195"/>
    </row>
    <row r="112" spans="2:13" x14ac:dyDescent="0.2">
      <c r="B112" s="87"/>
      <c r="C112" s="108"/>
      <c r="D112" s="110" t="s">
        <v>642</v>
      </c>
      <c r="E112" s="137">
        <v>1.2</v>
      </c>
      <c r="F112" s="110"/>
      <c r="G112" s="132">
        <v>0</v>
      </c>
      <c r="H112" s="132">
        <v>0</v>
      </c>
      <c r="I112" s="132">
        <f t="shared" si="9"/>
        <v>0</v>
      </c>
      <c r="J112" s="132">
        <f t="shared" si="9"/>
        <v>0</v>
      </c>
      <c r="K112" s="132">
        <f t="shared" si="9"/>
        <v>0</v>
      </c>
      <c r="L112" s="133"/>
      <c r="M112" s="195"/>
    </row>
    <row r="113" spans="2:13" x14ac:dyDescent="0.2">
      <c r="B113" s="87"/>
      <c r="C113" s="108"/>
      <c r="D113" s="109" t="s">
        <v>274</v>
      </c>
      <c r="E113" s="109"/>
      <c r="F113" s="110"/>
      <c r="G113" s="139">
        <f>($E$28*G111)+($E$29*G112)</f>
        <v>0</v>
      </c>
      <c r="H113" s="139">
        <f>($E$28*H111)+($E$29*H112)</f>
        <v>0</v>
      </c>
      <c r="I113" s="139">
        <f>($E$28*I111)+($E$29*I112)</f>
        <v>0</v>
      </c>
      <c r="J113" s="139">
        <f>($E$28*J111)+($E$29*J112)</f>
        <v>0</v>
      </c>
      <c r="K113" s="139">
        <f>($E$28*K111)+($E$29*K112)</f>
        <v>0</v>
      </c>
      <c r="L113" s="140"/>
      <c r="M113" s="197"/>
    </row>
    <row r="114" spans="2:13" x14ac:dyDescent="0.2">
      <c r="B114" s="87"/>
      <c r="C114" s="108"/>
      <c r="D114" s="109" t="s">
        <v>372</v>
      </c>
      <c r="E114" s="109"/>
      <c r="F114" s="110"/>
      <c r="G114" s="141">
        <f>ROUND(IF(G117&lt;(G110*0.8),G117,(0.8*G110)),0)</f>
        <v>0</v>
      </c>
      <c r="H114" s="141">
        <f>ROUND(IF(H117&lt;(H110*0.8),H117,(0.8*H110)),0)</f>
        <v>0</v>
      </c>
      <c r="I114" s="141">
        <f>ROUND(IF(I117&lt;(I110*0.8),I117,(0.8*I110)),0)</f>
        <v>0</v>
      </c>
      <c r="J114" s="141">
        <f>ROUND(IF(J117&lt;(J110*0.8),J117,(0.8*J110)),0)</f>
        <v>0</v>
      </c>
      <c r="K114" s="141">
        <f>ROUND(IF(K117&lt;(K110*0.8),K117,(0.8*K110)),0)</f>
        <v>0</v>
      </c>
      <c r="L114" s="140"/>
      <c r="M114" s="198"/>
    </row>
    <row r="115" spans="2:13" x14ac:dyDescent="0.2">
      <c r="B115" s="87"/>
      <c r="C115" s="108"/>
      <c r="D115" s="109" t="s">
        <v>158</v>
      </c>
      <c r="E115" s="109"/>
      <c r="F115" s="109"/>
      <c r="G115" s="190" t="str">
        <f>IF(G107=LOOKUP(G107,Postcode_gebieden),"ja","nee")</f>
        <v>nee</v>
      </c>
      <c r="H115" s="1206" t="str">
        <f>+G115</f>
        <v>nee</v>
      </c>
      <c r="I115" s="139" t="str">
        <f>+H115</f>
        <v>nee</v>
      </c>
      <c r="J115" s="139" t="str">
        <f>+I115</f>
        <v>nee</v>
      </c>
      <c r="K115" s="1206" t="str">
        <f>+J115</f>
        <v>nee</v>
      </c>
      <c r="L115" s="140"/>
      <c r="M115" s="91"/>
    </row>
    <row r="116" spans="2:13" x14ac:dyDescent="0.2">
      <c r="B116" s="87"/>
      <c r="C116" s="108"/>
      <c r="D116" s="109" t="s">
        <v>159</v>
      </c>
      <c r="E116" s="109"/>
      <c r="F116" s="109"/>
      <c r="G116" s="139">
        <f>SUM(G111:G112)</f>
        <v>0</v>
      </c>
      <c r="H116" s="139">
        <f>SUM(H111:H112)</f>
        <v>0</v>
      </c>
      <c r="I116" s="139">
        <f>SUM(I111:I112)</f>
        <v>0</v>
      </c>
      <c r="J116" s="139">
        <f>SUM(J111:J112)</f>
        <v>0</v>
      </c>
      <c r="K116" s="139">
        <f>SUM(K111:K112)</f>
        <v>0</v>
      </c>
      <c r="L116" s="140"/>
      <c r="M116" s="91"/>
    </row>
    <row r="117" spans="2:13" x14ac:dyDescent="0.2">
      <c r="B117" s="87"/>
      <c r="C117" s="191"/>
      <c r="D117" s="192"/>
      <c r="E117" s="192"/>
      <c r="F117" s="147"/>
      <c r="G117" s="143">
        <f>ROUND(IF(G113-tab!$D$28*G110&lt;0,0,G113-tab!$D$28*G110),0)</f>
        <v>0</v>
      </c>
      <c r="H117" s="143">
        <f>ROUND(IF(H113-tab!$E$28*H110&lt;0,0,H113-tab!$E$28*H110),0)</f>
        <v>0</v>
      </c>
      <c r="I117" s="143">
        <f>ROUND(IF(I113-tab!$E$28*I110&lt;0,0,I113-tab!$E$28*I110),0)</f>
        <v>0</v>
      </c>
      <c r="J117" s="143">
        <f>ROUND(IF(J113-tab!$E$28*J110&lt;0,0,J113-tab!$E$28*J110),0)</f>
        <v>0</v>
      </c>
      <c r="K117" s="143">
        <f>ROUND(IF(K113-tab!$E$28*K110&lt;0,0,K113-tab!$E$28*K110),0)</f>
        <v>0</v>
      </c>
      <c r="L117" s="193"/>
      <c r="M117" s="91"/>
    </row>
    <row r="118" spans="2:13" x14ac:dyDescent="0.2">
      <c r="B118" s="87"/>
      <c r="C118" s="108"/>
      <c r="D118" s="110"/>
      <c r="E118" s="110"/>
      <c r="F118" s="110"/>
      <c r="G118" s="110"/>
      <c r="H118" s="110"/>
      <c r="I118" s="110"/>
      <c r="J118" s="110"/>
      <c r="K118" s="110"/>
      <c r="L118" s="188"/>
      <c r="M118" s="91"/>
    </row>
    <row r="119" spans="2:13" x14ac:dyDescent="0.2">
      <c r="B119" s="87"/>
      <c r="C119" s="108"/>
      <c r="D119" s="187" t="s">
        <v>525</v>
      </c>
      <c r="E119" s="185"/>
      <c r="F119" s="110"/>
      <c r="G119" s="110"/>
      <c r="H119" s="110"/>
      <c r="I119" s="110"/>
      <c r="J119" s="110"/>
      <c r="K119" s="110"/>
      <c r="L119" s="188"/>
      <c r="M119" s="91"/>
    </row>
    <row r="120" spans="2:13" x14ac:dyDescent="0.2">
      <c r="B120" s="87"/>
      <c r="C120" s="108"/>
      <c r="D120" s="110" t="s">
        <v>356</v>
      </c>
      <c r="E120" s="110"/>
      <c r="F120" s="110"/>
      <c r="G120" s="132">
        <v>1111</v>
      </c>
      <c r="H120" s="110"/>
      <c r="I120" s="110"/>
      <c r="J120" s="110"/>
      <c r="K120" s="110"/>
      <c r="L120" s="188"/>
      <c r="M120" s="91"/>
    </row>
    <row r="121" spans="2:13" x14ac:dyDescent="0.2">
      <c r="B121" s="87"/>
      <c r="C121" s="108"/>
      <c r="D121" s="109" t="s">
        <v>255</v>
      </c>
      <c r="E121" s="109"/>
      <c r="F121" s="110"/>
      <c r="G121" s="132">
        <v>0</v>
      </c>
      <c r="H121" s="132">
        <v>0</v>
      </c>
      <c r="I121" s="132">
        <f t="shared" ref="I121:K122" si="10">H121</f>
        <v>0</v>
      </c>
      <c r="J121" s="132">
        <f t="shared" si="10"/>
        <v>0</v>
      </c>
      <c r="K121" s="132">
        <f t="shared" si="10"/>
        <v>0</v>
      </c>
      <c r="L121" s="133"/>
      <c r="M121" s="195"/>
    </row>
    <row r="122" spans="2:13" x14ac:dyDescent="0.2">
      <c r="B122" s="87"/>
      <c r="C122" s="108"/>
      <c r="D122" s="109" t="s">
        <v>256</v>
      </c>
      <c r="E122" s="109"/>
      <c r="F122" s="110"/>
      <c r="G122" s="132">
        <v>0</v>
      </c>
      <c r="H122" s="132">
        <v>0</v>
      </c>
      <c r="I122" s="132">
        <f t="shared" si="10"/>
        <v>0</v>
      </c>
      <c r="J122" s="132">
        <f t="shared" si="10"/>
        <v>0</v>
      </c>
      <c r="K122" s="132">
        <f t="shared" si="10"/>
        <v>0</v>
      </c>
      <c r="L122" s="133"/>
      <c r="M122" s="195"/>
    </row>
    <row r="123" spans="2:13" x14ac:dyDescent="0.2">
      <c r="B123" s="87"/>
      <c r="C123" s="108"/>
      <c r="D123" s="134" t="s">
        <v>288</v>
      </c>
      <c r="E123" s="134"/>
      <c r="F123" s="134"/>
      <c r="G123" s="135">
        <f>G121+G122</f>
        <v>0</v>
      </c>
      <c r="H123" s="135">
        <f>H121+H122</f>
        <v>0</v>
      </c>
      <c r="I123" s="135">
        <f>I121+I122</f>
        <v>0</v>
      </c>
      <c r="J123" s="135">
        <f>J121+J122</f>
        <v>0</v>
      </c>
      <c r="K123" s="135">
        <f>K121+K122</f>
        <v>0</v>
      </c>
      <c r="L123" s="136"/>
      <c r="M123" s="196"/>
    </row>
    <row r="124" spans="2:13" x14ac:dyDescent="0.2">
      <c r="B124" s="87"/>
      <c r="C124" s="108"/>
      <c r="D124" s="110" t="s">
        <v>642</v>
      </c>
      <c r="E124" s="137">
        <v>0.3</v>
      </c>
      <c r="F124" s="110"/>
      <c r="G124" s="132">
        <v>0</v>
      </c>
      <c r="H124" s="132">
        <v>0</v>
      </c>
      <c r="I124" s="132">
        <f t="shared" ref="I124:K125" si="11">H124</f>
        <v>0</v>
      </c>
      <c r="J124" s="132">
        <f t="shared" si="11"/>
        <v>0</v>
      </c>
      <c r="K124" s="132">
        <f t="shared" si="11"/>
        <v>0</v>
      </c>
      <c r="L124" s="133"/>
      <c r="M124" s="195"/>
    </row>
    <row r="125" spans="2:13" x14ac:dyDescent="0.2">
      <c r="B125" s="87"/>
      <c r="C125" s="108"/>
      <c r="D125" s="110" t="s">
        <v>642</v>
      </c>
      <c r="E125" s="137">
        <v>1.2</v>
      </c>
      <c r="F125" s="110"/>
      <c r="G125" s="132">
        <v>0</v>
      </c>
      <c r="H125" s="132">
        <v>0</v>
      </c>
      <c r="I125" s="132">
        <f t="shared" si="11"/>
        <v>0</v>
      </c>
      <c r="J125" s="132">
        <f t="shared" si="11"/>
        <v>0</v>
      </c>
      <c r="K125" s="132">
        <f t="shared" si="11"/>
        <v>0</v>
      </c>
      <c r="L125" s="133"/>
      <c r="M125" s="195"/>
    </row>
    <row r="126" spans="2:13" x14ac:dyDescent="0.2">
      <c r="B126" s="87"/>
      <c r="C126" s="108"/>
      <c r="D126" s="109" t="s">
        <v>274</v>
      </c>
      <c r="E126" s="109"/>
      <c r="F126" s="110"/>
      <c r="G126" s="139">
        <f>($E$28*G124)+($E$29*G125)</f>
        <v>0</v>
      </c>
      <c r="H126" s="139">
        <f>($E$28*H124)+($E$29*H125)</f>
        <v>0</v>
      </c>
      <c r="I126" s="139">
        <f>($E$28*I124)+($E$29*I125)</f>
        <v>0</v>
      </c>
      <c r="J126" s="139">
        <f>($E$28*J124)+($E$29*J125)</f>
        <v>0</v>
      </c>
      <c r="K126" s="139">
        <f>($E$28*K124)+($E$29*K125)</f>
        <v>0</v>
      </c>
      <c r="L126" s="140"/>
      <c r="M126" s="197"/>
    </row>
    <row r="127" spans="2:13" x14ac:dyDescent="0.2">
      <c r="B127" s="87"/>
      <c r="C127" s="108"/>
      <c r="D127" s="109" t="s">
        <v>372</v>
      </c>
      <c r="E127" s="109"/>
      <c r="F127" s="110"/>
      <c r="G127" s="141">
        <f>ROUND(IF(G130&lt;(G123*0.8),G130,(0.8*G123)),0)</f>
        <v>0</v>
      </c>
      <c r="H127" s="141">
        <f>ROUND(IF(H130&lt;(H123*0.8),H130,(0.8*H123)),0)</f>
        <v>0</v>
      </c>
      <c r="I127" s="141">
        <f>ROUND(IF(I130&lt;(I123*0.8),I130,(0.8*I123)),0)</f>
        <v>0</v>
      </c>
      <c r="J127" s="141">
        <f>ROUND(IF(J130&lt;(J123*0.8),J130,(0.8*J123)),0)</f>
        <v>0</v>
      </c>
      <c r="K127" s="141">
        <f>ROUND(IF(K130&lt;(K123*0.8),K130,(0.8*K123)),0)</f>
        <v>0</v>
      </c>
      <c r="L127" s="140"/>
      <c r="M127" s="198"/>
    </row>
    <row r="128" spans="2:13" x14ac:dyDescent="0.2">
      <c r="B128" s="87"/>
      <c r="C128" s="108"/>
      <c r="D128" s="109" t="s">
        <v>158</v>
      </c>
      <c r="E128" s="109"/>
      <c r="F128" s="109"/>
      <c r="G128" s="190" t="str">
        <f>IF(G120=LOOKUP(G120,Postcode_gebieden),"ja","nee")</f>
        <v>nee</v>
      </c>
      <c r="H128" s="1206" t="str">
        <f>+G128</f>
        <v>nee</v>
      </c>
      <c r="I128" s="139" t="str">
        <f>+H128</f>
        <v>nee</v>
      </c>
      <c r="J128" s="139" t="str">
        <f>+I128</f>
        <v>nee</v>
      </c>
      <c r="K128" s="1206" t="str">
        <f>+J128</f>
        <v>nee</v>
      </c>
      <c r="L128" s="140"/>
      <c r="M128" s="91"/>
    </row>
    <row r="129" spans="2:13" x14ac:dyDescent="0.2">
      <c r="B129" s="87"/>
      <c r="C129" s="108"/>
      <c r="D129" s="109" t="s">
        <v>159</v>
      </c>
      <c r="E129" s="109"/>
      <c r="F129" s="109"/>
      <c r="G129" s="139">
        <f>SUM(G124:G125)</f>
        <v>0</v>
      </c>
      <c r="H129" s="139">
        <f>SUM(H124:H125)</f>
        <v>0</v>
      </c>
      <c r="I129" s="139">
        <f>SUM(I124:I125)</f>
        <v>0</v>
      </c>
      <c r="J129" s="139">
        <f>SUM(J124:J125)</f>
        <v>0</v>
      </c>
      <c r="K129" s="139">
        <f>SUM(K124:K125)</f>
        <v>0</v>
      </c>
      <c r="L129" s="140"/>
      <c r="M129" s="91"/>
    </row>
    <row r="130" spans="2:13" x14ac:dyDescent="0.2">
      <c r="B130" s="87"/>
      <c r="C130" s="191"/>
      <c r="D130" s="192"/>
      <c r="E130" s="192"/>
      <c r="F130" s="147"/>
      <c r="G130" s="143">
        <f>ROUND(IF(G126-tab!$D$28*G123&lt;0,0,G126-tab!$D$28*G123),0)</f>
        <v>0</v>
      </c>
      <c r="H130" s="143">
        <f>ROUND(IF(H126-tab!$E$28*H123&lt;0,0,H126-tab!$E$28*H123),0)</f>
        <v>0</v>
      </c>
      <c r="I130" s="143">
        <f>ROUND(IF(I126-tab!$E$28*I123&lt;0,0,I126-tab!$E$28*I123),0)</f>
        <v>0</v>
      </c>
      <c r="J130" s="143">
        <f>ROUND(IF(J126-tab!$E$28*J123&lt;0,0,J126-tab!$E$28*J123),0)</f>
        <v>0</v>
      </c>
      <c r="K130" s="143">
        <f>ROUND(IF(K126-tab!$E$28*K123&lt;0,0,K126-tab!$E$28*K123),0)</f>
        <v>0</v>
      </c>
      <c r="L130" s="193"/>
      <c r="M130" s="91"/>
    </row>
    <row r="131" spans="2:13" x14ac:dyDescent="0.2">
      <c r="B131" s="87"/>
      <c r="C131" s="88"/>
      <c r="D131" s="170"/>
      <c r="E131" s="170"/>
      <c r="F131" s="88"/>
      <c r="G131" s="88"/>
      <c r="H131" s="88"/>
      <c r="I131" s="88"/>
      <c r="J131" s="88"/>
      <c r="K131" s="88"/>
      <c r="L131" s="88"/>
      <c r="M131" s="91"/>
    </row>
    <row r="132" spans="2:13" ht="15" x14ac:dyDescent="0.25">
      <c r="B132" s="199"/>
      <c r="C132" s="200"/>
      <c r="D132" s="200"/>
      <c r="E132" s="200"/>
      <c r="F132" s="200"/>
      <c r="G132" s="200"/>
      <c r="H132" s="200"/>
      <c r="I132" s="200"/>
      <c r="J132" s="200"/>
      <c r="K132" s="200"/>
      <c r="L132" s="176" t="s">
        <v>629</v>
      </c>
      <c r="M132" s="201"/>
    </row>
    <row r="137" spans="2:13" x14ac:dyDescent="0.2">
      <c r="C137" s="86"/>
      <c r="D137" s="86"/>
      <c r="E137" s="86"/>
      <c r="F137" s="86"/>
      <c r="G137" s="86"/>
      <c r="H137" s="86"/>
      <c r="I137" s="86"/>
      <c r="J137" s="86"/>
      <c r="K137" s="86"/>
      <c r="L137" s="86"/>
    </row>
    <row r="138" spans="2:13" x14ac:dyDescent="0.2">
      <c r="C138" s="86"/>
      <c r="D138" s="86"/>
      <c r="E138" s="86"/>
      <c r="F138" s="86"/>
      <c r="G138" s="86"/>
      <c r="H138" s="86"/>
      <c r="I138" s="86"/>
      <c r="J138" s="86"/>
      <c r="K138" s="86"/>
      <c r="L138" s="86"/>
    </row>
  </sheetData>
  <sheetProtection password="DFB1" sheet="1" objects="1" scenarios="1"/>
  <phoneticPr fontId="0" type="noConversion"/>
  <dataValidations disablePrompts="1" count="1">
    <dataValidation type="list" allowBlank="1" showInputMessage="1" showErrorMessage="1" sqref="K128 K115 K102 K89 G38:K38 H33:K33">
      <formula1>"ja,nee"</formula1>
    </dataValidation>
  </dataValidations>
  <pageMargins left="0.74803149606299213" right="0.74803149606299213"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rowBreaks count="1" manualBreakCount="1">
    <brk id="69" min="1" max="12"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4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56"/>
  <sheetViews>
    <sheetView zoomScale="85" zoomScaleNormal="85" workbookViewId="0">
      <selection activeCell="B2" sqref="B2"/>
    </sheetView>
  </sheetViews>
  <sheetFormatPr defaultColWidth="9.140625" defaultRowHeight="12.75" x14ac:dyDescent="0.2"/>
  <cols>
    <col min="1" max="1" width="3.7109375" style="86" customWidth="1"/>
    <col min="2" max="2" width="2.7109375" style="86" customWidth="1"/>
    <col min="3" max="3" width="2.140625" style="86" customWidth="1"/>
    <col min="4" max="4" width="37.5703125" style="86" customWidth="1"/>
    <col min="5" max="5" width="8.7109375" style="86" customWidth="1"/>
    <col min="6" max="6" width="6.7109375" style="86" customWidth="1"/>
    <col min="7" max="7" width="10.7109375" style="202" customWidth="1"/>
    <col min="8" max="8" width="0.85546875" style="86" customWidth="1"/>
    <col min="9" max="20" width="10.7109375" style="202" customWidth="1"/>
    <col min="21" max="22" width="2.7109375" style="86" customWidth="1"/>
    <col min="23" max="24" width="2.85546875" style="86" customWidth="1"/>
    <col min="25" max="49" width="10.7109375" style="243" customWidth="1"/>
    <col min="50" max="50" width="9.140625" style="243"/>
    <col min="51" max="16384" width="9.140625" style="86"/>
  </cols>
  <sheetData>
    <row r="1" spans="1:50" ht="12.75" customHeight="1" x14ac:dyDescent="0.2"/>
    <row r="2" spans="1:50" x14ac:dyDescent="0.2">
      <c r="B2" s="81"/>
      <c r="C2" s="82"/>
      <c r="D2" s="82"/>
      <c r="E2" s="82"/>
      <c r="F2" s="82"/>
      <c r="G2" s="203"/>
      <c r="H2" s="82"/>
      <c r="I2" s="203"/>
      <c r="J2" s="203"/>
      <c r="K2" s="203"/>
      <c r="L2" s="203"/>
      <c r="M2" s="203"/>
      <c r="N2" s="203"/>
      <c r="O2" s="203"/>
      <c r="P2" s="203"/>
      <c r="Q2" s="203"/>
      <c r="R2" s="203"/>
      <c r="S2" s="203"/>
      <c r="T2" s="203"/>
      <c r="U2" s="82"/>
      <c r="V2" s="85"/>
    </row>
    <row r="3" spans="1:50" x14ac:dyDescent="0.2">
      <c r="B3" s="87"/>
      <c r="C3" s="88"/>
      <c r="D3" s="88"/>
      <c r="E3" s="88"/>
      <c r="F3" s="88"/>
      <c r="G3" s="204"/>
      <c r="H3" s="88"/>
      <c r="I3" s="204"/>
      <c r="J3" s="204"/>
      <c r="K3" s="204"/>
      <c r="L3" s="204"/>
      <c r="M3" s="204"/>
      <c r="N3" s="204"/>
      <c r="O3" s="204"/>
      <c r="P3" s="204"/>
      <c r="Q3" s="204"/>
      <c r="R3" s="204"/>
      <c r="S3" s="204"/>
      <c r="T3" s="204"/>
      <c r="U3" s="88"/>
      <c r="V3" s="91"/>
    </row>
    <row r="4" spans="1:50" s="205" customFormat="1" ht="18.75" x14ac:dyDescent="0.3">
      <c r="B4" s="101"/>
      <c r="C4" s="94" t="s">
        <v>480</v>
      </c>
      <c r="D4" s="100"/>
      <c r="E4" s="100"/>
      <c r="F4" s="100"/>
      <c r="G4" s="206"/>
      <c r="H4" s="100"/>
      <c r="I4" s="206"/>
      <c r="J4" s="206"/>
      <c r="K4" s="207"/>
      <c r="L4" s="206"/>
      <c r="M4" s="206"/>
      <c r="N4" s="206"/>
      <c r="O4" s="206"/>
      <c r="P4" s="206"/>
      <c r="Q4" s="206"/>
      <c r="R4" s="206"/>
      <c r="S4" s="206"/>
      <c r="T4" s="206"/>
      <c r="U4" s="100"/>
      <c r="V4" s="130"/>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row>
    <row r="5" spans="1:50" s="205" customFormat="1" ht="18.75" x14ac:dyDescent="0.3">
      <c r="B5" s="101"/>
      <c r="C5" s="99" t="str">
        <f>geg!G12</f>
        <v>Basisschool</v>
      </c>
      <c r="D5" s="100"/>
      <c r="E5" s="100"/>
      <c r="F5" s="100"/>
      <c r="G5" s="206"/>
      <c r="H5" s="100"/>
      <c r="I5" s="206"/>
      <c r="J5" s="206"/>
      <c r="K5" s="207"/>
      <c r="L5" s="206"/>
      <c r="M5" s="206"/>
      <c r="N5" s="206"/>
      <c r="O5" s="206"/>
      <c r="P5" s="206"/>
      <c r="Q5" s="206"/>
      <c r="R5" s="206"/>
      <c r="S5" s="206"/>
      <c r="T5" s="206"/>
      <c r="U5" s="100"/>
      <c r="V5" s="130"/>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row>
    <row r="6" spans="1:50" ht="12" customHeight="1" x14ac:dyDescent="0.25">
      <c r="B6" s="87"/>
      <c r="C6" s="208"/>
      <c r="D6" s="88"/>
      <c r="E6" s="88"/>
      <c r="F6" s="88"/>
      <c r="G6" s="204"/>
      <c r="H6" s="88"/>
      <c r="I6" s="204"/>
      <c r="J6" s="204"/>
      <c r="K6" s="209"/>
      <c r="L6" s="204"/>
      <c r="M6" s="204"/>
      <c r="N6" s="204"/>
      <c r="O6" s="204"/>
      <c r="P6" s="204"/>
      <c r="Q6" s="204"/>
      <c r="R6" s="204"/>
      <c r="S6" s="204"/>
      <c r="T6" s="204"/>
      <c r="U6" s="88"/>
      <c r="V6" s="91"/>
    </row>
    <row r="7" spans="1:50" ht="12" customHeight="1" x14ac:dyDescent="0.25">
      <c r="B7" s="87"/>
      <c r="C7" s="208"/>
      <c r="D7" s="88"/>
      <c r="E7" s="88"/>
      <c r="F7" s="88"/>
      <c r="G7" s="204"/>
      <c r="H7" s="88"/>
      <c r="I7" s="204"/>
      <c r="J7" s="204"/>
      <c r="K7" s="209"/>
      <c r="L7" s="204"/>
      <c r="M7" s="204"/>
      <c r="N7" s="204"/>
      <c r="O7" s="204"/>
      <c r="P7" s="204"/>
      <c r="Q7" s="204"/>
      <c r="R7" s="204"/>
      <c r="S7" s="204"/>
      <c r="T7" s="204"/>
      <c r="U7" s="88"/>
      <c r="V7" s="91"/>
    </row>
    <row r="8" spans="1:50" ht="12" customHeight="1" x14ac:dyDescent="0.25">
      <c r="B8" s="87"/>
      <c r="C8" s="208"/>
      <c r="D8" s="88"/>
      <c r="E8" s="88"/>
      <c r="F8" s="88"/>
      <c r="G8" s="204"/>
      <c r="H8" s="88"/>
      <c r="I8" s="204"/>
      <c r="J8" s="204"/>
      <c r="K8" s="209"/>
      <c r="L8" s="204"/>
      <c r="M8" s="204"/>
      <c r="N8" s="204"/>
      <c r="O8" s="204"/>
      <c r="P8" s="204"/>
      <c r="Q8" s="204"/>
      <c r="R8" s="204"/>
      <c r="S8" s="204"/>
      <c r="T8" s="204"/>
      <c r="U8" s="88"/>
      <c r="V8" s="91"/>
    </row>
    <row r="9" spans="1:50" x14ac:dyDescent="0.2">
      <c r="A9" s="105"/>
      <c r="B9" s="87"/>
      <c r="C9" s="104"/>
      <c r="D9" s="105"/>
      <c r="E9" s="105"/>
      <c r="F9" s="105"/>
      <c r="G9" s="210"/>
      <c r="H9" s="105"/>
      <c r="I9" s="210"/>
      <c r="J9" s="210"/>
      <c r="K9" s="210"/>
      <c r="L9" s="210"/>
      <c r="M9" s="210"/>
      <c r="N9" s="210"/>
      <c r="O9" s="210"/>
      <c r="P9" s="211"/>
      <c r="Q9" s="211"/>
      <c r="R9" s="210"/>
      <c r="S9" s="210"/>
      <c r="T9" s="212"/>
      <c r="V9" s="91"/>
      <c r="Y9" s="242" t="s">
        <v>160</v>
      </c>
      <c r="AL9" s="242" t="s">
        <v>161</v>
      </c>
    </row>
    <row r="10" spans="1:50" s="124" customFormat="1" x14ac:dyDescent="0.2">
      <c r="B10" s="120"/>
      <c r="C10" s="214"/>
      <c r="D10" s="1178" t="s">
        <v>683</v>
      </c>
      <c r="E10" s="215" t="str">
        <f>tab!C2</f>
        <v>2012/13</v>
      </c>
      <c r="F10" s="126"/>
      <c r="G10" s="126"/>
      <c r="H10" s="126"/>
      <c r="I10" s="216" t="s">
        <v>162</v>
      </c>
      <c r="J10" s="216" t="s">
        <v>163</v>
      </c>
      <c r="K10" s="216" t="s">
        <v>164</v>
      </c>
      <c r="L10" s="216" t="s">
        <v>165</v>
      </c>
      <c r="M10" s="216" t="s">
        <v>166</v>
      </c>
      <c r="N10" s="216" t="s">
        <v>167</v>
      </c>
      <c r="O10" s="216" t="s">
        <v>168</v>
      </c>
      <c r="P10" s="216" t="s">
        <v>169</v>
      </c>
      <c r="Q10" s="216" t="s">
        <v>170</v>
      </c>
      <c r="R10" s="216" t="s">
        <v>171</v>
      </c>
      <c r="S10" s="216" t="s">
        <v>172</v>
      </c>
      <c r="T10" s="217" t="s">
        <v>173</v>
      </c>
      <c r="V10" s="96"/>
      <c r="Y10" s="243" t="s">
        <v>162</v>
      </c>
      <c r="Z10" s="243" t="s">
        <v>163</v>
      </c>
      <c r="AA10" s="243" t="s">
        <v>164</v>
      </c>
      <c r="AB10" s="243" t="s">
        <v>165</v>
      </c>
      <c r="AC10" s="243" t="s">
        <v>166</v>
      </c>
      <c r="AD10" s="243" t="s">
        <v>167</v>
      </c>
      <c r="AE10" s="243" t="s">
        <v>168</v>
      </c>
      <c r="AF10" s="243" t="s">
        <v>169</v>
      </c>
      <c r="AG10" s="243" t="s">
        <v>170</v>
      </c>
      <c r="AH10" s="243" t="s">
        <v>171</v>
      </c>
      <c r="AI10" s="243" t="s">
        <v>172</v>
      </c>
      <c r="AJ10" s="243" t="s">
        <v>173</v>
      </c>
      <c r="AK10" s="243"/>
      <c r="AL10" s="243" t="s">
        <v>162</v>
      </c>
      <c r="AM10" s="243" t="s">
        <v>163</v>
      </c>
      <c r="AN10" s="243" t="s">
        <v>164</v>
      </c>
      <c r="AO10" s="243" t="s">
        <v>165</v>
      </c>
      <c r="AP10" s="243" t="s">
        <v>166</v>
      </c>
      <c r="AQ10" s="243" t="s">
        <v>167</v>
      </c>
      <c r="AR10" s="243" t="s">
        <v>168</v>
      </c>
      <c r="AS10" s="243" t="s">
        <v>169</v>
      </c>
      <c r="AT10" s="243" t="s">
        <v>170</v>
      </c>
      <c r="AU10" s="243" t="s">
        <v>171</v>
      </c>
      <c r="AV10" s="243" t="s">
        <v>172</v>
      </c>
      <c r="AW10" s="243" t="s">
        <v>173</v>
      </c>
      <c r="AX10" s="243"/>
    </row>
    <row r="11" spans="1:50" x14ac:dyDescent="0.2">
      <c r="B11" s="87"/>
      <c r="C11" s="108"/>
      <c r="D11" s="110"/>
      <c r="E11" s="218"/>
      <c r="F11" s="147"/>
      <c r="G11" s="149"/>
      <c r="H11" s="147"/>
      <c r="I11" s="113"/>
      <c r="J11" s="113"/>
      <c r="K11" s="113"/>
      <c r="L11" s="113"/>
      <c r="M11" s="113"/>
      <c r="N11" s="113"/>
      <c r="O11" s="113"/>
      <c r="P11" s="113"/>
      <c r="Q11" s="113"/>
      <c r="R11" s="113"/>
      <c r="S11" s="113"/>
      <c r="T11" s="133"/>
      <c r="V11" s="91"/>
    </row>
    <row r="12" spans="1:50" x14ac:dyDescent="0.2">
      <c r="B12" s="87"/>
      <c r="C12" s="108"/>
      <c r="D12" s="109" t="s">
        <v>92</v>
      </c>
      <c r="E12" s="110"/>
      <c r="F12" s="110" t="s">
        <v>174</v>
      </c>
      <c r="G12" s="219">
        <f>SUM(I12:T12)/12</f>
        <v>1</v>
      </c>
      <c r="H12" s="220"/>
      <c r="I12" s="132">
        <v>1</v>
      </c>
      <c r="J12" s="132">
        <f>+I12</f>
        <v>1</v>
      </c>
      <c r="K12" s="132">
        <f t="shared" ref="K12:T12" si="0">+J12</f>
        <v>1</v>
      </c>
      <c r="L12" s="132">
        <f t="shared" si="0"/>
        <v>1</v>
      </c>
      <c r="M12" s="132">
        <f t="shared" si="0"/>
        <v>1</v>
      </c>
      <c r="N12" s="132">
        <f t="shared" si="0"/>
        <v>1</v>
      </c>
      <c r="O12" s="132">
        <f t="shared" si="0"/>
        <v>1</v>
      </c>
      <c r="P12" s="132">
        <f t="shared" si="0"/>
        <v>1</v>
      </c>
      <c r="Q12" s="132">
        <f t="shared" si="0"/>
        <v>1</v>
      </c>
      <c r="R12" s="132">
        <f t="shared" si="0"/>
        <v>1</v>
      </c>
      <c r="S12" s="132">
        <f t="shared" si="0"/>
        <v>1</v>
      </c>
      <c r="T12" s="221">
        <f t="shared" si="0"/>
        <v>1</v>
      </c>
      <c r="V12" s="91"/>
      <c r="Y12" s="1189">
        <f t="shared" ref="Y12:Y22" si="1">ROUND(I12*1/12*VLOOKUP($D12,rugzakpers,3,FALSE),2)</f>
        <v>1047.55</v>
      </c>
      <c r="Z12" s="1189">
        <f t="shared" ref="Z12:Z22" si="2">ROUND(J12*1/12*VLOOKUP($D12,rugzakpers,3,FALSE),2)</f>
        <v>1047.55</v>
      </c>
      <c r="AA12" s="1189">
        <f t="shared" ref="AA12:AA22" si="3">ROUND(K12*1/12*VLOOKUP($D12,rugzakpers,3,FALSE),2)</f>
        <v>1047.55</v>
      </c>
      <c r="AB12" s="1189">
        <f t="shared" ref="AB12:AB22" si="4">ROUND(L12*1/12*VLOOKUP($D12,rugzakpers,3,FALSE),2)</f>
        <v>1047.55</v>
      </c>
      <c r="AC12" s="1189">
        <f t="shared" ref="AC12:AC22" si="5">ROUND(M12*1/12*VLOOKUP($D12,rugzakpers,3,FALSE),2)</f>
        <v>1047.55</v>
      </c>
      <c r="AD12" s="1189">
        <f t="shared" ref="AD12:AD22" si="6">ROUND(N12*1/12*VLOOKUP($D12,rugzakpers,3,FALSE),2)</f>
        <v>1047.55</v>
      </c>
      <c r="AE12" s="1189">
        <f t="shared" ref="AE12:AE22" si="7">ROUND(O12*1/12*VLOOKUP($D12,rugzakpers,3,FALSE),2)</f>
        <v>1047.55</v>
      </c>
      <c r="AF12" s="1189">
        <f t="shared" ref="AF12:AF22" si="8">ROUND(P12*1/12*VLOOKUP($D12,rugzakpers,3,FALSE),2)</f>
        <v>1047.55</v>
      </c>
      <c r="AG12" s="1189">
        <f t="shared" ref="AG12:AG22" si="9">ROUND(Q12*1/12*VLOOKUP($D12,rugzakpers,3,FALSE),2)</f>
        <v>1047.55</v>
      </c>
      <c r="AH12" s="1189">
        <f t="shared" ref="AH12:AH22" si="10">ROUND(R12*1/12*VLOOKUP($D12,rugzakpers,3,FALSE),2)</f>
        <v>1047.55</v>
      </c>
      <c r="AI12" s="1189">
        <f t="shared" ref="AI12:AI22" si="11">ROUND(S12*1/12*VLOOKUP($D12,rugzakpers,3,FALSE),2)</f>
        <v>1047.55</v>
      </c>
      <c r="AJ12" s="1189">
        <f t="shared" ref="AJ12:AJ22" si="12">ROUND(T12*1/12*VLOOKUP($D12,rugzakpers,3,FALSE),2)</f>
        <v>1047.55</v>
      </c>
      <c r="AL12" s="1189">
        <f t="shared" ref="AL12:AL22" si="13">ROUND(I12*1/12*VLOOKUP($D12,rugzakmat,3,FALSE),2)</f>
        <v>93.17</v>
      </c>
      <c r="AM12" s="1189">
        <f t="shared" ref="AM12:AM22" si="14">ROUND(J12*1/12*VLOOKUP($D12,rugzakmat,3,FALSE),2)</f>
        <v>93.17</v>
      </c>
      <c r="AN12" s="1189">
        <f t="shared" ref="AN12:AN22" si="15">ROUND(K12*1/12*VLOOKUP($D12,rugzakmat,3,FALSE),2)</f>
        <v>93.17</v>
      </c>
      <c r="AO12" s="1189">
        <f t="shared" ref="AO12:AO22" si="16">ROUND(L12*1/12*VLOOKUP($D12,rugzakmat,3,FALSE),2)</f>
        <v>93.17</v>
      </c>
      <c r="AP12" s="1189">
        <f t="shared" ref="AP12:AP22" si="17">ROUND(M12*1/12*VLOOKUP($D12,rugzakmat,3,FALSE),2)</f>
        <v>93.17</v>
      </c>
      <c r="AQ12" s="1189">
        <f t="shared" ref="AQ12:AQ22" si="18">ROUND(N12*1/12*VLOOKUP($D12,rugzakmat,3,FALSE),2)</f>
        <v>93.17</v>
      </c>
      <c r="AR12" s="1189">
        <f t="shared" ref="AR12:AR22" si="19">ROUND(O12*1/12*VLOOKUP($D12,rugzakmat,3,FALSE),2)</f>
        <v>93.17</v>
      </c>
      <c r="AS12" s="1189">
        <f t="shared" ref="AS12:AS22" si="20">ROUND(P12*1/12*VLOOKUP($D12,rugzakmat,3,FALSE),2)</f>
        <v>93.17</v>
      </c>
      <c r="AT12" s="1189">
        <f t="shared" ref="AT12:AT22" si="21">ROUND(Q12*1/12*VLOOKUP($D12,rugzakmat,3,FALSE),2)</f>
        <v>93.17</v>
      </c>
      <c r="AU12" s="1189">
        <f t="shared" ref="AU12:AU22" si="22">ROUND(R12*1/12*VLOOKUP($D12,rugzakmat,3,FALSE),2)</f>
        <v>93.17</v>
      </c>
      <c r="AV12" s="1189">
        <f t="shared" ref="AV12:AV22" si="23">ROUND(S12*1/12*VLOOKUP($D12,rugzakmat,3,FALSE),2)</f>
        <v>93.17</v>
      </c>
      <c r="AW12" s="1189">
        <f t="shared" ref="AW12:AW22" si="24">ROUND(T12*1/12*VLOOKUP($D12,rugzakmat,3,FALSE),2)</f>
        <v>93.17</v>
      </c>
    </row>
    <row r="13" spans="1:50" x14ac:dyDescent="0.2">
      <c r="B13" s="87"/>
      <c r="C13" s="108"/>
      <c r="D13" s="109" t="s">
        <v>93</v>
      </c>
      <c r="E13" s="110"/>
      <c r="F13" s="110" t="s">
        <v>174</v>
      </c>
      <c r="G13" s="219">
        <f t="shared" ref="G13:G22" si="25">SUM(I13:T13)/12</f>
        <v>1</v>
      </c>
      <c r="H13" s="220"/>
      <c r="I13" s="132">
        <v>1</v>
      </c>
      <c r="J13" s="132">
        <f t="shared" ref="J13:T13" si="26">+I13</f>
        <v>1</v>
      </c>
      <c r="K13" s="132">
        <f t="shared" si="26"/>
        <v>1</v>
      </c>
      <c r="L13" s="132">
        <f t="shared" si="26"/>
        <v>1</v>
      </c>
      <c r="M13" s="132">
        <f t="shared" si="26"/>
        <v>1</v>
      </c>
      <c r="N13" s="132">
        <f t="shared" si="26"/>
        <v>1</v>
      </c>
      <c r="O13" s="132">
        <f t="shared" si="26"/>
        <v>1</v>
      </c>
      <c r="P13" s="132">
        <f t="shared" si="26"/>
        <v>1</v>
      </c>
      <c r="Q13" s="132">
        <f t="shared" si="26"/>
        <v>1</v>
      </c>
      <c r="R13" s="132">
        <f t="shared" si="26"/>
        <v>1</v>
      </c>
      <c r="S13" s="132">
        <f t="shared" si="26"/>
        <v>1</v>
      </c>
      <c r="T13" s="221">
        <f t="shared" si="26"/>
        <v>1</v>
      </c>
      <c r="V13" s="91"/>
      <c r="Y13" s="1189">
        <f t="shared" si="1"/>
        <v>510.07</v>
      </c>
      <c r="Z13" s="1189">
        <f t="shared" si="2"/>
        <v>510.07</v>
      </c>
      <c r="AA13" s="1189">
        <f t="shared" si="3"/>
        <v>510.07</v>
      </c>
      <c r="AB13" s="1189">
        <f t="shared" si="4"/>
        <v>510.07</v>
      </c>
      <c r="AC13" s="1189">
        <f t="shared" si="5"/>
        <v>510.07</v>
      </c>
      <c r="AD13" s="1189">
        <f t="shared" si="6"/>
        <v>510.07</v>
      </c>
      <c r="AE13" s="1189">
        <f t="shared" si="7"/>
        <v>510.07</v>
      </c>
      <c r="AF13" s="1189">
        <f t="shared" si="8"/>
        <v>510.07</v>
      </c>
      <c r="AG13" s="1189">
        <f t="shared" si="9"/>
        <v>510.07</v>
      </c>
      <c r="AH13" s="1189">
        <f t="shared" si="10"/>
        <v>510.07</v>
      </c>
      <c r="AI13" s="1189">
        <f t="shared" si="11"/>
        <v>510.07</v>
      </c>
      <c r="AJ13" s="1189">
        <f t="shared" si="12"/>
        <v>510.07</v>
      </c>
      <c r="AL13" s="1189">
        <f t="shared" si="13"/>
        <v>83.08</v>
      </c>
      <c r="AM13" s="1189">
        <f t="shared" si="14"/>
        <v>83.08</v>
      </c>
      <c r="AN13" s="1189">
        <f t="shared" si="15"/>
        <v>83.08</v>
      </c>
      <c r="AO13" s="1189">
        <f t="shared" si="16"/>
        <v>83.08</v>
      </c>
      <c r="AP13" s="1189">
        <f t="shared" si="17"/>
        <v>83.08</v>
      </c>
      <c r="AQ13" s="1189">
        <f t="shared" si="18"/>
        <v>83.08</v>
      </c>
      <c r="AR13" s="1189">
        <f t="shared" si="19"/>
        <v>83.08</v>
      </c>
      <c r="AS13" s="1189">
        <f t="shared" si="20"/>
        <v>83.08</v>
      </c>
      <c r="AT13" s="1189">
        <f t="shared" si="21"/>
        <v>83.08</v>
      </c>
      <c r="AU13" s="1189">
        <f t="shared" si="22"/>
        <v>83.08</v>
      </c>
      <c r="AV13" s="1189">
        <f t="shared" si="23"/>
        <v>83.08</v>
      </c>
      <c r="AW13" s="1189">
        <f t="shared" si="24"/>
        <v>83.08</v>
      </c>
    </row>
    <row r="14" spans="1:50" x14ac:dyDescent="0.2">
      <c r="B14" s="87"/>
      <c r="C14" s="108"/>
      <c r="D14" s="109" t="s">
        <v>102</v>
      </c>
      <c r="E14" s="110"/>
      <c r="F14" s="110" t="s">
        <v>174</v>
      </c>
      <c r="G14" s="219">
        <f t="shared" si="25"/>
        <v>1</v>
      </c>
      <c r="H14" s="220"/>
      <c r="I14" s="132">
        <v>1</v>
      </c>
      <c r="J14" s="132">
        <f t="shared" ref="J14:T14" si="27">+I14</f>
        <v>1</v>
      </c>
      <c r="K14" s="132">
        <f t="shared" si="27"/>
        <v>1</v>
      </c>
      <c r="L14" s="132">
        <f t="shared" si="27"/>
        <v>1</v>
      </c>
      <c r="M14" s="132">
        <f t="shared" si="27"/>
        <v>1</v>
      </c>
      <c r="N14" s="132">
        <f t="shared" si="27"/>
        <v>1</v>
      </c>
      <c r="O14" s="132">
        <f t="shared" si="27"/>
        <v>1</v>
      </c>
      <c r="P14" s="132">
        <f t="shared" si="27"/>
        <v>1</v>
      </c>
      <c r="Q14" s="132">
        <f t="shared" si="27"/>
        <v>1</v>
      </c>
      <c r="R14" s="132">
        <f t="shared" si="27"/>
        <v>1</v>
      </c>
      <c r="S14" s="132">
        <f t="shared" si="27"/>
        <v>1</v>
      </c>
      <c r="T14" s="221">
        <f t="shared" si="27"/>
        <v>1</v>
      </c>
      <c r="V14" s="91"/>
      <c r="Y14" s="1189">
        <f t="shared" si="1"/>
        <v>510.07</v>
      </c>
      <c r="Z14" s="1189">
        <f t="shared" si="2"/>
        <v>510.07</v>
      </c>
      <c r="AA14" s="1189">
        <f t="shared" si="3"/>
        <v>510.07</v>
      </c>
      <c r="AB14" s="1189">
        <f t="shared" si="4"/>
        <v>510.07</v>
      </c>
      <c r="AC14" s="1189">
        <f t="shared" si="5"/>
        <v>510.07</v>
      </c>
      <c r="AD14" s="1189">
        <f t="shared" si="6"/>
        <v>510.07</v>
      </c>
      <c r="AE14" s="1189">
        <f t="shared" si="7"/>
        <v>510.07</v>
      </c>
      <c r="AF14" s="1189">
        <f t="shared" si="8"/>
        <v>510.07</v>
      </c>
      <c r="AG14" s="1189">
        <f t="shared" si="9"/>
        <v>510.07</v>
      </c>
      <c r="AH14" s="1189">
        <f t="shared" si="10"/>
        <v>510.07</v>
      </c>
      <c r="AI14" s="1189">
        <f t="shared" si="11"/>
        <v>510.07</v>
      </c>
      <c r="AJ14" s="1189">
        <f t="shared" si="12"/>
        <v>510.07</v>
      </c>
      <c r="AL14" s="1189">
        <f t="shared" si="13"/>
        <v>83.08</v>
      </c>
      <c r="AM14" s="1189">
        <f t="shared" si="14"/>
        <v>83.08</v>
      </c>
      <c r="AN14" s="1189">
        <f t="shared" si="15"/>
        <v>83.08</v>
      </c>
      <c r="AO14" s="1189">
        <f t="shared" si="16"/>
        <v>83.08</v>
      </c>
      <c r="AP14" s="1189">
        <f t="shared" si="17"/>
        <v>83.08</v>
      </c>
      <c r="AQ14" s="1189">
        <f t="shared" si="18"/>
        <v>83.08</v>
      </c>
      <c r="AR14" s="1189">
        <f t="shared" si="19"/>
        <v>83.08</v>
      </c>
      <c r="AS14" s="1189">
        <f t="shared" si="20"/>
        <v>83.08</v>
      </c>
      <c r="AT14" s="1189">
        <f t="shared" si="21"/>
        <v>83.08</v>
      </c>
      <c r="AU14" s="1189">
        <f t="shared" si="22"/>
        <v>83.08</v>
      </c>
      <c r="AV14" s="1189">
        <f t="shared" si="23"/>
        <v>83.08</v>
      </c>
      <c r="AW14" s="1189">
        <f t="shared" si="24"/>
        <v>83.08</v>
      </c>
    </row>
    <row r="15" spans="1:50" x14ac:dyDescent="0.2">
      <c r="B15" s="87"/>
      <c r="C15" s="108"/>
      <c r="D15" s="109" t="s">
        <v>94</v>
      </c>
      <c r="E15" s="110"/>
      <c r="F15" s="110" t="s">
        <v>174</v>
      </c>
      <c r="G15" s="219">
        <f t="shared" si="25"/>
        <v>1</v>
      </c>
      <c r="H15" s="220"/>
      <c r="I15" s="132">
        <v>1</v>
      </c>
      <c r="J15" s="132">
        <f t="shared" ref="J15:T15" si="28">+I15</f>
        <v>1</v>
      </c>
      <c r="K15" s="132">
        <f t="shared" si="28"/>
        <v>1</v>
      </c>
      <c r="L15" s="132">
        <f t="shared" si="28"/>
        <v>1</v>
      </c>
      <c r="M15" s="132">
        <f t="shared" si="28"/>
        <v>1</v>
      </c>
      <c r="N15" s="132">
        <f t="shared" si="28"/>
        <v>1</v>
      </c>
      <c r="O15" s="132">
        <f t="shared" si="28"/>
        <v>1</v>
      </c>
      <c r="P15" s="132">
        <f t="shared" si="28"/>
        <v>1</v>
      </c>
      <c r="Q15" s="132">
        <f t="shared" si="28"/>
        <v>1</v>
      </c>
      <c r="R15" s="132">
        <f t="shared" si="28"/>
        <v>1</v>
      </c>
      <c r="S15" s="132">
        <f t="shared" si="28"/>
        <v>1</v>
      </c>
      <c r="T15" s="221">
        <f t="shared" si="28"/>
        <v>1</v>
      </c>
      <c r="V15" s="91"/>
      <c r="Y15" s="1189">
        <f t="shared" si="1"/>
        <v>510.07</v>
      </c>
      <c r="Z15" s="1189">
        <f t="shared" si="2"/>
        <v>510.07</v>
      </c>
      <c r="AA15" s="1189">
        <f t="shared" si="3"/>
        <v>510.07</v>
      </c>
      <c r="AB15" s="1189">
        <f t="shared" si="4"/>
        <v>510.07</v>
      </c>
      <c r="AC15" s="1189">
        <f t="shared" si="5"/>
        <v>510.07</v>
      </c>
      <c r="AD15" s="1189">
        <f t="shared" si="6"/>
        <v>510.07</v>
      </c>
      <c r="AE15" s="1189">
        <f t="shared" si="7"/>
        <v>510.07</v>
      </c>
      <c r="AF15" s="1189">
        <f t="shared" si="8"/>
        <v>510.07</v>
      </c>
      <c r="AG15" s="1189">
        <f t="shared" si="9"/>
        <v>510.07</v>
      </c>
      <c r="AH15" s="1189">
        <f t="shared" si="10"/>
        <v>510.07</v>
      </c>
      <c r="AI15" s="1189">
        <f t="shared" si="11"/>
        <v>510.07</v>
      </c>
      <c r="AJ15" s="1189">
        <f t="shared" si="12"/>
        <v>510.07</v>
      </c>
      <c r="AL15" s="1189">
        <f t="shared" si="13"/>
        <v>83.17</v>
      </c>
      <c r="AM15" s="1189">
        <f t="shared" si="14"/>
        <v>83.17</v>
      </c>
      <c r="AN15" s="1189">
        <f t="shared" si="15"/>
        <v>83.17</v>
      </c>
      <c r="AO15" s="1189">
        <f t="shared" si="16"/>
        <v>83.17</v>
      </c>
      <c r="AP15" s="1189">
        <f t="shared" si="17"/>
        <v>83.17</v>
      </c>
      <c r="AQ15" s="1189">
        <f t="shared" si="18"/>
        <v>83.17</v>
      </c>
      <c r="AR15" s="1189">
        <f t="shared" si="19"/>
        <v>83.17</v>
      </c>
      <c r="AS15" s="1189">
        <f t="shared" si="20"/>
        <v>83.17</v>
      </c>
      <c r="AT15" s="1189">
        <f t="shared" si="21"/>
        <v>83.17</v>
      </c>
      <c r="AU15" s="1189">
        <f t="shared" si="22"/>
        <v>83.17</v>
      </c>
      <c r="AV15" s="1189">
        <f t="shared" si="23"/>
        <v>83.17</v>
      </c>
      <c r="AW15" s="1189">
        <f t="shared" si="24"/>
        <v>83.17</v>
      </c>
    </row>
    <row r="16" spans="1:50" x14ac:dyDescent="0.2">
      <c r="B16" s="87"/>
      <c r="C16" s="108"/>
      <c r="D16" s="109" t="s">
        <v>95</v>
      </c>
      <c r="E16" s="110"/>
      <c r="F16" s="110" t="s">
        <v>174</v>
      </c>
      <c r="G16" s="219">
        <f t="shared" si="25"/>
        <v>1</v>
      </c>
      <c r="H16" s="220"/>
      <c r="I16" s="132">
        <v>1</v>
      </c>
      <c r="J16" s="132">
        <f t="shared" ref="J16:T16" si="29">+I16</f>
        <v>1</v>
      </c>
      <c r="K16" s="132">
        <f t="shared" si="29"/>
        <v>1</v>
      </c>
      <c r="L16" s="132">
        <f t="shared" si="29"/>
        <v>1</v>
      </c>
      <c r="M16" s="132">
        <f t="shared" si="29"/>
        <v>1</v>
      </c>
      <c r="N16" s="132">
        <f t="shared" si="29"/>
        <v>1</v>
      </c>
      <c r="O16" s="132">
        <f t="shared" si="29"/>
        <v>1</v>
      </c>
      <c r="P16" s="132">
        <f t="shared" si="29"/>
        <v>1</v>
      </c>
      <c r="Q16" s="132">
        <f t="shared" si="29"/>
        <v>1</v>
      </c>
      <c r="R16" s="132">
        <f t="shared" si="29"/>
        <v>1</v>
      </c>
      <c r="S16" s="132">
        <f t="shared" si="29"/>
        <v>1</v>
      </c>
      <c r="T16" s="221">
        <f t="shared" si="29"/>
        <v>1</v>
      </c>
      <c r="V16" s="91"/>
      <c r="Y16" s="1189">
        <f t="shared" si="1"/>
        <v>510.07</v>
      </c>
      <c r="Z16" s="1189">
        <f t="shared" si="2"/>
        <v>510.07</v>
      </c>
      <c r="AA16" s="1189">
        <f t="shared" si="3"/>
        <v>510.07</v>
      </c>
      <c r="AB16" s="1189">
        <f t="shared" si="4"/>
        <v>510.07</v>
      </c>
      <c r="AC16" s="1189">
        <f t="shared" si="5"/>
        <v>510.07</v>
      </c>
      <c r="AD16" s="1189">
        <f t="shared" si="6"/>
        <v>510.07</v>
      </c>
      <c r="AE16" s="1189">
        <f t="shared" si="7"/>
        <v>510.07</v>
      </c>
      <c r="AF16" s="1189">
        <f t="shared" si="8"/>
        <v>510.07</v>
      </c>
      <c r="AG16" s="1189">
        <f t="shared" si="9"/>
        <v>510.07</v>
      </c>
      <c r="AH16" s="1189">
        <f t="shared" si="10"/>
        <v>510.07</v>
      </c>
      <c r="AI16" s="1189">
        <f t="shared" si="11"/>
        <v>510.07</v>
      </c>
      <c r="AJ16" s="1189">
        <f t="shared" si="12"/>
        <v>510.07</v>
      </c>
      <c r="AL16" s="1189">
        <f t="shared" si="13"/>
        <v>83.08</v>
      </c>
      <c r="AM16" s="1189">
        <f t="shared" si="14"/>
        <v>83.08</v>
      </c>
      <c r="AN16" s="1189">
        <f t="shared" si="15"/>
        <v>83.08</v>
      </c>
      <c r="AO16" s="1189">
        <f t="shared" si="16"/>
        <v>83.08</v>
      </c>
      <c r="AP16" s="1189">
        <f t="shared" si="17"/>
        <v>83.08</v>
      </c>
      <c r="AQ16" s="1189">
        <f t="shared" si="18"/>
        <v>83.08</v>
      </c>
      <c r="AR16" s="1189">
        <f t="shared" si="19"/>
        <v>83.08</v>
      </c>
      <c r="AS16" s="1189">
        <f t="shared" si="20"/>
        <v>83.08</v>
      </c>
      <c r="AT16" s="1189">
        <f t="shared" si="21"/>
        <v>83.08</v>
      </c>
      <c r="AU16" s="1189">
        <f t="shared" si="22"/>
        <v>83.08</v>
      </c>
      <c r="AV16" s="1189">
        <f t="shared" si="23"/>
        <v>83.08</v>
      </c>
      <c r="AW16" s="1189">
        <f t="shared" si="24"/>
        <v>83.08</v>
      </c>
    </row>
    <row r="17" spans="2:50" x14ac:dyDescent="0.2">
      <c r="B17" s="87"/>
      <c r="C17" s="108"/>
      <c r="D17" s="109" t="s">
        <v>547</v>
      </c>
      <c r="E17" s="110"/>
      <c r="F17" s="110" t="s">
        <v>174</v>
      </c>
      <c r="G17" s="219">
        <f t="shared" si="25"/>
        <v>1</v>
      </c>
      <c r="H17" s="220"/>
      <c r="I17" s="132">
        <v>1</v>
      </c>
      <c r="J17" s="132">
        <f t="shared" ref="J17:T17" si="30">+I17</f>
        <v>1</v>
      </c>
      <c r="K17" s="132">
        <f t="shared" si="30"/>
        <v>1</v>
      </c>
      <c r="L17" s="132">
        <f t="shared" si="30"/>
        <v>1</v>
      </c>
      <c r="M17" s="132">
        <f t="shared" si="30"/>
        <v>1</v>
      </c>
      <c r="N17" s="132">
        <f t="shared" si="30"/>
        <v>1</v>
      </c>
      <c r="O17" s="132">
        <f t="shared" si="30"/>
        <v>1</v>
      </c>
      <c r="P17" s="132">
        <f t="shared" si="30"/>
        <v>1</v>
      </c>
      <c r="Q17" s="132">
        <f t="shared" si="30"/>
        <v>1</v>
      </c>
      <c r="R17" s="132">
        <f t="shared" si="30"/>
        <v>1</v>
      </c>
      <c r="S17" s="132">
        <f t="shared" si="30"/>
        <v>1</v>
      </c>
      <c r="T17" s="221">
        <f t="shared" si="30"/>
        <v>1</v>
      </c>
      <c r="V17" s="91"/>
      <c r="Y17" s="1189">
        <f t="shared" si="1"/>
        <v>510.07</v>
      </c>
      <c r="Z17" s="1189">
        <f t="shared" si="2"/>
        <v>510.07</v>
      </c>
      <c r="AA17" s="1189">
        <f t="shared" si="3"/>
        <v>510.07</v>
      </c>
      <c r="AB17" s="1189">
        <f t="shared" si="4"/>
        <v>510.07</v>
      </c>
      <c r="AC17" s="1189">
        <f t="shared" si="5"/>
        <v>510.07</v>
      </c>
      <c r="AD17" s="1189">
        <f t="shared" si="6"/>
        <v>510.07</v>
      </c>
      <c r="AE17" s="1189">
        <f t="shared" si="7"/>
        <v>510.07</v>
      </c>
      <c r="AF17" s="1189">
        <f t="shared" si="8"/>
        <v>510.07</v>
      </c>
      <c r="AG17" s="1189">
        <f t="shared" si="9"/>
        <v>510.07</v>
      </c>
      <c r="AH17" s="1189">
        <f t="shared" si="10"/>
        <v>510.07</v>
      </c>
      <c r="AI17" s="1189">
        <f t="shared" si="11"/>
        <v>510.07</v>
      </c>
      <c r="AJ17" s="1189">
        <f t="shared" si="12"/>
        <v>510.07</v>
      </c>
      <c r="AL17" s="1189">
        <f t="shared" si="13"/>
        <v>78.42</v>
      </c>
      <c r="AM17" s="1189">
        <f t="shared" si="14"/>
        <v>78.42</v>
      </c>
      <c r="AN17" s="1189">
        <f t="shared" si="15"/>
        <v>78.42</v>
      </c>
      <c r="AO17" s="1189">
        <f t="shared" si="16"/>
        <v>78.42</v>
      </c>
      <c r="AP17" s="1189">
        <f t="shared" si="17"/>
        <v>78.42</v>
      </c>
      <c r="AQ17" s="1189">
        <f t="shared" si="18"/>
        <v>78.42</v>
      </c>
      <c r="AR17" s="1189">
        <f t="shared" si="19"/>
        <v>78.42</v>
      </c>
      <c r="AS17" s="1189">
        <f t="shared" si="20"/>
        <v>78.42</v>
      </c>
      <c r="AT17" s="1189">
        <f t="shared" si="21"/>
        <v>78.42</v>
      </c>
      <c r="AU17" s="1189">
        <f t="shared" si="22"/>
        <v>78.42</v>
      </c>
      <c r="AV17" s="1189">
        <f t="shared" si="23"/>
        <v>78.42</v>
      </c>
      <c r="AW17" s="1189">
        <f t="shared" si="24"/>
        <v>78.42</v>
      </c>
    </row>
    <row r="18" spans="2:50" x14ac:dyDescent="0.2">
      <c r="B18" s="87"/>
      <c r="C18" s="108"/>
      <c r="D18" s="109" t="s">
        <v>96</v>
      </c>
      <c r="E18" s="110"/>
      <c r="F18" s="110" t="s">
        <v>174</v>
      </c>
      <c r="G18" s="219">
        <f t="shared" si="25"/>
        <v>1</v>
      </c>
      <c r="H18" s="220"/>
      <c r="I18" s="132">
        <v>1</v>
      </c>
      <c r="J18" s="132">
        <f t="shared" ref="J18:T18" si="31">+I18</f>
        <v>1</v>
      </c>
      <c r="K18" s="132">
        <f t="shared" si="31"/>
        <v>1</v>
      </c>
      <c r="L18" s="132">
        <f t="shared" si="31"/>
        <v>1</v>
      </c>
      <c r="M18" s="132">
        <f t="shared" si="31"/>
        <v>1</v>
      </c>
      <c r="N18" s="132">
        <f t="shared" si="31"/>
        <v>1</v>
      </c>
      <c r="O18" s="132">
        <f t="shared" si="31"/>
        <v>1</v>
      </c>
      <c r="P18" s="132">
        <f t="shared" si="31"/>
        <v>1</v>
      </c>
      <c r="Q18" s="132">
        <f t="shared" si="31"/>
        <v>1</v>
      </c>
      <c r="R18" s="132">
        <f t="shared" si="31"/>
        <v>1</v>
      </c>
      <c r="S18" s="132">
        <f t="shared" si="31"/>
        <v>1</v>
      </c>
      <c r="T18" s="221">
        <f t="shared" si="31"/>
        <v>1</v>
      </c>
      <c r="V18" s="91"/>
      <c r="Y18" s="1189">
        <f t="shared" si="1"/>
        <v>1047.55</v>
      </c>
      <c r="Z18" s="1189">
        <f t="shared" si="2"/>
        <v>1047.55</v>
      </c>
      <c r="AA18" s="1189">
        <f t="shared" si="3"/>
        <v>1047.55</v>
      </c>
      <c r="AB18" s="1189">
        <f t="shared" si="4"/>
        <v>1047.55</v>
      </c>
      <c r="AC18" s="1189">
        <f t="shared" si="5"/>
        <v>1047.55</v>
      </c>
      <c r="AD18" s="1189">
        <f t="shared" si="6"/>
        <v>1047.55</v>
      </c>
      <c r="AE18" s="1189">
        <f t="shared" si="7"/>
        <v>1047.55</v>
      </c>
      <c r="AF18" s="1189">
        <f t="shared" si="8"/>
        <v>1047.55</v>
      </c>
      <c r="AG18" s="1189">
        <f t="shared" si="9"/>
        <v>1047.55</v>
      </c>
      <c r="AH18" s="1189">
        <f t="shared" si="10"/>
        <v>1047.55</v>
      </c>
      <c r="AI18" s="1189">
        <f t="shared" si="11"/>
        <v>1047.55</v>
      </c>
      <c r="AJ18" s="1189">
        <f t="shared" si="12"/>
        <v>1047.55</v>
      </c>
      <c r="AL18" s="1189">
        <f t="shared" si="13"/>
        <v>83.08</v>
      </c>
      <c r="AM18" s="1189">
        <f t="shared" si="14"/>
        <v>83.08</v>
      </c>
      <c r="AN18" s="1189">
        <f t="shared" si="15"/>
        <v>83.08</v>
      </c>
      <c r="AO18" s="1189">
        <f t="shared" si="16"/>
        <v>83.08</v>
      </c>
      <c r="AP18" s="1189">
        <f t="shared" si="17"/>
        <v>83.08</v>
      </c>
      <c r="AQ18" s="1189">
        <f t="shared" si="18"/>
        <v>83.08</v>
      </c>
      <c r="AR18" s="1189">
        <f t="shared" si="19"/>
        <v>83.08</v>
      </c>
      <c r="AS18" s="1189">
        <f t="shared" si="20"/>
        <v>83.08</v>
      </c>
      <c r="AT18" s="1189">
        <f t="shared" si="21"/>
        <v>83.08</v>
      </c>
      <c r="AU18" s="1189">
        <f t="shared" si="22"/>
        <v>83.08</v>
      </c>
      <c r="AV18" s="1189">
        <f t="shared" si="23"/>
        <v>83.08</v>
      </c>
      <c r="AW18" s="1189">
        <f t="shared" si="24"/>
        <v>83.08</v>
      </c>
    </row>
    <row r="19" spans="2:50" x14ac:dyDescent="0.2">
      <c r="B19" s="87"/>
      <c r="C19" s="108"/>
      <c r="D19" s="109" t="s">
        <v>97</v>
      </c>
      <c r="E19" s="110"/>
      <c r="F19" s="110" t="s">
        <v>174</v>
      </c>
      <c r="G19" s="219">
        <f t="shared" si="25"/>
        <v>1</v>
      </c>
      <c r="H19" s="220"/>
      <c r="I19" s="132">
        <v>1</v>
      </c>
      <c r="J19" s="132">
        <f t="shared" ref="J19:T19" si="32">+I19</f>
        <v>1</v>
      </c>
      <c r="K19" s="132">
        <f t="shared" si="32"/>
        <v>1</v>
      </c>
      <c r="L19" s="132">
        <f t="shared" si="32"/>
        <v>1</v>
      </c>
      <c r="M19" s="132">
        <f t="shared" si="32"/>
        <v>1</v>
      </c>
      <c r="N19" s="132">
        <f t="shared" si="32"/>
        <v>1</v>
      </c>
      <c r="O19" s="132">
        <f t="shared" si="32"/>
        <v>1</v>
      </c>
      <c r="P19" s="132">
        <f t="shared" si="32"/>
        <v>1</v>
      </c>
      <c r="Q19" s="132">
        <f t="shared" si="32"/>
        <v>1</v>
      </c>
      <c r="R19" s="132">
        <f t="shared" si="32"/>
        <v>1</v>
      </c>
      <c r="S19" s="132">
        <f t="shared" si="32"/>
        <v>1</v>
      </c>
      <c r="T19" s="221">
        <f t="shared" si="32"/>
        <v>1</v>
      </c>
      <c r="V19" s="91"/>
      <c r="Y19" s="1189">
        <f t="shared" si="1"/>
        <v>510.07</v>
      </c>
      <c r="Z19" s="1189">
        <f t="shared" si="2"/>
        <v>510.07</v>
      </c>
      <c r="AA19" s="1189">
        <f t="shared" si="3"/>
        <v>510.07</v>
      </c>
      <c r="AB19" s="1189">
        <f t="shared" si="4"/>
        <v>510.07</v>
      </c>
      <c r="AC19" s="1189">
        <f t="shared" si="5"/>
        <v>510.07</v>
      </c>
      <c r="AD19" s="1189">
        <f t="shared" si="6"/>
        <v>510.07</v>
      </c>
      <c r="AE19" s="1189">
        <f t="shared" si="7"/>
        <v>510.07</v>
      </c>
      <c r="AF19" s="1189">
        <f t="shared" si="8"/>
        <v>510.07</v>
      </c>
      <c r="AG19" s="1189">
        <f t="shared" si="9"/>
        <v>510.07</v>
      </c>
      <c r="AH19" s="1189">
        <f t="shared" si="10"/>
        <v>510.07</v>
      </c>
      <c r="AI19" s="1189">
        <f t="shared" si="11"/>
        <v>510.07</v>
      </c>
      <c r="AJ19" s="1189">
        <f t="shared" si="12"/>
        <v>510.07</v>
      </c>
      <c r="AL19" s="1189">
        <f t="shared" si="13"/>
        <v>83.08</v>
      </c>
      <c r="AM19" s="1189">
        <f t="shared" si="14"/>
        <v>83.08</v>
      </c>
      <c r="AN19" s="1189">
        <f t="shared" si="15"/>
        <v>83.08</v>
      </c>
      <c r="AO19" s="1189">
        <f t="shared" si="16"/>
        <v>83.08</v>
      </c>
      <c r="AP19" s="1189">
        <f t="shared" si="17"/>
        <v>83.08</v>
      </c>
      <c r="AQ19" s="1189">
        <f t="shared" si="18"/>
        <v>83.08</v>
      </c>
      <c r="AR19" s="1189">
        <f t="shared" si="19"/>
        <v>83.08</v>
      </c>
      <c r="AS19" s="1189">
        <f t="shared" si="20"/>
        <v>83.08</v>
      </c>
      <c r="AT19" s="1189">
        <f t="shared" si="21"/>
        <v>83.08</v>
      </c>
      <c r="AU19" s="1189">
        <f t="shared" si="22"/>
        <v>83.08</v>
      </c>
      <c r="AV19" s="1189">
        <f t="shared" si="23"/>
        <v>83.08</v>
      </c>
      <c r="AW19" s="1189">
        <f t="shared" si="24"/>
        <v>83.08</v>
      </c>
    </row>
    <row r="20" spans="2:50" x14ac:dyDescent="0.2">
      <c r="B20" s="87"/>
      <c r="C20" s="108"/>
      <c r="D20" s="109" t="s">
        <v>494</v>
      </c>
      <c r="E20" s="134"/>
      <c r="F20" s="110" t="s">
        <v>174</v>
      </c>
      <c r="G20" s="219">
        <f t="shared" si="25"/>
        <v>1</v>
      </c>
      <c r="H20" s="220"/>
      <c r="I20" s="132">
        <v>1</v>
      </c>
      <c r="J20" s="132">
        <f t="shared" ref="J20:T20" si="33">+I20</f>
        <v>1</v>
      </c>
      <c r="K20" s="132">
        <f t="shared" si="33"/>
        <v>1</v>
      </c>
      <c r="L20" s="132">
        <f t="shared" si="33"/>
        <v>1</v>
      </c>
      <c r="M20" s="132">
        <f t="shared" si="33"/>
        <v>1</v>
      </c>
      <c r="N20" s="132">
        <f t="shared" si="33"/>
        <v>1</v>
      </c>
      <c r="O20" s="132">
        <f t="shared" si="33"/>
        <v>1</v>
      </c>
      <c r="P20" s="132">
        <f t="shared" si="33"/>
        <v>1</v>
      </c>
      <c r="Q20" s="132">
        <f t="shared" si="33"/>
        <v>1</v>
      </c>
      <c r="R20" s="132">
        <f t="shared" si="33"/>
        <v>1</v>
      </c>
      <c r="S20" s="132">
        <f t="shared" si="33"/>
        <v>1</v>
      </c>
      <c r="T20" s="221">
        <f t="shared" si="33"/>
        <v>1</v>
      </c>
      <c r="V20" s="91"/>
      <c r="Y20" s="1189">
        <f t="shared" si="1"/>
        <v>1047.55</v>
      </c>
      <c r="Z20" s="1189">
        <f t="shared" si="2"/>
        <v>1047.55</v>
      </c>
      <c r="AA20" s="1189">
        <f t="shared" si="3"/>
        <v>1047.55</v>
      </c>
      <c r="AB20" s="1189">
        <f t="shared" si="4"/>
        <v>1047.55</v>
      </c>
      <c r="AC20" s="1189">
        <f t="shared" si="5"/>
        <v>1047.55</v>
      </c>
      <c r="AD20" s="1189">
        <f t="shared" si="6"/>
        <v>1047.55</v>
      </c>
      <c r="AE20" s="1189">
        <f t="shared" si="7"/>
        <v>1047.55</v>
      </c>
      <c r="AF20" s="1189">
        <f t="shared" si="8"/>
        <v>1047.55</v>
      </c>
      <c r="AG20" s="1189">
        <f t="shared" si="9"/>
        <v>1047.55</v>
      </c>
      <c r="AH20" s="1189">
        <f t="shared" si="10"/>
        <v>1047.55</v>
      </c>
      <c r="AI20" s="1189">
        <f t="shared" si="11"/>
        <v>1047.55</v>
      </c>
      <c r="AJ20" s="1189">
        <f t="shared" si="12"/>
        <v>1047.55</v>
      </c>
      <c r="AL20" s="1189">
        <f t="shared" si="13"/>
        <v>104.85</v>
      </c>
      <c r="AM20" s="1189">
        <f t="shared" si="14"/>
        <v>104.85</v>
      </c>
      <c r="AN20" s="1189">
        <f t="shared" si="15"/>
        <v>104.85</v>
      </c>
      <c r="AO20" s="1189">
        <f t="shared" si="16"/>
        <v>104.85</v>
      </c>
      <c r="AP20" s="1189">
        <f t="shared" si="17"/>
        <v>104.85</v>
      </c>
      <c r="AQ20" s="1189">
        <f t="shared" si="18"/>
        <v>104.85</v>
      </c>
      <c r="AR20" s="1189">
        <f t="shared" si="19"/>
        <v>104.85</v>
      </c>
      <c r="AS20" s="1189">
        <f t="shared" si="20"/>
        <v>104.85</v>
      </c>
      <c r="AT20" s="1189">
        <f t="shared" si="21"/>
        <v>104.85</v>
      </c>
      <c r="AU20" s="1189">
        <f t="shared" si="22"/>
        <v>104.85</v>
      </c>
      <c r="AV20" s="1189">
        <f t="shared" si="23"/>
        <v>104.85</v>
      </c>
      <c r="AW20" s="1189">
        <f t="shared" si="24"/>
        <v>104.85</v>
      </c>
    </row>
    <row r="21" spans="2:50" x14ac:dyDescent="0.2">
      <c r="B21" s="87"/>
      <c r="C21" s="108"/>
      <c r="D21" s="109" t="s">
        <v>495</v>
      </c>
      <c r="E21" s="134"/>
      <c r="F21" s="110" t="s">
        <v>174</v>
      </c>
      <c r="G21" s="219">
        <f t="shared" si="25"/>
        <v>1</v>
      </c>
      <c r="H21" s="220"/>
      <c r="I21" s="132">
        <v>1</v>
      </c>
      <c r="J21" s="132">
        <f t="shared" ref="J21:T21" si="34">+I21</f>
        <v>1</v>
      </c>
      <c r="K21" s="132">
        <f t="shared" si="34"/>
        <v>1</v>
      </c>
      <c r="L21" s="132">
        <f t="shared" si="34"/>
        <v>1</v>
      </c>
      <c r="M21" s="132">
        <f t="shared" si="34"/>
        <v>1</v>
      </c>
      <c r="N21" s="132">
        <f t="shared" si="34"/>
        <v>1</v>
      </c>
      <c r="O21" s="132">
        <f t="shared" si="34"/>
        <v>1</v>
      </c>
      <c r="P21" s="132">
        <f t="shared" si="34"/>
        <v>1</v>
      </c>
      <c r="Q21" s="132">
        <f t="shared" si="34"/>
        <v>1</v>
      </c>
      <c r="R21" s="132">
        <f t="shared" si="34"/>
        <v>1</v>
      </c>
      <c r="S21" s="132">
        <f t="shared" si="34"/>
        <v>1</v>
      </c>
      <c r="T21" s="221">
        <f t="shared" si="34"/>
        <v>1</v>
      </c>
      <c r="V21" s="91"/>
      <c r="Y21" s="1189">
        <f t="shared" si="1"/>
        <v>510.07</v>
      </c>
      <c r="Z21" s="1189">
        <f t="shared" si="2"/>
        <v>510.07</v>
      </c>
      <c r="AA21" s="1189">
        <f t="shared" si="3"/>
        <v>510.07</v>
      </c>
      <c r="AB21" s="1189">
        <f t="shared" si="4"/>
        <v>510.07</v>
      </c>
      <c r="AC21" s="1189">
        <f t="shared" si="5"/>
        <v>510.07</v>
      </c>
      <c r="AD21" s="1189">
        <f t="shared" si="6"/>
        <v>510.07</v>
      </c>
      <c r="AE21" s="1189">
        <f t="shared" si="7"/>
        <v>510.07</v>
      </c>
      <c r="AF21" s="1189">
        <f t="shared" si="8"/>
        <v>510.07</v>
      </c>
      <c r="AG21" s="1189">
        <f t="shared" si="9"/>
        <v>510.07</v>
      </c>
      <c r="AH21" s="1189">
        <f t="shared" si="10"/>
        <v>510.07</v>
      </c>
      <c r="AI21" s="1189">
        <f t="shared" si="11"/>
        <v>510.07</v>
      </c>
      <c r="AJ21" s="1189">
        <f t="shared" si="12"/>
        <v>510.07</v>
      </c>
      <c r="AL21" s="1189">
        <f t="shared" si="13"/>
        <v>88.67</v>
      </c>
      <c r="AM21" s="1189">
        <f t="shared" si="14"/>
        <v>88.67</v>
      </c>
      <c r="AN21" s="1189">
        <f t="shared" si="15"/>
        <v>88.67</v>
      </c>
      <c r="AO21" s="1189">
        <f t="shared" si="16"/>
        <v>88.67</v>
      </c>
      <c r="AP21" s="1189">
        <f t="shared" si="17"/>
        <v>88.67</v>
      </c>
      <c r="AQ21" s="1189">
        <f t="shared" si="18"/>
        <v>88.67</v>
      </c>
      <c r="AR21" s="1189">
        <f t="shared" si="19"/>
        <v>88.67</v>
      </c>
      <c r="AS21" s="1189">
        <f t="shared" si="20"/>
        <v>88.67</v>
      </c>
      <c r="AT21" s="1189">
        <f t="shared" si="21"/>
        <v>88.67</v>
      </c>
      <c r="AU21" s="1189">
        <f t="shared" si="22"/>
        <v>88.67</v>
      </c>
      <c r="AV21" s="1189">
        <f t="shared" si="23"/>
        <v>88.67</v>
      </c>
      <c r="AW21" s="1189">
        <f t="shared" si="24"/>
        <v>88.67</v>
      </c>
    </row>
    <row r="22" spans="2:50" x14ac:dyDescent="0.2">
      <c r="B22" s="87"/>
      <c r="C22" s="108"/>
      <c r="D22" s="109" t="s">
        <v>563</v>
      </c>
      <c r="E22" s="222"/>
      <c r="F22" s="110" t="s">
        <v>174</v>
      </c>
      <c r="G22" s="219">
        <f t="shared" si="25"/>
        <v>1</v>
      </c>
      <c r="H22" s="220"/>
      <c r="I22" s="132">
        <v>1</v>
      </c>
      <c r="J22" s="132">
        <f t="shared" ref="J22:T22" si="35">+I22</f>
        <v>1</v>
      </c>
      <c r="K22" s="132">
        <f t="shared" si="35"/>
        <v>1</v>
      </c>
      <c r="L22" s="132">
        <f t="shared" si="35"/>
        <v>1</v>
      </c>
      <c r="M22" s="132">
        <f t="shared" si="35"/>
        <v>1</v>
      </c>
      <c r="N22" s="132">
        <f t="shared" si="35"/>
        <v>1</v>
      </c>
      <c r="O22" s="132">
        <f t="shared" si="35"/>
        <v>1</v>
      </c>
      <c r="P22" s="132">
        <f t="shared" si="35"/>
        <v>1</v>
      </c>
      <c r="Q22" s="132">
        <f t="shared" si="35"/>
        <v>1</v>
      </c>
      <c r="R22" s="132">
        <f t="shared" si="35"/>
        <v>1</v>
      </c>
      <c r="S22" s="132">
        <f t="shared" si="35"/>
        <v>1</v>
      </c>
      <c r="T22" s="221">
        <f t="shared" si="35"/>
        <v>1</v>
      </c>
      <c r="V22" s="91"/>
      <c r="Y22" s="1189">
        <f t="shared" si="1"/>
        <v>536.99</v>
      </c>
      <c r="Z22" s="1189">
        <f t="shared" si="2"/>
        <v>536.99</v>
      </c>
      <c r="AA22" s="1189">
        <f t="shared" si="3"/>
        <v>536.99</v>
      </c>
      <c r="AB22" s="1189">
        <f t="shared" si="4"/>
        <v>536.99</v>
      </c>
      <c r="AC22" s="1189">
        <f t="shared" si="5"/>
        <v>536.99</v>
      </c>
      <c r="AD22" s="1189">
        <f t="shared" si="6"/>
        <v>536.99</v>
      </c>
      <c r="AE22" s="1189">
        <f t="shared" si="7"/>
        <v>536.99</v>
      </c>
      <c r="AF22" s="1189">
        <f t="shared" si="8"/>
        <v>536.99</v>
      </c>
      <c r="AG22" s="1189">
        <f t="shared" si="9"/>
        <v>536.99</v>
      </c>
      <c r="AH22" s="1189">
        <f t="shared" si="10"/>
        <v>536.99</v>
      </c>
      <c r="AI22" s="1189">
        <f t="shared" si="11"/>
        <v>536.99</v>
      </c>
      <c r="AJ22" s="1189">
        <f t="shared" si="12"/>
        <v>536.99</v>
      </c>
      <c r="AL22" s="1189">
        <f t="shared" si="13"/>
        <v>25.17</v>
      </c>
      <c r="AM22" s="1189">
        <f t="shared" si="14"/>
        <v>25.17</v>
      </c>
      <c r="AN22" s="1189">
        <f t="shared" si="15"/>
        <v>25.17</v>
      </c>
      <c r="AO22" s="1189">
        <f t="shared" si="16"/>
        <v>25.17</v>
      </c>
      <c r="AP22" s="1189">
        <f t="shared" si="17"/>
        <v>25.17</v>
      </c>
      <c r="AQ22" s="1189">
        <f t="shared" si="18"/>
        <v>25.17</v>
      </c>
      <c r="AR22" s="1189">
        <f t="shared" si="19"/>
        <v>25.17</v>
      </c>
      <c r="AS22" s="1189">
        <f t="shared" si="20"/>
        <v>25.17</v>
      </c>
      <c r="AT22" s="1189">
        <f t="shared" si="21"/>
        <v>25.17</v>
      </c>
      <c r="AU22" s="1189">
        <f t="shared" si="22"/>
        <v>25.17</v>
      </c>
      <c r="AV22" s="1189">
        <f t="shared" si="23"/>
        <v>25.17</v>
      </c>
      <c r="AW22" s="1189">
        <f t="shared" si="24"/>
        <v>25.17</v>
      </c>
    </row>
    <row r="23" spans="2:50" s="223" customFormat="1" x14ac:dyDescent="0.2">
      <c r="B23" s="224"/>
      <c r="C23" s="225"/>
      <c r="D23" s="226" t="s">
        <v>175</v>
      </c>
      <c r="E23" s="226"/>
      <c r="F23" s="226"/>
      <c r="G23" s="227">
        <f>SUM(I23:T23)</f>
        <v>87001.56</v>
      </c>
      <c r="H23" s="228"/>
      <c r="I23" s="227">
        <f t="shared" ref="I23:T23" si="36">+Y23</f>
        <v>7250.13</v>
      </c>
      <c r="J23" s="227">
        <f t="shared" si="36"/>
        <v>7250.13</v>
      </c>
      <c r="K23" s="227">
        <f t="shared" si="36"/>
        <v>7250.13</v>
      </c>
      <c r="L23" s="227">
        <f t="shared" si="36"/>
        <v>7250.13</v>
      </c>
      <c r="M23" s="227">
        <f t="shared" si="36"/>
        <v>7250.13</v>
      </c>
      <c r="N23" s="227">
        <f t="shared" si="36"/>
        <v>7250.13</v>
      </c>
      <c r="O23" s="227">
        <f t="shared" si="36"/>
        <v>7250.13</v>
      </c>
      <c r="P23" s="227">
        <f t="shared" si="36"/>
        <v>7250.13</v>
      </c>
      <c r="Q23" s="227">
        <f t="shared" si="36"/>
        <v>7250.13</v>
      </c>
      <c r="R23" s="227">
        <f t="shared" si="36"/>
        <v>7250.13</v>
      </c>
      <c r="S23" s="227">
        <f t="shared" si="36"/>
        <v>7250.13</v>
      </c>
      <c r="T23" s="229">
        <f t="shared" si="36"/>
        <v>7250.13</v>
      </c>
      <c r="V23" s="230"/>
      <c r="Y23" s="1190">
        <f t="shared" ref="Y23:AJ23" si="37">SUM(Y12:Y22)</f>
        <v>7250.13</v>
      </c>
      <c r="Z23" s="1190">
        <f t="shared" si="37"/>
        <v>7250.13</v>
      </c>
      <c r="AA23" s="1190">
        <f t="shared" si="37"/>
        <v>7250.13</v>
      </c>
      <c r="AB23" s="1190">
        <f t="shared" si="37"/>
        <v>7250.13</v>
      </c>
      <c r="AC23" s="1190">
        <f t="shared" si="37"/>
        <v>7250.13</v>
      </c>
      <c r="AD23" s="1190">
        <f t="shared" si="37"/>
        <v>7250.13</v>
      </c>
      <c r="AE23" s="1190">
        <f t="shared" si="37"/>
        <v>7250.13</v>
      </c>
      <c r="AF23" s="1190">
        <f t="shared" si="37"/>
        <v>7250.13</v>
      </c>
      <c r="AG23" s="1190">
        <f t="shared" si="37"/>
        <v>7250.13</v>
      </c>
      <c r="AH23" s="1190">
        <f t="shared" si="37"/>
        <v>7250.13</v>
      </c>
      <c r="AI23" s="1190">
        <f t="shared" si="37"/>
        <v>7250.13</v>
      </c>
      <c r="AJ23" s="1190">
        <f t="shared" si="37"/>
        <v>7250.13</v>
      </c>
      <c r="AK23" s="1191"/>
      <c r="AL23" s="1191"/>
      <c r="AM23" s="1191"/>
      <c r="AN23" s="1191"/>
      <c r="AO23" s="1191"/>
      <c r="AP23" s="1191"/>
      <c r="AQ23" s="1191"/>
      <c r="AR23" s="1191"/>
      <c r="AS23" s="1191"/>
      <c r="AT23" s="1191"/>
      <c r="AU23" s="1191"/>
      <c r="AV23" s="1191"/>
      <c r="AW23" s="1191"/>
      <c r="AX23" s="1191"/>
    </row>
    <row r="24" spans="2:50" s="223" customFormat="1" x14ac:dyDescent="0.2">
      <c r="B24" s="224"/>
      <c r="C24" s="225"/>
      <c r="D24" s="226" t="s">
        <v>176</v>
      </c>
      <c r="E24" s="226"/>
      <c r="F24" s="226"/>
      <c r="G24" s="227">
        <f>SUM(I24:T24)</f>
        <v>10666.200000000003</v>
      </c>
      <c r="H24" s="228"/>
      <c r="I24" s="227">
        <f t="shared" ref="I24:T24" si="38">+AL24</f>
        <v>888.85</v>
      </c>
      <c r="J24" s="227">
        <f t="shared" si="38"/>
        <v>888.85</v>
      </c>
      <c r="K24" s="227">
        <f t="shared" si="38"/>
        <v>888.85</v>
      </c>
      <c r="L24" s="227">
        <f t="shared" si="38"/>
        <v>888.85</v>
      </c>
      <c r="M24" s="227">
        <f t="shared" si="38"/>
        <v>888.85</v>
      </c>
      <c r="N24" s="227">
        <f t="shared" si="38"/>
        <v>888.85</v>
      </c>
      <c r="O24" s="227">
        <f t="shared" si="38"/>
        <v>888.85</v>
      </c>
      <c r="P24" s="227">
        <f t="shared" si="38"/>
        <v>888.85</v>
      </c>
      <c r="Q24" s="227">
        <f t="shared" si="38"/>
        <v>888.85</v>
      </c>
      <c r="R24" s="227">
        <f t="shared" si="38"/>
        <v>888.85</v>
      </c>
      <c r="S24" s="227">
        <f t="shared" si="38"/>
        <v>888.85</v>
      </c>
      <c r="T24" s="229">
        <f t="shared" si="38"/>
        <v>888.85</v>
      </c>
      <c r="V24" s="230"/>
      <c r="Y24" s="1191"/>
      <c r="Z24" s="1191"/>
      <c r="AA24" s="1191"/>
      <c r="AB24" s="1191"/>
      <c r="AC24" s="1191"/>
      <c r="AD24" s="1191"/>
      <c r="AE24" s="1191"/>
      <c r="AF24" s="1191"/>
      <c r="AG24" s="1191"/>
      <c r="AH24" s="1191"/>
      <c r="AI24" s="1191"/>
      <c r="AJ24" s="1191"/>
      <c r="AK24" s="1191"/>
      <c r="AL24" s="1190">
        <f t="shared" ref="AL24:AW24" si="39">SUM(AL12:AL22)</f>
        <v>888.85</v>
      </c>
      <c r="AM24" s="1190">
        <f t="shared" si="39"/>
        <v>888.85</v>
      </c>
      <c r="AN24" s="1190">
        <f t="shared" si="39"/>
        <v>888.85</v>
      </c>
      <c r="AO24" s="1190">
        <f t="shared" si="39"/>
        <v>888.85</v>
      </c>
      <c r="AP24" s="1190">
        <f t="shared" si="39"/>
        <v>888.85</v>
      </c>
      <c r="AQ24" s="1190">
        <f t="shared" si="39"/>
        <v>888.85</v>
      </c>
      <c r="AR24" s="1190">
        <f t="shared" si="39"/>
        <v>888.85</v>
      </c>
      <c r="AS24" s="1190">
        <f t="shared" si="39"/>
        <v>888.85</v>
      </c>
      <c r="AT24" s="1190">
        <f t="shared" si="39"/>
        <v>888.85</v>
      </c>
      <c r="AU24" s="1190">
        <f t="shared" si="39"/>
        <v>888.85</v>
      </c>
      <c r="AV24" s="1190">
        <f t="shared" si="39"/>
        <v>888.85</v>
      </c>
      <c r="AW24" s="1190">
        <f t="shared" si="39"/>
        <v>888.85</v>
      </c>
      <c r="AX24" s="1191"/>
    </row>
    <row r="25" spans="2:50" x14ac:dyDescent="0.2">
      <c r="B25" s="87"/>
      <c r="C25" s="108"/>
      <c r="D25" s="147" t="s">
        <v>177</v>
      </c>
      <c r="E25" s="110"/>
      <c r="F25" s="147"/>
      <c r="G25" s="231">
        <f>SUM(G23:G24)</f>
        <v>97667.76</v>
      </c>
      <c r="H25" s="232"/>
      <c r="I25" s="113"/>
      <c r="J25" s="113"/>
      <c r="K25" s="233">
        <f>SUM(K12:K22)</f>
        <v>11</v>
      </c>
      <c r="L25" s="113"/>
      <c r="M25" s="113"/>
      <c r="N25" s="113"/>
      <c r="O25" s="113"/>
      <c r="P25" s="113"/>
      <c r="Q25" s="113"/>
      <c r="R25" s="113"/>
      <c r="S25" s="113"/>
      <c r="T25" s="133"/>
      <c r="V25" s="91"/>
    </row>
    <row r="26" spans="2:50" x14ac:dyDescent="0.2">
      <c r="B26" s="87"/>
      <c r="C26" s="116"/>
      <c r="D26" s="234"/>
      <c r="E26" s="117"/>
      <c r="F26" s="117"/>
      <c r="G26" s="235"/>
      <c r="H26" s="117"/>
      <c r="I26" s="235"/>
      <c r="J26" s="235"/>
      <c r="K26" s="235"/>
      <c r="L26" s="235"/>
      <c r="M26" s="235"/>
      <c r="N26" s="235"/>
      <c r="O26" s="235"/>
      <c r="P26" s="235"/>
      <c r="Q26" s="235"/>
      <c r="R26" s="235"/>
      <c r="S26" s="235"/>
      <c r="T26" s="236"/>
      <c r="V26" s="91"/>
    </row>
    <row r="27" spans="2:50" x14ac:dyDescent="0.2">
      <c r="B27" s="87"/>
      <c r="C27" s="88"/>
      <c r="D27" s="237"/>
      <c r="E27" s="88"/>
      <c r="F27" s="88"/>
      <c r="G27" s="204"/>
      <c r="H27" s="88"/>
      <c r="I27" s="204"/>
      <c r="J27" s="204"/>
      <c r="K27" s="204"/>
      <c r="L27" s="204"/>
      <c r="M27" s="204"/>
      <c r="N27" s="204"/>
      <c r="O27" s="204"/>
      <c r="P27" s="204"/>
      <c r="Q27" s="204"/>
      <c r="R27" s="204"/>
      <c r="S27" s="204"/>
      <c r="T27" s="204"/>
      <c r="U27" s="88"/>
      <c r="V27" s="91"/>
    </row>
    <row r="28" spans="2:50" x14ac:dyDescent="0.2">
      <c r="B28" s="87"/>
      <c r="C28" s="104"/>
      <c r="D28" s="105"/>
      <c r="E28" s="105"/>
      <c r="F28" s="105"/>
      <c r="G28" s="210"/>
      <c r="H28" s="105"/>
      <c r="I28" s="210"/>
      <c r="J28" s="210"/>
      <c r="K28" s="210"/>
      <c r="L28" s="210"/>
      <c r="M28" s="210"/>
      <c r="N28" s="210"/>
      <c r="O28" s="210"/>
      <c r="P28" s="211"/>
      <c r="Q28" s="211"/>
      <c r="R28" s="210"/>
      <c r="S28" s="210"/>
      <c r="T28" s="212"/>
      <c r="V28" s="91"/>
      <c r="Y28" s="242" t="s">
        <v>160</v>
      </c>
      <c r="AL28" s="242" t="s">
        <v>161</v>
      </c>
    </row>
    <row r="29" spans="2:50" s="124" customFormat="1" x14ac:dyDescent="0.2">
      <c r="B29" s="120"/>
      <c r="C29" s="214"/>
      <c r="D29" s="157" t="s">
        <v>481</v>
      </c>
      <c r="E29" s="215" t="str">
        <f>tab!D2</f>
        <v>2013/14</v>
      </c>
      <c r="F29" s="126"/>
      <c r="G29" s="126"/>
      <c r="H29" s="126"/>
      <c r="I29" s="216" t="s">
        <v>162</v>
      </c>
      <c r="J29" s="216" t="s">
        <v>163</v>
      </c>
      <c r="K29" s="216" t="s">
        <v>164</v>
      </c>
      <c r="L29" s="216" t="s">
        <v>165</v>
      </c>
      <c r="M29" s="216" t="s">
        <v>166</v>
      </c>
      <c r="N29" s="216" t="s">
        <v>167</v>
      </c>
      <c r="O29" s="216" t="s">
        <v>168</v>
      </c>
      <c r="P29" s="216" t="s">
        <v>169</v>
      </c>
      <c r="Q29" s="216" t="s">
        <v>170</v>
      </c>
      <c r="R29" s="216" t="s">
        <v>171</v>
      </c>
      <c r="S29" s="216" t="s">
        <v>172</v>
      </c>
      <c r="T29" s="217" t="s">
        <v>173</v>
      </c>
      <c r="V29" s="96"/>
      <c r="Y29" s="243" t="s">
        <v>162</v>
      </c>
      <c r="Z29" s="243" t="s">
        <v>163</v>
      </c>
      <c r="AA29" s="243" t="s">
        <v>164</v>
      </c>
      <c r="AB29" s="243" t="s">
        <v>165</v>
      </c>
      <c r="AC29" s="243" t="s">
        <v>166</v>
      </c>
      <c r="AD29" s="243" t="s">
        <v>167</v>
      </c>
      <c r="AE29" s="243" t="s">
        <v>168</v>
      </c>
      <c r="AF29" s="243" t="s">
        <v>169</v>
      </c>
      <c r="AG29" s="243" t="s">
        <v>170</v>
      </c>
      <c r="AH29" s="243" t="s">
        <v>171</v>
      </c>
      <c r="AI29" s="243" t="s">
        <v>172</v>
      </c>
      <c r="AJ29" s="243" t="s">
        <v>173</v>
      </c>
      <c r="AK29" s="243"/>
      <c r="AL29" s="243" t="s">
        <v>162</v>
      </c>
      <c r="AM29" s="243" t="s">
        <v>163</v>
      </c>
      <c r="AN29" s="243" t="s">
        <v>164</v>
      </c>
      <c r="AO29" s="243" t="s">
        <v>165</v>
      </c>
      <c r="AP29" s="243" t="s">
        <v>166</v>
      </c>
      <c r="AQ29" s="243" t="s">
        <v>167</v>
      </c>
      <c r="AR29" s="243" t="s">
        <v>168</v>
      </c>
      <c r="AS29" s="243" t="s">
        <v>169</v>
      </c>
      <c r="AT29" s="243" t="s">
        <v>170</v>
      </c>
      <c r="AU29" s="243" t="s">
        <v>171</v>
      </c>
      <c r="AV29" s="243" t="s">
        <v>172</v>
      </c>
      <c r="AW29" s="243" t="s">
        <v>173</v>
      </c>
      <c r="AX29" s="243"/>
    </row>
    <row r="30" spans="2:50" x14ac:dyDescent="0.2">
      <c r="B30" s="87"/>
      <c r="C30" s="108"/>
      <c r="D30" s="110"/>
      <c r="E30" s="218"/>
      <c r="F30" s="147"/>
      <c r="G30" s="149"/>
      <c r="H30" s="147"/>
      <c r="I30" s="113"/>
      <c r="J30" s="113"/>
      <c r="K30" s="113"/>
      <c r="L30" s="113"/>
      <c r="M30" s="113"/>
      <c r="N30" s="113"/>
      <c r="O30" s="113"/>
      <c r="P30" s="113"/>
      <c r="Q30" s="113"/>
      <c r="R30" s="113"/>
      <c r="S30" s="113"/>
      <c r="T30" s="133"/>
      <c r="V30" s="91"/>
    </row>
    <row r="31" spans="2:50" x14ac:dyDescent="0.2">
      <c r="B31" s="87"/>
      <c r="C31" s="108"/>
      <c r="D31" s="109" t="s">
        <v>92</v>
      </c>
      <c r="E31" s="110"/>
      <c r="F31" s="110" t="s">
        <v>174</v>
      </c>
      <c r="G31" s="219">
        <f>SUM(I31:T31)/12</f>
        <v>1</v>
      </c>
      <c r="H31" s="220"/>
      <c r="I31" s="132">
        <v>1</v>
      </c>
      <c r="J31" s="132">
        <f>+I31</f>
        <v>1</v>
      </c>
      <c r="K31" s="132">
        <f t="shared" ref="K31:T31" si="40">+J31</f>
        <v>1</v>
      </c>
      <c r="L31" s="132">
        <f t="shared" si="40"/>
        <v>1</v>
      </c>
      <c r="M31" s="132">
        <f t="shared" si="40"/>
        <v>1</v>
      </c>
      <c r="N31" s="132">
        <f t="shared" si="40"/>
        <v>1</v>
      </c>
      <c r="O31" s="132">
        <f t="shared" si="40"/>
        <v>1</v>
      </c>
      <c r="P31" s="132">
        <f t="shared" si="40"/>
        <v>1</v>
      </c>
      <c r="Q31" s="132">
        <f t="shared" si="40"/>
        <v>1</v>
      </c>
      <c r="R31" s="132">
        <f t="shared" si="40"/>
        <v>1</v>
      </c>
      <c r="S31" s="132">
        <f t="shared" si="40"/>
        <v>1</v>
      </c>
      <c r="T31" s="221">
        <f t="shared" si="40"/>
        <v>1</v>
      </c>
      <c r="V31" s="91"/>
      <c r="Y31" s="1189">
        <f t="shared" ref="Y31:Y41" si="41">ROUND(I31*1/12*VLOOKUP($D31,rugzakpers,4,FALSE),2)</f>
        <v>1049.18</v>
      </c>
      <c r="Z31" s="1189">
        <f t="shared" ref="Z31:Z41" si="42">ROUND(J31*1/12*VLOOKUP($D31,rugzakpers,4,FALSE),2)</f>
        <v>1049.18</v>
      </c>
      <c r="AA31" s="1189">
        <f t="shared" ref="AA31:AA41" si="43">ROUND(K31*1/12*VLOOKUP($D31,rugzakpers,4,FALSE),2)</f>
        <v>1049.18</v>
      </c>
      <c r="AB31" s="1189">
        <f t="shared" ref="AB31:AB41" si="44">ROUND(L31*1/12*VLOOKUP($D31,rugzakpers,4,FALSE),2)</f>
        <v>1049.18</v>
      </c>
      <c r="AC31" s="1189">
        <f t="shared" ref="AC31:AC41" si="45">ROUND(M31*1/12*VLOOKUP($D31,rugzakpers,4,FALSE),2)</f>
        <v>1049.18</v>
      </c>
      <c r="AD31" s="1189">
        <f t="shared" ref="AD31:AD41" si="46">ROUND(N31*1/12*VLOOKUP($D31,rugzakpers,4,FALSE),2)</f>
        <v>1049.18</v>
      </c>
      <c r="AE31" s="1189">
        <f t="shared" ref="AE31:AE41" si="47">ROUND(O31*1/12*VLOOKUP($D31,rugzakpers,4,FALSE),2)</f>
        <v>1049.18</v>
      </c>
      <c r="AF31" s="1189">
        <f t="shared" ref="AF31:AF41" si="48">ROUND(P31*1/12*VLOOKUP($D31,rugzakpers,4,FALSE),2)</f>
        <v>1049.18</v>
      </c>
      <c r="AG31" s="1189">
        <f t="shared" ref="AG31:AG41" si="49">ROUND(Q31*1/12*VLOOKUP($D31,rugzakpers,4,FALSE),2)</f>
        <v>1049.18</v>
      </c>
      <c r="AH31" s="1189">
        <f t="shared" ref="AH31:AH41" si="50">ROUND(R31*1/12*VLOOKUP($D31,rugzakpers,4,FALSE),2)</f>
        <v>1049.18</v>
      </c>
      <c r="AI31" s="1189">
        <f t="shared" ref="AI31:AI41" si="51">ROUND(S31*1/12*VLOOKUP($D31,rugzakpers,4,FALSE),2)</f>
        <v>1049.18</v>
      </c>
      <c r="AJ31" s="1189">
        <f t="shared" ref="AJ31:AJ41" si="52">ROUND(T31*1/12*VLOOKUP($D31,rugzakpers,4,FALSE),2)</f>
        <v>1049.18</v>
      </c>
      <c r="AL31" s="1189">
        <f t="shared" ref="AL31:AL41" si="53">ROUND(I31*1/12*VLOOKUP($D31,rugzakmat,4,FALSE),2)</f>
        <v>94.83</v>
      </c>
      <c r="AM31" s="1189">
        <f t="shared" ref="AM31:AM41" si="54">ROUND(J31*1/12*VLOOKUP($D31,rugzakmat,4,FALSE),2)</f>
        <v>94.83</v>
      </c>
      <c r="AN31" s="1189">
        <f t="shared" ref="AN31:AN41" si="55">ROUND(K31*1/12*VLOOKUP($D31,rugzakmat,4,FALSE),2)</f>
        <v>94.83</v>
      </c>
      <c r="AO31" s="1189">
        <f t="shared" ref="AO31:AO41" si="56">ROUND(L31*1/12*VLOOKUP($D31,rugzakmat,4,FALSE),2)</f>
        <v>94.83</v>
      </c>
      <c r="AP31" s="1189">
        <f t="shared" ref="AP31:AP41" si="57">ROUND(M31*1/12*VLOOKUP($D31,rugzakmat,4,FALSE),2)</f>
        <v>94.83</v>
      </c>
      <c r="AQ31" s="1189">
        <f t="shared" ref="AQ31:AQ41" si="58">ROUND(N31*1/12*VLOOKUP($D31,rugzakmat,4,FALSE),2)</f>
        <v>94.83</v>
      </c>
      <c r="AR31" s="1189">
        <f t="shared" ref="AR31:AR41" si="59">ROUND(O31*1/12*VLOOKUP($D31,rugzakmat,4,FALSE),2)</f>
        <v>94.83</v>
      </c>
      <c r="AS31" s="1189">
        <f t="shared" ref="AS31:AS41" si="60">ROUND(P31*1/12*VLOOKUP($D31,rugzakmat,4,FALSE),2)</f>
        <v>94.83</v>
      </c>
      <c r="AT31" s="1189">
        <f t="shared" ref="AT31:AT41" si="61">ROUND(Q31*1/12*VLOOKUP($D31,rugzakmat,4,FALSE),2)</f>
        <v>94.83</v>
      </c>
      <c r="AU31" s="1189">
        <f t="shared" ref="AU31:AU41" si="62">ROUND(R31*1/12*VLOOKUP($D31,rugzakmat,4,FALSE),2)</f>
        <v>94.83</v>
      </c>
      <c r="AV31" s="1189">
        <f t="shared" ref="AV31:AV41" si="63">ROUND(S31*1/12*VLOOKUP($D31,rugzakmat,4,FALSE),2)</f>
        <v>94.83</v>
      </c>
      <c r="AW31" s="1189">
        <f t="shared" ref="AW31:AW41" si="64">ROUND(T31*1/12*VLOOKUP($D31,rugzakmat,4,FALSE),2)</f>
        <v>94.83</v>
      </c>
    </row>
    <row r="32" spans="2:50" x14ac:dyDescent="0.2">
      <c r="B32" s="87"/>
      <c r="C32" s="108"/>
      <c r="D32" s="109" t="s">
        <v>93</v>
      </c>
      <c r="E32" s="110"/>
      <c r="F32" s="110" t="s">
        <v>174</v>
      </c>
      <c r="G32" s="219">
        <f t="shared" ref="G32:G41" si="65">SUM(I32:T32)/12</f>
        <v>1</v>
      </c>
      <c r="H32" s="220"/>
      <c r="I32" s="132">
        <v>1</v>
      </c>
      <c r="J32" s="132">
        <f t="shared" ref="J32:T41" si="66">+I32</f>
        <v>1</v>
      </c>
      <c r="K32" s="132">
        <f t="shared" si="66"/>
        <v>1</v>
      </c>
      <c r="L32" s="132">
        <f t="shared" si="66"/>
        <v>1</v>
      </c>
      <c r="M32" s="132">
        <f t="shared" si="66"/>
        <v>1</v>
      </c>
      <c r="N32" s="132">
        <f t="shared" si="66"/>
        <v>1</v>
      </c>
      <c r="O32" s="132">
        <f t="shared" si="66"/>
        <v>1</v>
      </c>
      <c r="P32" s="132">
        <f t="shared" si="66"/>
        <v>1</v>
      </c>
      <c r="Q32" s="132">
        <f t="shared" si="66"/>
        <v>1</v>
      </c>
      <c r="R32" s="132">
        <f t="shared" si="66"/>
        <v>1</v>
      </c>
      <c r="S32" s="132">
        <f t="shared" si="66"/>
        <v>1</v>
      </c>
      <c r="T32" s="221">
        <f t="shared" si="66"/>
        <v>1</v>
      </c>
      <c r="V32" s="91"/>
      <c r="Y32" s="1189">
        <f t="shared" si="41"/>
        <v>510.87</v>
      </c>
      <c r="Z32" s="1189">
        <f t="shared" si="42"/>
        <v>510.87</v>
      </c>
      <c r="AA32" s="1189">
        <f t="shared" si="43"/>
        <v>510.87</v>
      </c>
      <c r="AB32" s="1189">
        <f t="shared" si="44"/>
        <v>510.87</v>
      </c>
      <c r="AC32" s="1189">
        <f t="shared" si="45"/>
        <v>510.87</v>
      </c>
      <c r="AD32" s="1189">
        <f t="shared" si="46"/>
        <v>510.87</v>
      </c>
      <c r="AE32" s="1189">
        <f t="shared" si="47"/>
        <v>510.87</v>
      </c>
      <c r="AF32" s="1189">
        <f t="shared" si="48"/>
        <v>510.87</v>
      </c>
      <c r="AG32" s="1189">
        <f t="shared" si="49"/>
        <v>510.87</v>
      </c>
      <c r="AH32" s="1189">
        <f t="shared" si="50"/>
        <v>510.87</v>
      </c>
      <c r="AI32" s="1189">
        <f t="shared" si="51"/>
        <v>510.87</v>
      </c>
      <c r="AJ32" s="1189">
        <f t="shared" si="52"/>
        <v>510.87</v>
      </c>
      <c r="AL32" s="1189">
        <f t="shared" si="53"/>
        <v>84.58</v>
      </c>
      <c r="AM32" s="1189">
        <f t="shared" si="54"/>
        <v>84.58</v>
      </c>
      <c r="AN32" s="1189">
        <f t="shared" si="55"/>
        <v>84.58</v>
      </c>
      <c r="AO32" s="1189">
        <f t="shared" si="56"/>
        <v>84.58</v>
      </c>
      <c r="AP32" s="1189">
        <f t="shared" si="57"/>
        <v>84.58</v>
      </c>
      <c r="AQ32" s="1189">
        <f t="shared" si="58"/>
        <v>84.58</v>
      </c>
      <c r="AR32" s="1189">
        <f t="shared" si="59"/>
        <v>84.58</v>
      </c>
      <c r="AS32" s="1189">
        <f t="shared" si="60"/>
        <v>84.58</v>
      </c>
      <c r="AT32" s="1189">
        <f t="shared" si="61"/>
        <v>84.58</v>
      </c>
      <c r="AU32" s="1189">
        <f t="shared" si="62"/>
        <v>84.58</v>
      </c>
      <c r="AV32" s="1189">
        <f t="shared" si="63"/>
        <v>84.58</v>
      </c>
      <c r="AW32" s="1189">
        <f t="shared" si="64"/>
        <v>84.58</v>
      </c>
    </row>
    <row r="33" spans="2:50" x14ac:dyDescent="0.2">
      <c r="B33" s="87"/>
      <c r="C33" s="108"/>
      <c r="D33" s="109" t="s">
        <v>102</v>
      </c>
      <c r="E33" s="110"/>
      <c r="F33" s="110" t="s">
        <v>174</v>
      </c>
      <c r="G33" s="219">
        <f t="shared" si="65"/>
        <v>1</v>
      </c>
      <c r="H33" s="220"/>
      <c r="I33" s="132">
        <v>1</v>
      </c>
      <c r="J33" s="132">
        <f t="shared" si="66"/>
        <v>1</v>
      </c>
      <c r="K33" s="132">
        <f t="shared" si="66"/>
        <v>1</v>
      </c>
      <c r="L33" s="132">
        <f t="shared" si="66"/>
        <v>1</v>
      </c>
      <c r="M33" s="132">
        <f t="shared" si="66"/>
        <v>1</v>
      </c>
      <c r="N33" s="132">
        <f t="shared" si="66"/>
        <v>1</v>
      </c>
      <c r="O33" s="132">
        <f t="shared" si="66"/>
        <v>1</v>
      </c>
      <c r="P33" s="132">
        <f t="shared" si="66"/>
        <v>1</v>
      </c>
      <c r="Q33" s="132">
        <f t="shared" si="66"/>
        <v>1</v>
      </c>
      <c r="R33" s="132">
        <f t="shared" si="66"/>
        <v>1</v>
      </c>
      <c r="S33" s="132">
        <f t="shared" si="66"/>
        <v>1</v>
      </c>
      <c r="T33" s="221">
        <f t="shared" si="66"/>
        <v>1</v>
      </c>
      <c r="V33" s="91"/>
      <c r="Y33" s="1189">
        <f t="shared" si="41"/>
        <v>510.87</v>
      </c>
      <c r="Z33" s="1189">
        <f t="shared" si="42"/>
        <v>510.87</v>
      </c>
      <c r="AA33" s="1189">
        <f t="shared" si="43"/>
        <v>510.87</v>
      </c>
      <c r="AB33" s="1189">
        <f t="shared" si="44"/>
        <v>510.87</v>
      </c>
      <c r="AC33" s="1189">
        <f t="shared" si="45"/>
        <v>510.87</v>
      </c>
      <c r="AD33" s="1189">
        <f t="shared" si="46"/>
        <v>510.87</v>
      </c>
      <c r="AE33" s="1189">
        <f t="shared" si="47"/>
        <v>510.87</v>
      </c>
      <c r="AF33" s="1189">
        <f t="shared" si="48"/>
        <v>510.87</v>
      </c>
      <c r="AG33" s="1189">
        <f t="shared" si="49"/>
        <v>510.87</v>
      </c>
      <c r="AH33" s="1189">
        <f t="shared" si="50"/>
        <v>510.87</v>
      </c>
      <c r="AI33" s="1189">
        <f t="shared" si="51"/>
        <v>510.87</v>
      </c>
      <c r="AJ33" s="1189">
        <f t="shared" si="52"/>
        <v>510.87</v>
      </c>
      <c r="AL33" s="1189">
        <f t="shared" si="53"/>
        <v>84.58</v>
      </c>
      <c r="AM33" s="1189">
        <f t="shared" si="54"/>
        <v>84.58</v>
      </c>
      <c r="AN33" s="1189">
        <f t="shared" si="55"/>
        <v>84.58</v>
      </c>
      <c r="AO33" s="1189">
        <f t="shared" si="56"/>
        <v>84.58</v>
      </c>
      <c r="AP33" s="1189">
        <f t="shared" si="57"/>
        <v>84.58</v>
      </c>
      <c r="AQ33" s="1189">
        <f t="shared" si="58"/>
        <v>84.58</v>
      </c>
      <c r="AR33" s="1189">
        <f t="shared" si="59"/>
        <v>84.58</v>
      </c>
      <c r="AS33" s="1189">
        <f t="shared" si="60"/>
        <v>84.58</v>
      </c>
      <c r="AT33" s="1189">
        <f t="shared" si="61"/>
        <v>84.58</v>
      </c>
      <c r="AU33" s="1189">
        <f t="shared" si="62"/>
        <v>84.58</v>
      </c>
      <c r="AV33" s="1189">
        <f t="shared" si="63"/>
        <v>84.58</v>
      </c>
      <c r="AW33" s="1189">
        <f t="shared" si="64"/>
        <v>84.58</v>
      </c>
    </row>
    <row r="34" spans="2:50" x14ac:dyDescent="0.2">
      <c r="B34" s="87"/>
      <c r="C34" s="108"/>
      <c r="D34" s="109" t="s">
        <v>94</v>
      </c>
      <c r="E34" s="110"/>
      <c r="F34" s="110" t="s">
        <v>174</v>
      </c>
      <c r="G34" s="219">
        <f t="shared" si="65"/>
        <v>1</v>
      </c>
      <c r="H34" s="220"/>
      <c r="I34" s="132">
        <v>1</v>
      </c>
      <c r="J34" s="132">
        <f t="shared" si="66"/>
        <v>1</v>
      </c>
      <c r="K34" s="132">
        <f t="shared" si="66"/>
        <v>1</v>
      </c>
      <c r="L34" s="132">
        <f t="shared" si="66"/>
        <v>1</v>
      </c>
      <c r="M34" s="132">
        <f t="shared" si="66"/>
        <v>1</v>
      </c>
      <c r="N34" s="132">
        <f t="shared" si="66"/>
        <v>1</v>
      </c>
      <c r="O34" s="132">
        <f t="shared" si="66"/>
        <v>1</v>
      </c>
      <c r="P34" s="132">
        <f t="shared" si="66"/>
        <v>1</v>
      </c>
      <c r="Q34" s="132">
        <f t="shared" si="66"/>
        <v>1</v>
      </c>
      <c r="R34" s="132">
        <f t="shared" si="66"/>
        <v>1</v>
      </c>
      <c r="S34" s="132">
        <f t="shared" si="66"/>
        <v>1</v>
      </c>
      <c r="T34" s="221">
        <f t="shared" si="66"/>
        <v>1</v>
      </c>
      <c r="V34" s="91"/>
      <c r="Y34" s="1189">
        <f t="shared" si="41"/>
        <v>510.87</v>
      </c>
      <c r="Z34" s="1189">
        <f t="shared" si="42"/>
        <v>510.87</v>
      </c>
      <c r="AA34" s="1189">
        <f t="shared" si="43"/>
        <v>510.87</v>
      </c>
      <c r="AB34" s="1189">
        <f t="shared" si="44"/>
        <v>510.87</v>
      </c>
      <c r="AC34" s="1189">
        <f t="shared" si="45"/>
        <v>510.87</v>
      </c>
      <c r="AD34" s="1189">
        <f t="shared" si="46"/>
        <v>510.87</v>
      </c>
      <c r="AE34" s="1189">
        <f t="shared" si="47"/>
        <v>510.87</v>
      </c>
      <c r="AF34" s="1189">
        <f t="shared" si="48"/>
        <v>510.87</v>
      </c>
      <c r="AG34" s="1189">
        <f t="shared" si="49"/>
        <v>510.87</v>
      </c>
      <c r="AH34" s="1189">
        <f t="shared" si="50"/>
        <v>510.87</v>
      </c>
      <c r="AI34" s="1189">
        <f t="shared" si="51"/>
        <v>510.87</v>
      </c>
      <c r="AJ34" s="1189">
        <f t="shared" si="52"/>
        <v>510.87</v>
      </c>
      <c r="AL34" s="1189">
        <f t="shared" si="53"/>
        <v>84.58</v>
      </c>
      <c r="AM34" s="1189">
        <f t="shared" si="54"/>
        <v>84.58</v>
      </c>
      <c r="AN34" s="1189">
        <f t="shared" si="55"/>
        <v>84.58</v>
      </c>
      <c r="AO34" s="1189">
        <f t="shared" si="56"/>
        <v>84.58</v>
      </c>
      <c r="AP34" s="1189">
        <f t="shared" si="57"/>
        <v>84.58</v>
      </c>
      <c r="AQ34" s="1189">
        <f t="shared" si="58"/>
        <v>84.58</v>
      </c>
      <c r="AR34" s="1189">
        <f t="shared" si="59"/>
        <v>84.58</v>
      </c>
      <c r="AS34" s="1189">
        <f t="shared" si="60"/>
        <v>84.58</v>
      </c>
      <c r="AT34" s="1189">
        <f t="shared" si="61"/>
        <v>84.58</v>
      </c>
      <c r="AU34" s="1189">
        <f t="shared" si="62"/>
        <v>84.58</v>
      </c>
      <c r="AV34" s="1189">
        <f t="shared" si="63"/>
        <v>84.58</v>
      </c>
      <c r="AW34" s="1189">
        <f t="shared" si="64"/>
        <v>84.58</v>
      </c>
    </row>
    <row r="35" spans="2:50" x14ac:dyDescent="0.2">
      <c r="B35" s="87"/>
      <c r="C35" s="108"/>
      <c r="D35" s="109" t="s">
        <v>95</v>
      </c>
      <c r="E35" s="110"/>
      <c r="F35" s="110" t="s">
        <v>174</v>
      </c>
      <c r="G35" s="219">
        <f t="shared" si="65"/>
        <v>1</v>
      </c>
      <c r="H35" s="220"/>
      <c r="I35" s="132">
        <v>1</v>
      </c>
      <c r="J35" s="132">
        <f t="shared" si="66"/>
        <v>1</v>
      </c>
      <c r="K35" s="132">
        <f t="shared" si="66"/>
        <v>1</v>
      </c>
      <c r="L35" s="132">
        <f t="shared" si="66"/>
        <v>1</v>
      </c>
      <c r="M35" s="132">
        <f t="shared" si="66"/>
        <v>1</v>
      </c>
      <c r="N35" s="132">
        <f t="shared" si="66"/>
        <v>1</v>
      </c>
      <c r="O35" s="132">
        <f t="shared" si="66"/>
        <v>1</v>
      </c>
      <c r="P35" s="132">
        <f t="shared" si="66"/>
        <v>1</v>
      </c>
      <c r="Q35" s="132">
        <f t="shared" si="66"/>
        <v>1</v>
      </c>
      <c r="R35" s="132">
        <f t="shared" si="66"/>
        <v>1</v>
      </c>
      <c r="S35" s="132">
        <f t="shared" si="66"/>
        <v>1</v>
      </c>
      <c r="T35" s="221">
        <f t="shared" si="66"/>
        <v>1</v>
      </c>
      <c r="V35" s="91"/>
      <c r="Y35" s="1189">
        <f t="shared" si="41"/>
        <v>510.87</v>
      </c>
      <c r="Z35" s="1189">
        <f t="shared" si="42"/>
        <v>510.87</v>
      </c>
      <c r="AA35" s="1189">
        <f t="shared" si="43"/>
        <v>510.87</v>
      </c>
      <c r="AB35" s="1189">
        <f t="shared" si="44"/>
        <v>510.87</v>
      </c>
      <c r="AC35" s="1189">
        <f t="shared" si="45"/>
        <v>510.87</v>
      </c>
      <c r="AD35" s="1189">
        <f t="shared" si="46"/>
        <v>510.87</v>
      </c>
      <c r="AE35" s="1189">
        <f t="shared" si="47"/>
        <v>510.87</v>
      </c>
      <c r="AF35" s="1189">
        <f t="shared" si="48"/>
        <v>510.87</v>
      </c>
      <c r="AG35" s="1189">
        <f t="shared" si="49"/>
        <v>510.87</v>
      </c>
      <c r="AH35" s="1189">
        <f t="shared" si="50"/>
        <v>510.87</v>
      </c>
      <c r="AI35" s="1189">
        <f t="shared" si="51"/>
        <v>510.87</v>
      </c>
      <c r="AJ35" s="1189">
        <f t="shared" si="52"/>
        <v>510.87</v>
      </c>
      <c r="AL35" s="1189">
        <f t="shared" si="53"/>
        <v>84.58</v>
      </c>
      <c r="AM35" s="1189">
        <f t="shared" si="54"/>
        <v>84.58</v>
      </c>
      <c r="AN35" s="1189">
        <f t="shared" si="55"/>
        <v>84.58</v>
      </c>
      <c r="AO35" s="1189">
        <f t="shared" si="56"/>
        <v>84.58</v>
      </c>
      <c r="AP35" s="1189">
        <f t="shared" si="57"/>
        <v>84.58</v>
      </c>
      <c r="AQ35" s="1189">
        <f t="shared" si="58"/>
        <v>84.58</v>
      </c>
      <c r="AR35" s="1189">
        <f t="shared" si="59"/>
        <v>84.58</v>
      </c>
      <c r="AS35" s="1189">
        <f t="shared" si="60"/>
        <v>84.58</v>
      </c>
      <c r="AT35" s="1189">
        <f t="shared" si="61"/>
        <v>84.58</v>
      </c>
      <c r="AU35" s="1189">
        <f t="shared" si="62"/>
        <v>84.58</v>
      </c>
      <c r="AV35" s="1189">
        <f t="shared" si="63"/>
        <v>84.58</v>
      </c>
      <c r="AW35" s="1189">
        <f t="shared" si="64"/>
        <v>84.58</v>
      </c>
    </row>
    <row r="36" spans="2:50" x14ac:dyDescent="0.2">
      <c r="B36" s="87"/>
      <c r="C36" s="108"/>
      <c r="D36" s="109" t="s">
        <v>547</v>
      </c>
      <c r="E36" s="110"/>
      <c r="F36" s="110" t="s">
        <v>174</v>
      </c>
      <c r="G36" s="219">
        <f t="shared" si="65"/>
        <v>1</v>
      </c>
      <c r="H36" s="220"/>
      <c r="I36" s="132">
        <v>1</v>
      </c>
      <c r="J36" s="132">
        <f t="shared" si="66"/>
        <v>1</v>
      </c>
      <c r="K36" s="132">
        <f t="shared" si="66"/>
        <v>1</v>
      </c>
      <c r="L36" s="132">
        <f t="shared" si="66"/>
        <v>1</v>
      </c>
      <c r="M36" s="132">
        <f t="shared" si="66"/>
        <v>1</v>
      </c>
      <c r="N36" s="132">
        <f t="shared" si="66"/>
        <v>1</v>
      </c>
      <c r="O36" s="132">
        <f t="shared" si="66"/>
        <v>1</v>
      </c>
      <c r="P36" s="132">
        <f t="shared" si="66"/>
        <v>1</v>
      </c>
      <c r="Q36" s="132">
        <f t="shared" si="66"/>
        <v>1</v>
      </c>
      <c r="R36" s="132">
        <f t="shared" si="66"/>
        <v>1</v>
      </c>
      <c r="S36" s="132">
        <f t="shared" si="66"/>
        <v>1</v>
      </c>
      <c r="T36" s="221">
        <f t="shared" si="66"/>
        <v>1</v>
      </c>
      <c r="V36" s="91"/>
      <c r="Y36" s="1189">
        <f t="shared" si="41"/>
        <v>510.87</v>
      </c>
      <c r="Z36" s="1189">
        <f t="shared" si="42"/>
        <v>510.87</v>
      </c>
      <c r="AA36" s="1189">
        <f t="shared" si="43"/>
        <v>510.87</v>
      </c>
      <c r="AB36" s="1189">
        <f t="shared" si="44"/>
        <v>510.87</v>
      </c>
      <c r="AC36" s="1189">
        <f t="shared" si="45"/>
        <v>510.87</v>
      </c>
      <c r="AD36" s="1189">
        <f t="shared" si="46"/>
        <v>510.87</v>
      </c>
      <c r="AE36" s="1189">
        <f t="shared" si="47"/>
        <v>510.87</v>
      </c>
      <c r="AF36" s="1189">
        <f t="shared" si="48"/>
        <v>510.87</v>
      </c>
      <c r="AG36" s="1189">
        <f t="shared" si="49"/>
        <v>510.87</v>
      </c>
      <c r="AH36" s="1189">
        <f t="shared" si="50"/>
        <v>510.87</v>
      </c>
      <c r="AI36" s="1189">
        <f t="shared" si="51"/>
        <v>510.87</v>
      </c>
      <c r="AJ36" s="1189">
        <f t="shared" si="52"/>
        <v>510.87</v>
      </c>
      <c r="AL36" s="1189">
        <f t="shared" si="53"/>
        <v>79.83</v>
      </c>
      <c r="AM36" s="1189">
        <f t="shared" si="54"/>
        <v>79.83</v>
      </c>
      <c r="AN36" s="1189">
        <f t="shared" si="55"/>
        <v>79.83</v>
      </c>
      <c r="AO36" s="1189">
        <f t="shared" si="56"/>
        <v>79.83</v>
      </c>
      <c r="AP36" s="1189">
        <f t="shared" si="57"/>
        <v>79.83</v>
      </c>
      <c r="AQ36" s="1189">
        <f t="shared" si="58"/>
        <v>79.83</v>
      </c>
      <c r="AR36" s="1189">
        <f t="shared" si="59"/>
        <v>79.83</v>
      </c>
      <c r="AS36" s="1189">
        <f t="shared" si="60"/>
        <v>79.83</v>
      </c>
      <c r="AT36" s="1189">
        <f t="shared" si="61"/>
        <v>79.83</v>
      </c>
      <c r="AU36" s="1189">
        <f t="shared" si="62"/>
        <v>79.83</v>
      </c>
      <c r="AV36" s="1189">
        <f t="shared" si="63"/>
        <v>79.83</v>
      </c>
      <c r="AW36" s="1189">
        <f t="shared" si="64"/>
        <v>79.83</v>
      </c>
    </row>
    <row r="37" spans="2:50" x14ac:dyDescent="0.2">
      <c r="B37" s="87"/>
      <c r="C37" s="108"/>
      <c r="D37" s="109" t="s">
        <v>96</v>
      </c>
      <c r="E37" s="110"/>
      <c r="F37" s="110" t="s">
        <v>174</v>
      </c>
      <c r="G37" s="219">
        <f t="shared" si="65"/>
        <v>1</v>
      </c>
      <c r="H37" s="220"/>
      <c r="I37" s="132">
        <v>1</v>
      </c>
      <c r="J37" s="132">
        <f t="shared" si="66"/>
        <v>1</v>
      </c>
      <c r="K37" s="132">
        <f t="shared" si="66"/>
        <v>1</v>
      </c>
      <c r="L37" s="132">
        <f t="shared" si="66"/>
        <v>1</v>
      </c>
      <c r="M37" s="132">
        <f t="shared" si="66"/>
        <v>1</v>
      </c>
      <c r="N37" s="132">
        <f t="shared" si="66"/>
        <v>1</v>
      </c>
      <c r="O37" s="132">
        <f t="shared" si="66"/>
        <v>1</v>
      </c>
      <c r="P37" s="132">
        <f t="shared" si="66"/>
        <v>1</v>
      </c>
      <c r="Q37" s="132">
        <f t="shared" si="66"/>
        <v>1</v>
      </c>
      <c r="R37" s="132">
        <f t="shared" si="66"/>
        <v>1</v>
      </c>
      <c r="S37" s="132">
        <f t="shared" si="66"/>
        <v>1</v>
      </c>
      <c r="T37" s="221">
        <f t="shared" si="66"/>
        <v>1</v>
      </c>
      <c r="V37" s="91"/>
      <c r="Y37" s="1189">
        <f t="shared" si="41"/>
        <v>1049.18</v>
      </c>
      <c r="Z37" s="1189">
        <f t="shared" si="42"/>
        <v>1049.18</v>
      </c>
      <c r="AA37" s="1189">
        <f t="shared" si="43"/>
        <v>1049.18</v>
      </c>
      <c r="AB37" s="1189">
        <f t="shared" si="44"/>
        <v>1049.18</v>
      </c>
      <c r="AC37" s="1189">
        <f t="shared" si="45"/>
        <v>1049.18</v>
      </c>
      <c r="AD37" s="1189">
        <f t="shared" si="46"/>
        <v>1049.18</v>
      </c>
      <c r="AE37" s="1189">
        <f t="shared" si="47"/>
        <v>1049.18</v>
      </c>
      <c r="AF37" s="1189">
        <f t="shared" si="48"/>
        <v>1049.18</v>
      </c>
      <c r="AG37" s="1189">
        <f t="shared" si="49"/>
        <v>1049.18</v>
      </c>
      <c r="AH37" s="1189">
        <f t="shared" si="50"/>
        <v>1049.18</v>
      </c>
      <c r="AI37" s="1189">
        <f t="shared" si="51"/>
        <v>1049.18</v>
      </c>
      <c r="AJ37" s="1189">
        <f t="shared" si="52"/>
        <v>1049.18</v>
      </c>
      <c r="AL37" s="1189">
        <f t="shared" si="53"/>
        <v>84.58</v>
      </c>
      <c r="AM37" s="1189">
        <f t="shared" si="54"/>
        <v>84.58</v>
      </c>
      <c r="AN37" s="1189">
        <f t="shared" si="55"/>
        <v>84.58</v>
      </c>
      <c r="AO37" s="1189">
        <f t="shared" si="56"/>
        <v>84.58</v>
      </c>
      <c r="AP37" s="1189">
        <f t="shared" si="57"/>
        <v>84.58</v>
      </c>
      <c r="AQ37" s="1189">
        <f t="shared" si="58"/>
        <v>84.58</v>
      </c>
      <c r="AR37" s="1189">
        <f t="shared" si="59"/>
        <v>84.58</v>
      </c>
      <c r="AS37" s="1189">
        <f t="shared" si="60"/>
        <v>84.58</v>
      </c>
      <c r="AT37" s="1189">
        <f t="shared" si="61"/>
        <v>84.58</v>
      </c>
      <c r="AU37" s="1189">
        <f t="shared" si="62"/>
        <v>84.58</v>
      </c>
      <c r="AV37" s="1189">
        <f t="shared" si="63"/>
        <v>84.58</v>
      </c>
      <c r="AW37" s="1189">
        <f t="shared" si="64"/>
        <v>84.58</v>
      </c>
    </row>
    <row r="38" spans="2:50" x14ac:dyDescent="0.2">
      <c r="B38" s="87"/>
      <c r="C38" s="108"/>
      <c r="D38" s="109" t="s">
        <v>97</v>
      </c>
      <c r="E38" s="110"/>
      <c r="F38" s="110" t="s">
        <v>174</v>
      </c>
      <c r="G38" s="219">
        <f t="shared" si="65"/>
        <v>1</v>
      </c>
      <c r="H38" s="220"/>
      <c r="I38" s="132">
        <v>1</v>
      </c>
      <c r="J38" s="132">
        <f t="shared" si="66"/>
        <v>1</v>
      </c>
      <c r="K38" s="132">
        <f t="shared" si="66"/>
        <v>1</v>
      </c>
      <c r="L38" s="132">
        <f t="shared" si="66"/>
        <v>1</v>
      </c>
      <c r="M38" s="132">
        <f t="shared" si="66"/>
        <v>1</v>
      </c>
      <c r="N38" s="132">
        <f t="shared" si="66"/>
        <v>1</v>
      </c>
      <c r="O38" s="132">
        <f t="shared" si="66"/>
        <v>1</v>
      </c>
      <c r="P38" s="132">
        <f t="shared" si="66"/>
        <v>1</v>
      </c>
      <c r="Q38" s="132">
        <f t="shared" si="66"/>
        <v>1</v>
      </c>
      <c r="R38" s="132">
        <f t="shared" si="66"/>
        <v>1</v>
      </c>
      <c r="S38" s="132">
        <f t="shared" si="66"/>
        <v>1</v>
      </c>
      <c r="T38" s="221">
        <f t="shared" si="66"/>
        <v>1</v>
      </c>
      <c r="V38" s="91"/>
      <c r="Y38" s="1189">
        <f t="shared" si="41"/>
        <v>510.87</v>
      </c>
      <c r="Z38" s="1189">
        <f t="shared" si="42"/>
        <v>510.87</v>
      </c>
      <c r="AA38" s="1189">
        <f t="shared" si="43"/>
        <v>510.87</v>
      </c>
      <c r="AB38" s="1189">
        <f t="shared" si="44"/>
        <v>510.87</v>
      </c>
      <c r="AC38" s="1189">
        <f t="shared" si="45"/>
        <v>510.87</v>
      </c>
      <c r="AD38" s="1189">
        <f t="shared" si="46"/>
        <v>510.87</v>
      </c>
      <c r="AE38" s="1189">
        <f t="shared" si="47"/>
        <v>510.87</v>
      </c>
      <c r="AF38" s="1189">
        <f t="shared" si="48"/>
        <v>510.87</v>
      </c>
      <c r="AG38" s="1189">
        <f t="shared" si="49"/>
        <v>510.87</v>
      </c>
      <c r="AH38" s="1189">
        <f t="shared" si="50"/>
        <v>510.87</v>
      </c>
      <c r="AI38" s="1189">
        <f t="shared" si="51"/>
        <v>510.87</v>
      </c>
      <c r="AJ38" s="1189">
        <f t="shared" si="52"/>
        <v>510.87</v>
      </c>
      <c r="AL38" s="1189">
        <f t="shared" si="53"/>
        <v>84.58</v>
      </c>
      <c r="AM38" s="1189">
        <f t="shared" si="54"/>
        <v>84.58</v>
      </c>
      <c r="AN38" s="1189">
        <f t="shared" si="55"/>
        <v>84.58</v>
      </c>
      <c r="AO38" s="1189">
        <f t="shared" si="56"/>
        <v>84.58</v>
      </c>
      <c r="AP38" s="1189">
        <f t="shared" si="57"/>
        <v>84.58</v>
      </c>
      <c r="AQ38" s="1189">
        <f t="shared" si="58"/>
        <v>84.58</v>
      </c>
      <c r="AR38" s="1189">
        <f t="shared" si="59"/>
        <v>84.58</v>
      </c>
      <c r="AS38" s="1189">
        <f t="shared" si="60"/>
        <v>84.58</v>
      </c>
      <c r="AT38" s="1189">
        <f t="shared" si="61"/>
        <v>84.58</v>
      </c>
      <c r="AU38" s="1189">
        <f t="shared" si="62"/>
        <v>84.58</v>
      </c>
      <c r="AV38" s="1189">
        <f t="shared" si="63"/>
        <v>84.58</v>
      </c>
      <c r="AW38" s="1189">
        <f t="shared" si="64"/>
        <v>84.58</v>
      </c>
    </row>
    <row r="39" spans="2:50" x14ac:dyDescent="0.2">
      <c r="B39" s="87"/>
      <c r="C39" s="108"/>
      <c r="D39" s="109" t="s">
        <v>494</v>
      </c>
      <c r="E39" s="134"/>
      <c r="F39" s="110" t="s">
        <v>174</v>
      </c>
      <c r="G39" s="219">
        <f t="shared" si="65"/>
        <v>1</v>
      </c>
      <c r="H39" s="220"/>
      <c r="I39" s="132">
        <v>1</v>
      </c>
      <c r="J39" s="132">
        <f t="shared" si="66"/>
        <v>1</v>
      </c>
      <c r="K39" s="132">
        <f t="shared" si="66"/>
        <v>1</v>
      </c>
      <c r="L39" s="132">
        <f t="shared" si="66"/>
        <v>1</v>
      </c>
      <c r="M39" s="132">
        <f t="shared" si="66"/>
        <v>1</v>
      </c>
      <c r="N39" s="132">
        <f t="shared" si="66"/>
        <v>1</v>
      </c>
      <c r="O39" s="132">
        <f t="shared" si="66"/>
        <v>1</v>
      </c>
      <c r="P39" s="132">
        <f t="shared" si="66"/>
        <v>1</v>
      </c>
      <c r="Q39" s="132">
        <f t="shared" si="66"/>
        <v>1</v>
      </c>
      <c r="R39" s="132">
        <f t="shared" si="66"/>
        <v>1</v>
      </c>
      <c r="S39" s="132">
        <f t="shared" si="66"/>
        <v>1</v>
      </c>
      <c r="T39" s="221">
        <f t="shared" si="66"/>
        <v>1</v>
      </c>
      <c r="V39" s="91"/>
      <c r="Y39" s="1189">
        <f t="shared" si="41"/>
        <v>1049.18</v>
      </c>
      <c r="Z39" s="1189">
        <f t="shared" si="42"/>
        <v>1049.18</v>
      </c>
      <c r="AA39" s="1189">
        <f t="shared" si="43"/>
        <v>1049.18</v>
      </c>
      <c r="AB39" s="1189">
        <f t="shared" si="44"/>
        <v>1049.18</v>
      </c>
      <c r="AC39" s="1189">
        <f t="shared" si="45"/>
        <v>1049.18</v>
      </c>
      <c r="AD39" s="1189">
        <f t="shared" si="46"/>
        <v>1049.18</v>
      </c>
      <c r="AE39" s="1189">
        <f t="shared" si="47"/>
        <v>1049.18</v>
      </c>
      <c r="AF39" s="1189">
        <f t="shared" si="48"/>
        <v>1049.18</v>
      </c>
      <c r="AG39" s="1189">
        <f t="shared" si="49"/>
        <v>1049.18</v>
      </c>
      <c r="AH39" s="1189">
        <f t="shared" si="50"/>
        <v>1049.18</v>
      </c>
      <c r="AI39" s="1189">
        <f t="shared" si="51"/>
        <v>1049.18</v>
      </c>
      <c r="AJ39" s="1189">
        <f t="shared" si="52"/>
        <v>1049.18</v>
      </c>
      <c r="AL39" s="1189">
        <f t="shared" si="53"/>
        <v>106.74</v>
      </c>
      <c r="AM39" s="1189">
        <f t="shared" si="54"/>
        <v>106.74</v>
      </c>
      <c r="AN39" s="1189">
        <f t="shared" si="55"/>
        <v>106.74</v>
      </c>
      <c r="AO39" s="1189">
        <f t="shared" si="56"/>
        <v>106.74</v>
      </c>
      <c r="AP39" s="1189">
        <f t="shared" si="57"/>
        <v>106.74</v>
      </c>
      <c r="AQ39" s="1189">
        <f t="shared" si="58"/>
        <v>106.74</v>
      </c>
      <c r="AR39" s="1189">
        <f t="shared" si="59"/>
        <v>106.74</v>
      </c>
      <c r="AS39" s="1189">
        <f t="shared" si="60"/>
        <v>106.74</v>
      </c>
      <c r="AT39" s="1189">
        <f t="shared" si="61"/>
        <v>106.74</v>
      </c>
      <c r="AU39" s="1189">
        <f t="shared" si="62"/>
        <v>106.74</v>
      </c>
      <c r="AV39" s="1189">
        <f t="shared" si="63"/>
        <v>106.74</v>
      </c>
      <c r="AW39" s="1189">
        <f t="shared" si="64"/>
        <v>106.74</v>
      </c>
    </row>
    <row r="40" spans="2:50" x14ac:dyDescent="0.2">
      <c r="B40" s="87"/>
      <c r="C40" s="108"/>
      <c r="D40" s="109" t="s">
        <v>495</v>
      </c>
      <c r="E40" s="134"/>
      <c r="F40" s="110" t="s">
        <v>174</v>
      </c>
      <c r="G40" s="219">
        <f t="shared" si="65"/>
        <v>1</v>
      </c>
      <c r="H40" s="220"/>
      <c r="I40" s="132">
        <v>1</v>
      </c>
      <c r="J40" s="132">
        <f t="shared" si="66"/>
        <v>1</v>
      </c>
      <c r="K40" s="132">
        <f t="shared" si="66"/>
        <v>1</v>
      </c>
      <c r="L40" s="132">
        <f t="shared" si="66"/>
        <v>1</v>
      </c>
      <c r="M40" s="132">
        <f t="shared" si="66"/>
        <v>1</v>
      </c>
      <c r="N40" s="132">
        <f t="shared" si="66"/>
        <v>1</v>
      </c>
      <c r="O40" s="132">
        <f t="shared" si="66"/>
        <v>1</v>
      </c>
      <c r="P40" s="132">
        <f t="shared" si="66"/>
        <v>1</v>
      </c>
      <c r="Q40" s="132">
        <f t="shared" si="66"/>
        <v>1</v>
      </c>
      <c r="R40" s="132">
        <f t="shared" si="66"/>
        <v>1</v>
      </c>
      <c r="S40" s="132">
        <f t="shared" si="66"/>
        <v>1</v>
      </c>
      <c r="T40" s="221">
        <f t="shared" si="66"/>
        <v>1</v>
      </c>
      <c r="V40" s="91"/>
      <c r="Y40" s="1189">
        <f t="shared" si="41"/>
        <v>510.87</v>
      </c>
      <c r="Z40" s="1189">
        <f t="shared" si="42"/>
        <v>510.87</v>
      </c>
      <c r="AA40" s="1189">
        <f t="shared" si="43"/>
        <v>510.87</v>
      </c>
      <c r="AB40" s="1189">
        <f t="shared" si="44"/>
        <v>510.87</v>
      </c>
      <c r="AC40" s="1189">
        <f t="shared" si="45"/>
        <v>510.87</v>
      </c>
      <c r="AD40" s="1189">
        <f t="shared" si="46"/>
        <v>510.87</v>
      </c>
      <c r="AE40" s="1189">
        <f t="shared" si="47"/>
        <v>510.87</v>
      </c>
      <c r="AF40" s="1189">
        <f t="shared" si="48"/>
        <v>510.87</v>
      </c>
      <c r="AG40" s="1189">
        <f t="shared" si="49"/>
        <v>510.87</v>
      </c>
      <c r="AH40" s="1189">
        <f t="shared" si="50"/>
        <v>510.87</v>
      </c>
      <c r="AI40" s="1189">
        <f t="shared" si="51"/>
        <v>510.87</v>
      </c>
      <c r="AJ40" s="1189">
        <f t="shared" si="52"/>
        <v>510.87</v>
      </c>
      <c r="AL40" s="1189">
        <f t="shared" si="53"/>
        <v>90.27</v>
      </c>
      <c r="AM40" s="1189">
        <f t="shared" si="54"/>
        <v>90.27</v>
      </c>
      <c r="AN40" s="1189">
        <f t="shared" si="55"/>
        <v>90.27</v>
      </c>
      <c r="AO40" s="1189">
        <f t="shared" si="56"/>
        <v>90.27</v>
      </c>
      <c r="AP40" s="1189">
        <f t="shared" si="57"/>
        <v>90.27</v>
      </c>
      <c r="AQ40" s="1189">
        <f t="shared" si="58"/>
        <v>90.27</v>
      </c>
      <c r="AR40" s="1189">
        <f t="shared" si="59"/>
        <v>90.27</v>
      </c>
      <c r="AS40" s="1189">
        <f t="shared" si="60"/>
        <v>90.27</v>
      </c>
      <c r="AT40" s="1189">
        <f t="shared" si="61"/>
        <v>90.27</v>
      </c>
      <c r="AU40" s="1189">
        <f t="shared" si="62"/>
        <v>90.27</v>
      </c>
      <c r="AV40" s="1189">
        <f t="shared" si="63"/>
        <v>90.27</v>
      </c>
      <c r="AW40" s="1189">
        <f t="shared" si="64"/>
        <v>90.27</v>
      </c>
    </row>
    <row r="41" spans="2:50" x14ac:dyDescent="0.2">
      <c r="B41" s="87"/>
      <c r="C41" s="108"/>
      <c r="D41" s="109" t="s">
        <v>563</v>
      </c>
      <c r="E41" s="222"/>
      <c r="F41" s="110" t="s">
        <v>174</v>
      </c>
      <c r="G41" s="219">
        <f t="shared" si="65"/>
        <v>1</v>
      </c>
      <c r="H41" s="220"/>
      <c r="I41" s="132">
        <v>1</v>
      </c>
      <c r="J41" s="132">
        <f t="shared" si="66"/>
        <v>1</v>
      </c>
      <c r="K41" s="132">
        <f t="shared" si="66"/>
        <v>1</v>
      </c>
      <c r="L41" s="132">
        <f t="shared" si="66"/>
        <v>1</v>
      </c>
      <c r="M41" s="132">
        <f t="shared" si="66"/>
        <v>1</v>
      </c>
      <c r="N41" s="132">
        <f t="shared" si="66"/>
        <v>1</v>
      </c>
      <c r="O41" s="132">
        <f t="shared" si="66"/>
        <v>1</v>
      </c>
      <c r="P41" s="132">
        <f t="shared" si="66"/>
        <v>1</v>
      </c>
      <c r="Q41" s="132">
        <f t="shared" si="66"/>
        <v>1</v>
      </c>
      <c r="R41" s="132">
        <f t="shared" si="66"/>
        <v>1</v>
      </c>
      <c r="S41" s="132">
        <f t="shared" si="66"/>
        <v>1</v>
      </c>
      <c r="T41" s="221">
        <f t="shared" si="66"/>
        <v>1</v>
      </c>
      <c r="V41" s="91"/>
      <c r="Y41" s="1189">
        <f t="shared" si="41"/>
        <v>537.83000000000004</v>
      </c>
      <c r="Z41" s="1189">
        <f t="shared" si="42"/>
        <v>537.83000000000004</v>
      </c>
      <c r="AA41" s="1189">
        <f t="shared" si="43"/>
        <v>537.83000000000004</v>
      </c>
      <c r="AB41" s="1189">
        <f t="shared" si="44"/>
        <v>537.83000000000004</v>
      </c>
      <c r="AC41" s="1189">
        <f t="shared" si="45"/>
        <v>537.83000000000004</v>
      </c>
      <c r="AD41" s="1189">
        <f t="shared" si="46"/>
        <v>537.83000000000004</v>
      </c>
      <c r="AE41" s="1189">
        <f t="shared" si="47"/>
        <v>537.83000000000004</v>
      </c>
      <c r="AF41" s="1189">
        <f t="shared" si="48"/>
        <v>537.83000000000004</v>
      </c>
      <c r="AG41" s="1189">
        <f t="shared" si="49"/>
        <v>537.83000000000004</v>
      </c>
      <c r="AH41" s="1189">
        <f t="shared" si="50"/>
        <v>537.83000000000004</v>
      </c>
      <c r="AI41" s="1189">
        <f t="shared" si="51"/>
        <v>537.83000000000004</v>
      </c>
      <c r="AJ41" s="1189">
        <f t="shared" si="52"/>
        <v>537.83000000000004</v>
      </c>
      <c r="AL41" s="1189">
        <f t="shared" si="53"/>
        <v>25.58</v>
      </c>
      <c r="AM41" s="1189">
        <f t="shared" si="54"/>
        <v>25.58</v>
      </c>
      <c r="AN41" s="1189">
        <f t="shared" si="55"/>
        <v>25.58</v>
      </c>
      <c r="AO41" s="1189">
        <f t="shared" si="56"/>
        <v>25.58</v>
      </c>
      <c r="AP41" s="1189">
        <f t="shared" si="57"/>
        <v>25.58</v>
      </c>
      <c r="AQ41" s="1189">
        <f t="shared" si="58"/>
        <v>25.58</v>
      </c>
      <c r="AR41" s="1189">
        <f t="shared" si="59"/>
        <v>25.58</v>
      </c>
      <c r="AS41" s="1189">
        <f t="shared" si="60"/>
        <v>25.58</v>
      </c>
      <c r="AT41" s="1189">
        <f t="shared" si="61"/>
        <v>25.58</v>
      </c>
      <c r="AU41" s="1189">
        <f t="shared" si="62"/>
        <v>25.58</v>
      </c>
      <c r="AV41" s="1189">
        <f t="shared" si="63"/>
        <v>25.58</v>
      </c>
      <c r="AW41" s="1189">
        <f t="shared" si="64"/>
        <v>25.58</v>
      </c>
    </row>
    <row r="42" spans="2:50" s="223" customFormat="1" x14ac:dyDescent="0.2">
      <c r="B42" s="224"/>
      <c r="C42" s="225"/>
      <c r="D42" s="226" t="s">
        <v>175</v>
      </c>
      <c r="E42" s="226"/>
      <c r="F42" s="226"/>
      <c r="G42" s="227">
        <f>SUM(I42:T42)</f>
        <v>87137.520000000019</v>
      </c>
      <c r="H42" s="228"/>
      <c r="I42" s="227">
        <f>+Y42</f>
        <v>7261.46</v>
      </c>
      <c r="J42" s="227">
        <f t="shared" ref="J42:T42" si="67">+Z42</f>
        <v>7261.46</v>
      </c>
      <c r="K42" s="227">
        <f t="shared" si="67"/>
        <v>7261.46</v>
      </c>
      <c r="L42" s="227">
        <f t="shared" si="67"/>
        <v>7261.46</v>
      </c>
      <c r="M42" s="227">
        <f t="shared" si="67"/>
        <v>7261.46</v>
      </c>
      <c r="N42" s="227">
        <f t="shared" si="67"/>
        <v>7261.46</v>
      </c>
      <c r="O42" s="227">
        <f t="shared" si="67"/>
        <v>7261.46</v>
      </c>
      <c r="P42" s="227">
        <f t="shared" si="67"/>
        <v>7261.46</v>
      </c>
      <c r="Q42" s="227">
        <f t="shared" si="67"/>
        <v>7261.46</v>
      </c>
      <c r="R42" s="227">
        <f t="shared" si="67"/>
        <v>7261.46</v>
      </c>
      <c r="S42" s="227">
        <f t="shared" si="67"/>
        <v>7261.46</v>
      </c>
      <c r="T42" s="229">
        <f t="shared" si="67"/>
        <v>7261.46</v>
      </c>
      <c r="V42" s="230"/>
      <c r="Y42" s="1190">
        <f>SUM(Y31:Y41)</f>
        <v>7261.46</v>
      </c>
      <c r="Z42" s="1190">
        <f t="shared" ref="Z42:AJ42" si="68">SUM(Z31:Z41)</f>
        <v>7261.46</v>
      </c>
      <c r="AA42" s="1190">
        <f t="shared" si="68"/>
        <v>7261.46</v>
      </c>
      <c r="AB42" s="1190">
        <f t="shared" si="68"/>
        <v>7261.46</v>
      </c>
      <c r="AC42" s="1190">
        <f t="shared" si="68"/>
        <v>7261.46</v>
      </c>
      <c r="AD42" s="1190">
        <f t="shared" si="68"/>
        <v>7261.46</v>
      </c>
      <c r="AE42" s="1190">
        <f t="shared" si="68"/>
        <v>7261.46</v>
      </c>
      <c r="AF42" s="1190">
        <f t="shared" si="68"/>
        <v>7261.46</v>
      </c>
      <c r="AG42" s="1190">
        <f t="shared" si="68"/>
        <v>7261.46</v>
      </c>
      <c r="AH42" s="1190">
        <f t="shared" si="68"/>
        <v>7261.46</v>
      </c>
      <c r="AI42" s="1190">
        <f t="shared" si="68"/>
        <v>7261.46</v>
      </c>
      <c r="AJ42" s="1190">
        <f t="shared" si="68"/>
        <v>7261.46</v>
      </c>
      <c r="AK42" s="1191"/>
      <c r="AL42" s="1191"/>
      <c r="AM42" s="1191"/>
      <c r="AN42" s="1191"/>
      <c r="AO42" s="1191"/>
      <c r="AP42" s="1191"/>
      <c r="AQ42" s="1191"/>
      <c r="AR42" s="1191"/>
      <c r="AS42" s="1191"/>
      <c r="AT42" s="1191"/>
      <c r="AU42" s="1191"/>
      <c r="AV42" s="1191"/>
      <c r="AW42" s="1191"/>
      <c r="AX42" s="1191"/>
    </row>
    <row r="43" spans="2:50" s="223" customFormat="1" x14ac:dyDescent="0.2">
      <c r="B43" s="224"/>
      <c r="C43" s="225"/>
      <c r="D43" s="226" t="s">
        <v>176</v>
      </c>
      <c r="E43" s="226"/>
      <c r="F43" s="226"/>
      <c r="G43" s="227">
        <f>SUM(I43:T43)</f>
        <v>10856.760000000002</v>
      </c>
      <c r="H43" s="228"/>
      <c r="I43" s="227">
        <f>+AL43</f>
        <v>904.73000000000013</v>
      </c>
      <c r="J43" s="227">
        <f t="shared" ref="J43:T43" si="69">+AM43</f>
        <v>904.73000000000013</v>
      </c>
      <c r="K43" s="227">
        <f t="shared" si="69"/>
        <v>904.73000000000013</v>
      </c>
      <c r="L43" s="227">
        <f t="shared" si="69"/>
        <v>904.73000000000013</v>
      </c>
      <c r="M43" s="227">
        <f t="shared" si="69"/>
        <v>904.73000000000013</v>
      </c>
      <c r="N43" s="227">
        <f t="shared" si="69"/>
        <v>904.73000000000013</v>
      </c>
      <c r="O43" s="227">
        <f t="shared" si="69"/>
        <v>904.73000000000013</v>
      </c>
      <c r="P43" s="227">
        <f t="shared" si="69"/>
        <v>904.73000000000013</v>
      </c>
      <c r="Q43" s="227">
        <f t="shared" si="69"/>
        <v>904.73000000000013</v>
      </c>
      <c r="R43" s="227">
        <f t="shared" si="69"/>
        <v>904.73000000000013</v>
      </c>
      <c r="S43" s="227">
        <f t="shared" si="69"/>
        <v>904.73000000000013</v>
      </c>
      <c r="T43" s="229">
        <f t="shared" si="69"/>
        <v>904.73000000000013</v>
      </c>
      <c r="V43" s="230"/>
      <c r="Y43" s="1191"/>
      <c r="Z43" s="1191"/>
      <c r="AA43" s="1191"/>
      <c r="AB43" s="1191"/>
      <c r="AC43" s="1191"/>
      <c r="AD43" s="1191"/>
      <c r="AE43" s="1191"/>
      <c r="AF43" s="1191"/>
      <c r="AG43" s="1191"/>
      <c r="AH43" s="1191"/>
      <c r="AI43" s="1191"/>
      <c r="AJ43" s="1191"/>
      <c r="AK43" s="1191"/>
      <c r="AL43" s="1190">
        <f>SUM(AL31:AL41)</f>
        <v>904.73000000000013</v>
      </c>
      <c r="AM43" s="1190">
        <f t="shared" ref="AM43:AW43" si="70">SUM(AM31:AM41)</f>
        <v>904.73000000000013</v>
      </c>
      <c r="AN43" s="1190">
        <f t="shared" si="70"/>
        <v>904.73000000000013</v>
      </c>
      <c r="AO43" s="1190">
        <f t="shared" si="70"/>
        <v>904.73000000000013</v>
      </c>
      <c r="AP43" s="1190">
        <f t="shared" si="70"/>
        <v>904.73000000000013</v>
      </c>
      <c r="AQ43" s="1190">
        <f t="shared" si="70"/>
        <v>904.73000000000013</v>
      </c>
      <c r="AR43" s="1190">
        <f t="shared" si="70"/>
        <v>904.73000000000013</v>
      </c>
      <c r="AS43" s="1190">
        <f t="shared" si="70"/>
        <v>904.73000000000013</v>
      </c>
      <c r="AT43" s="1190">
        <f t="shared" si="70"/>
        <v>904.73000000000013</v>
      </c>
      <c r="AU43" s="1190">
        <f t="shared" si="70"/>
        <v>904.73000000000013</v>
      </c>
      <c r="AV43" s="1190">
        <f t="shared" si="70"/>
        <v>904.73000000000013</v>
      </c>
      <c r="AW43" s="1190">
        <f t="shared" si="70"/>
        <v>904.73000000000013</v>
      </c>
      <c r="AX43" s="1191"/>
    </row>
    <row r="44" spans="2:50" x14ac:dyDescent="0.2">
      <c r="B44" s="87"/>
      <c r="C44" s="108"/>
      <c r="D44" s="147" t="s">
        <v>177</v>
      </c>
      <c r="E44" s="110"/>
      <c r="F44" s="147"/>
      <c r="G44" s="231">
        <f>SUM(G42:G43)</f>
        <v>97994.280000000028</v>
      </c>
      <c r="H44" s="232"/>
      <c r="I44" s="113"/>
      <c r="J44" s="113"/>
      <c r="K44" s="233">
        <f>SUM(K31:K41)</f>
        <v>11</v>
      </c>
      <c r="L44" s="113"/>
      <c r="M44" s="113"/>
      <c r="N44" s="113"/>
      <c r="O44" s="113"/>
      <c r="P44" s="113"/>
      <c r="Q44" s="113"/>
      <c r="R44" s="113"/>
      <c r="S44" s="113"/>
      <c r="T44" s="133"/>
      <c r="V44" s="91"/>
    </row>
    <row r="45" spans="2:50" x14ac:dyDescent="0.2">
      <c r="B45" s="87"/>
      <c r="C45" s="116"/>
      <c r="D45" s="234"/>
      <c r="E45" s="117"/>
      <c r="F45" s="117"/>
      <c r="G45" s="235"/>
      <c r="H45" s="117"/>
      <c r="I45" s="235"/>
      <c r="J45" s="235"/>
      <c r="K45" s="235"/>
      <c r="L45" s="235"/>
      <c r="M45" s="235"/>
      <c r="N45" s="235"/>
      <c r="O45" s="235"/>
      <c r="P45" s="235"/>
      <c r="Q45" s="235"/>
      <c r="R45" s="235"/>
      <c r="S45" s="235"/>
      <c r="T45" s="236"/>
      <c r="V45" s="91"/>
    </row>
    <row r="46" spans="2:50" x14ac:dyDescent="0.2">
      <c r="B46" s="87"/>
      <c r="C46" s="88"/>
      <c r="D46" s="237"/>
      <c r="E46" s="88"/>
      <c r="F46" s="88"/>
      <c r="G46" s="204"/>
      <c r="H46" s="88"/>
      <c r="I46" s="204"/>
      <c r="J46" s="204"/>
      <c r="K46" s="204"/>
      <c r="L46" s="204"/>
      <c r="M46" s="204"/>
      <c r="N46" s="204"/>
      <c r="O46" s="204"/>
      <c r="P46" s="204"/>
      <c r="Q46" s="204"/>
      <c r="R46" s="204"/>
      <c r="S46" s="204"/>
      <c r="T46" s="204"/>
      <c r="U46" s="88"/>
      <c r="V46" s="91"/>
    </row>
    <row r="47" spans="2:50" ht="15" x14ac:dyDescent="0.25">
      <c r="B47" s="238"/>
      <c r="C47" s="239"/>
      <c r="D47" s="239"/>
      <c r="E47" s="239"/>
      <c r="F47" s="239"/>
      <c r="G47" s="240"/>
      <c r="H47" s="239"/>
      <c r="I47" s="240"/>
      <c r="J47" s="240"/>
      <c r="K47" s="240"/>
      <c r="L47" s="240"/>
      <c r="M47" s="240"/>
      <c r="N47" s="240"/>
      <c r="O47" s="240"/>
      <c r="P47" s="240"/>
      <c r="Q47" s="240"/>
      <c r="R47" s="240"/>
      <c r="S47" s="240"/>
      <c r="T47" s="240"/>
      <c r="U47" s="176"/>
      <c r="V47" s="241"/>
    </row>
    <row r="53" spans="4:21" x14ac:dyDescent="0.2">
      <c r="D53" s="242" t="s">
        <v>338</v>
      </c>
      <c r="E53" s="242"/>
      <c r="F53" s="243"/>
      <c r="G53" s="243"/>
      <c r="H53" s="244"/>
      <c r="I53" s="245">
        <f>tab!D4</f>
        <v>2013</v>
      </c>
      <c r="J53" s="245">
        <f>tab!E4</f>
        <v>2014</v>
      </c>
      <c r="K53" s="245"/>
      <c r="L53" s="245"/>
      <c r="M53" s="245"/>
      <c r="N53" s="246"/>
      <c r="U53" s="202"/>
    </row>
    <row r="54" spans="4:21" x14ac:dyDescent="0.2">
      <c r="D54" s="243"/>
      <c r="E54" s="243"/>
      <c r="F54" s="243"/>
      <c r="G54" s="243"/>
      <c r="H54" s="243"/>
      <c r="I54" s="243"/>
      <c r="J54" s="247"/>
      <c r="K54" s="243"/>
      <c r="L54" s="243"/>
      <c r="M54" s="243"/>
      <c r="N54" s="248"/>
      <c r="U54" s="202"/>
    </row>
    <row r="55" spans="4:21" x14ac:dyDescent="0.2">
      <c r="D55" s="243" t="s">
        <v>178</v>
      </c>
      <c r="E55" s="243"/>
      <c r="F55" s="243"/>
      <c r="G55" s="243"/>
      <c r="H55" s="243"/>
      <c r="I55" s="249">
        <f>SUM(N23:T23)+SUM(I42:M42)</f>
        <v>87058.209999999992</v>
      </c>
      <c r="J55" s="250">
        <f>SUM(N42:T42)</f>
        <v>50830.22</v>
      </c>
      <c r="K55" s="250"/>
      <c r="L55" s="250"/>
      <c r="M55" s="250"/>
      <c r="N55" s="251"/>
      <c r="U55" s="202"/>
    </row>
    <row r="56" spans="4:21" x14ac:dyDescent="0.2">
      <c r="D56" s="243" t="s">
        <v>179</v>
      </c>
      <c r="E56" s="243"/>
      <c r="F56" s="243"/>
      <c r="G56" s="244"/>
      <c r="H56" s="243"/>
      <c r="I56" s="249">
        <f>SUM(N24:T24)+SUM(I43:M43)</f>
        <v>10745.600000000002</v>
      </c>
      <c r="J56" s="250">
        <f>SUM(N43:T43)</f>
        <v>6333.1100000000015</v>
      </c>
      <c r="K56" s="250"/>
      <c r="L56" s="250"/>
      <c r="M56" s="250"/>
      <c r="N56" s="251"/>
      <c r="U56" s="202"/>
    </row>
  </sheetData>
  <sheetProtection password="DFB1" sheet="1" objects="1" scenarios="1"/>
  <phoneticPr fontId="0" type="noConversion"/>
  <pageMargins left="0.74803149606299213" right="0.74803149606299213" top="0.98425196850393704" bottom="0.98425196850393704" header="0.51181102362204722" footer="0.51181102362204722"/>
  <pageSetup paperSize="9" scale="54" orientation="landscape" r:id="rId1"/>
  <headerFooter alignWithMargins="0">
    <oddHeader>&amp;L&amp;"Arial,Vet"&amp;F&amp;R&amp;"Arial,Vet"&amp;A</oddHeader>
    <oddFooter>&amp;L&amp;"Arial,Vet"PO-Raad&amp;C&amp;"Arial,Vet"&amp;D&amp;R&amp;"Arial,Vet"pagina &amp;P</oddFooter>
  </headerFooter>
  <colBreaks count="1" manualBreakCount="1">
    <brk id="22"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B1:AE1335"/>
  <sheetViews>
    <sheetView showGridLines="0" zoomScale="85" zoomScaleNormal="85" zoomScaleSheetLayoutView="85" workbookViewId="0">
      <pane ySplit="10" topLeftCell="A11" activePane="bottomLeft" state="frozen"/>
      <selection activeCell="B2" sqref="B2"/>
      <selection pane="bottomLeft" activeCell="B2" sqref="B2"/>
    </sheetView>
  </sheetViews>
  <sheetFormatPr defaultColWidth="9.140625" defaultRowHeight="12.75" x14ac:dyDescent="0.2"/>
  <cols>
    <col min="1" max="1" width="3.7109375" style="80" customWidth="1"/>
    <col min="2" max="3" width="2.7109375" style="80" customWidth="1"/>
    <col min="4" max="4" width="45.7109375" style="80" customWidth="1"/>
    <col min="5" max="5" width="2.7109375" style="80" customWidth="1"/>
    <col min="6" max="6" width="8.7109375" style="80" customWidth="1"/>
    <col min="7" max="7" width="1.7109375" style="80" customWidth="1"/>
    <col min="8" max="12" width="14.85546875" style="252" customWidth="1"/>
    <col min="13" max="14" width="2.7109375" style="80" customWidth="1"/>
    <col min="15" max="15" width="14.7109375" style="80" customWidth="1"/>
    <col min="16" max="16384" width="9.140625" style="80"/>
  </cols>
  <sheetData>
    <row r="1" spans="2:20" ht="12.75" customHeight="1" x14ac:dyDescent="0.2"/>
    <row r="2" spans="2:20" s="86" customFormat="1" x14ac:dyDescent="0.2">
      <c r="B2" s="81"/>
      <c r="C2" s="82"/>
      <c r="D2" s="82"/>
      <c r="E2" s="82"/>
      <c r="F2" s="82"/>
      <c r="G2" s="82"/>
      <c r="H2" s="203"/>
      <c r="I2" s="203"/>
      <c r="J2" s="203"/>
      <c r="K2" s="203"/>
      <c r="L2" s="203"/>
      <c r="M2" s="82"/>
      <c r="N2" s="85"/>
    </row>
    <row r="3" spans="2:20" s="86" customFormat="1" x14ac:dyDescent="0.2">
      <c r="B3" s="87"/>
      <c r="C3" s="88"/>
      <c r="D3" s="88"/>
      <c r="E3" s="88"/>
      <c r="F3" s="88"/>
      <c r="G3" s="88"/>
      <c r="H3" s="204"/>
      <c r="I3" s="204"/>
      <c r="J3" s="204"/>
      <c r="K3" s="204"/>
      <c r="L3" s="204"/>
      <c r="M3" s="88"/>
      <c r="N3" s="91"/>
    </row>
    <row r="4" spans="2:20" s="92" customFormat="1" ht="18.75" x14ac:dyDescent="0.3">
      <c r="B4" s="93"/>
      <c r="C4" s="94" t="s">
        <v>594</v>
      </c>
      <c r="D4" s="94"/>
      <c r="E4" s="95"/>
      <c r="F4" s="95"/>
      <c r="G4" s="95"/>
      <c r="H4" s="253"/>
      <c r="I4" s="253"/>
      <c r="J4" s="253"/>
      <c r="K4" s="253"/>
      <c r="L4" s="253"/>
      <c r="M4" s="95"/>
      <c r="N4" s="96"/>
    </row>
    <row r="5" spans="2:20" s="97" customFormat="1" ht="18.75" x14ac:dyDescent="0.3">
      <c r="B5" s="98"/>
      <c r="C5" s="99" t="str">
        <f>geg!G12</f>
        <v>Basisschool</v>
      </c>
      <c r="D5" s="254"/>
      <c r="E5" s="100"/>
      <c r="F5" s="100"/>
      <c r="G5" s="100"/>
      <c r="H5" s="206"/>
      <c r="I5" s="206"/>
      <c r="J5" s="206"/>
      <c r="K5" s="206"/>
      <c r="L5" s="206"/>
      <c r="M5" s="100"/>
      <c r="N5" s="130"/>
    </row>
    <row r="6" spans="2:20" x14ac:dyDescent="0.2">
      <c r="B6" s="87"/>
      <c r="C6" s="88"/>
      <c r="D6" s="88"/>
      <c r="E6" s="88"/>
      <c r="F6" s="88"/>
      <c r="G6" s="88"/>
      <c r="H6" s="255"/>
      <c r="I6" s="255"/>
      <c r="J6" s="255"/>
      <c r="K6" s="255"/>
      <c r="L6" s="255"/>
      <c r="M6" s="256"/>
      <c r="N6" s="91"/>
    </row>
    <row r="7" spans="2:20" x14ac:dyDescent="0.2">
      <c r="B7" s="87"/>
      <c r="C7" s="88"/>
      <c r="D7" s="88"/>
      <c r="E7" s="88"/>
      <c r="F7" s="88"/>
      <c r="G7" s="88"/>
      <c r="H7" s="255"/>
      <c r="I7" s="255"/>
      <c r="J7" s="255"/>
      <c r="K7" s="255"/>
      <c r="L7" s="255"/>
      <c r="M7" s="256"/>
      <c r="N7" s="91"/>
    </row>
    <row r="8" spans="2:20" s="92" customFormat="1" x14ac:dyDescent="0.2">
      <c r="B8" s="120"/>
      <c r="C8" s="95"/>
      <c r="D8" s="122" t="s">
        <v>290</v>
      </c>
      <c r="E8" s="122"/>
      <c r="F8" s="122"/>
      <c r="G8" s="122"/>
      <c r="H8" s="123" t="str">
        <f>tab!D2</f>
        <v>2013/14</v>
      </c>
      <c r="I8" s="123" t="str">
        <f>tab!E2</f>
        <v>2014/15</v>
      </c>
      <c r="J8" s="123" t="str">
        <f>tab!F2</f>
        <v>2015/16</v>
      </c>
      <c r="K8" s="123" t="str">
        <f>tab!G2</f>
        <v>2016/17</v>
      </c>
      <c r="L8" s="123" t="str">
        <f>tab!H2</f>
        <v>2017/18</v>
      </c>
      <c r="M8" s="123"/>
      <c r="N8" s="96"/>
    </row>
    <row r="9" spans="2:20" s="92" customFormat="1" x14ac:dyDescent="0.2">
      <c r="B9" s="120"/>
      <c r="C9" s="95"/>
      <c r="D9" s="122" t="s">
        <v>304</v>
      </c>
      <c r="E9" s="122"/>
      <c r="F9" s="122"/>
      <c r="G9" s="122"/>
      <c r="H9" s="123">
        <f>tab!C4</f>
        <v>2012</v>
      </c>
      <c r="I9" s="123">
        <f>tab!D4</f>
        <v>2013</v>
      </c>
      <c r="J9" s="123">
        <f>tab!E4</f>
        <v>2014</v>
      </c>
      <c r="K9" s="123">
        <f>tab!F4</f>
        <v>2015</v>
      </c>
      <c r="L9" s="123">
        <f>tab!G4</f>
        <v>2016</v>
      </c>
      <c r="M9" s="123"/>
      <c r="N9" s="96"/>
      <c r="O9" s="124"/>
      <c r="P9" s="124"/>
      <c r="Q9" s="124"/>
      <c r="R9" s="124"/>
      <c r="S9" s="124"/>
      <c r="T9" s="124"/>
    </row>
    <row r="10" spans="2:20" x14ac:dyDescent="0.2">
      <c r="B10" s="87"/>
      <c r="C10" s="88"/>
      <c r="D10" s="89"/>
      <c r="E10" s="89"/>
      <c r="F10" s="89"/>
      <c r="G10" s="89"/>
      <c r="H10" s="90"/>
      <c r="I10" s="90"/>
      <c r="J10" s="90"/>
      <c r="K10" s="90"/>
      <c r="L10" s="90"/>
      <c r="M10" s="90"/>
      <c r="N10" s="91"/>
    </row>
    <row r="11" spans="2:20" x14ac:dyDescent="0.2">
      <c r="B11" s="87"/>
      <c r="C11" s="104"/>
      <c r="D11" s="105"/>
      <c r="E11" s="105"/>
      <c r="F11" s="105"/>
      <c r="G11" s="105"/>
      <c r="H11" s="210"/>
      <c r="I11" s="210"/>
      <c r="J11" s="210"/>
      <c r="K11" s="210"/>
      <c r="L11" s="210"/>
      <c r="M11" s="186"/>
      <c r="N11" s="91"/>
    </row>
    <row r="12" spans="2:20" x14ac:dyDescent="0.2">
      <c r="B12" s="87"/>
      <c r="C12" s="108"/>
      <c r="D12" s="126" t="s">
        <v>393</v>
      </c>
      <c r="E12" s="110"/>
      <c r="G12" s="110"/>
      <c r="H12" s="113"/>
      <c r="I12" s="113"/>
      <c r="J12" s="113"/>
      <c r="K12" s="113"/>
      <c r="L12" s="113"/>
      <c r="M12" s="188"/>
      <c r="N12" s="91"/>
    </row>
    <row r="13" spans="2:20" x14ac:dyDescent="0.2">
      <c r="B13" s="87"/>
      <c r="C13" s="108"/>
      <c r="D13" s="110"/>
      <c r="E13" s="110"/>
      <c r="F13" s="110"/>
      <c r="G13" s="110"/>
      <c r="H13" s="113"/>
      <c r="I13" s="113"/>
      <c r="J13" s="113"/>
      <c r="K13" s="113"/>
      <c r="L13" s="113"/>
      <c r="M13" s="188"/>
      <c r="N13" s="91"/>
    </row>
    <row r="14" spans="2:20" x14ac:dyDescent="0.2">
      <c r="B14" s="87"/>
      <c r="C14" s="108"/>
      <c r="D14" s="257" t="s">
        <v>530</v>
      </c>
      <c r="E14" s="110"/>
      <c r="F14" s="110"/>
      <c r="G14" s="110"/>
      <c r="H14" s="258">
        <f>I14</f>
        <v>42</v>
      </c>
      <c r="I14" s="258">
        <f>ROUND(IF(SUM(op!AE16:AE70)/SUM(op!K16:K70)&lt;30,30,SUM(op!AE16:AE70)/SUM(op!K16:K70)),2)</f>
        <v>42</v>
      </c>
      <c r="J14" s="258">
        <f>ROUND(IF(SUM(op!AE84:AE138)/SUM(op!K84:K138)&lt;30,30,SUM(op!AE84:AE138)/SUM(op!K84:K138)),2)</f>
        <v>43</v>
      </c>
      <c r="K14" s="258">
        <f>ROUND(IF(SUM(op!AE152:AE206)/SUM(op!K152:K206)&lt;30,30,SUM(op!AE152:AE206)/SUM(op!K152:K206)),2)</f>
        <v>44</v>
      </c>
      <c r="L14" s="258">
        <f>ROUND(IF(SUM(op!AE219:AE273)/SUM(op!K219:K273)&lt;30,30,SUM(op!AE219:AE273)/SUM(op!K219:K273)),2)</f>
        <v>45</v>
      </c>
      <c r="M14" s="188"/>
      <c r="N14" s="91"/>
    </row>
    <row r="15" spans="2:20" x14ac:dyDescent="0.2">
      <c r="B15" s="87"/>
      <c r="C15" s="108"/>
      <c r="D15" s="110"/>
      <c r="E15" s="110"/>
      <c r="F15" s="259" t="s">
        <v>231</v>
      </c>
      <c r="G15" s="110"/>
      <c r="H15" s="113"/>
      <c r="I15" s="113"/>
      <c r="J15" s="113"/>
      <c r="K15" s="113"/>
      <c r="L15" s="113"/>
      <c r="M15" s="188"/>
      <c r="N15" s="91"/>
    </row>
    <row r="16" spans="2:20" x14ac:dyDescent="0.2">
      <c r="B16" s="87"/>
      <c r="C16" s="108"/>
      <c r="D16" s="260" t="s">
        <v>27</v>
      </c>
      <c r="E16" s="110"/>
      <c r="F16" s="110"/>
      <c r="G16" s="110"/>
      <c r="H16" s="113"/>
      <c r="I16" s="113"/>
      <c r="J16" s="113"/>
      <c r="K16" s="113"/>
      <c r="L16" s="113"/>
      <c r="M16" s="188"/>
      <c r="N16" s="91"/>
    </row>
    <row r="17" spans="2:14" x14ac:dyDescent="0.2">
      <c r="B17" s="87"/>
      <c r="C17" s="108"/>
      <c r="D17" s="110" t="s">
        <v>294</v>
      </c>
      <c r="E17" s="110"/>
      <c r="F17" s="261">
        <v>0</v>
      </c>
      <c r="G17" s="110"/>
      <c r="H17" s="262">
        <f>geg!G25*(tab!$D$31+tab!$D$32*pers!H14)</f>
        <v>385843.7</v>
      </c>
      <c r="I17" s="262">
        <f>geg!H25*(tab!$E$31+tab!$E$32*pers!I14)</f>
        <v>385925.1</v>
      </c>
      <c r="J17" s="262">
        <f>geg!I25*(tab!$E$31+tab!$E$32*pers!J14)</f>
        <v>390806.9</v>
      </c>
      <c r="K17" s="262">
        <f>geg!J25*(tab!$E$31+tab!$E$32*pers!K14)</f>
        <v>395688.7</v>
      </c>
      <c r="L17" s="262">
        <f>geg!K25*(tab!$E$31+tab!$E$32*pers!L14)</f>
        <v>400570.5</v>
      </c>
      <c r="M17" s="263"/>
      <c r="N17" s="91"/>
    </row>
    <row r="18" spans="2:14" x14ac:dyDescent="0.2">
      <c r="B18" s="87"/>
      <c r="C18" s="108"/>
      <c r="D18" s="110" t="s">
        <v>295</v>
      </c>
      <c r="E18" s="110"/>
      <c r="F18" s="261">
        <v>0</v>
      </c>
      <c r="G18" s="110"/>
      <c r="H18" s="262">
        <f>geg!G26*(tab!$D$33+tab!$D$34*pers!H14)</f>
        <v>268457.2</v>
      </c>
      <c r="I18" s="262">
        <f>geg!H26*(tab!$E$33+tab!$E$34*pers!I14)</f>
        <v>268528.7</v>
      </c>
      <c r="J18" s="262">
        <f>geg!I26*(tab!$E$33+tab!$E$34*pers!J14)</f>
        <v>271925.5</v>
      </c>
      <c r="K18" s="262">
        <f>geg!J26*(tab!$E$33+tab!$E$34*pers!K14)</f>
        <v>275322.30000000005</v>
      </c>
      <c r="L18" s="262">
        <f>geg!K26*(tab!$E$33+tab!$E$34*pers!L14)</f>
        <v>278719.09999999998</v>
      </c>
      <c r="M18" s="263"/>
      <c r="N18" s="91"/>
    </row>
    <row r="19" spans="2:14" s="264" customFormat="1" x14ac:dyDescent="0.2">
      <c r="B19" s="224"/>
      <c r="C19" s="225"/>
      <c r="D19" s="110" t="s">
        <v>454</v>
      </c>
      <c r="E19" s="265"/>
      <c r="F19" s="261">
        <v>0</v>
      </c>
      <c r="G19" s="265"/>
      <c r="H19" s="262">
        <f>geg!G31*(tab!$D$35+tab!$D$36*pers!H14)</f>
        <v>0</v>
      </c>
      <c r="I19" s="262">
        <f>geg!H31*(tab!$E$35+tab!$E$36*pers!I14)</f>
        <v>0</v>
      </c>
      <c r="J19" s="262">
        <f>geg!I31*(tab!$E$35+tab!$E$36*pers!J14)</f>
        <v>0</v>
      </c>
      <c r="K19" s="262">
        <f>geg!J31*(tab!$E$35+tab!$E$36*pers!K14)</f>
        <v>0</v>
      </c>
      <c r="L19" s="262">
        <f>geg!K31*(tab!$E$35+tab!$E$36*pers!L14)</f>
        <v>0</v>
      </c>
      <c r="M19" s="266"/>
      <c r="N19" s="230"/>
    </row>
    <row r="20" spans="2:14" s="264" customFormat="1" x14ac:dyDescent="0.2">
      <c r="B20" s="224"/>
      <c r="C20" s="225"/>
      <c r="D20" s="110" t="s">
        <v>52</v>
      </c>
      <c r="E20" s="265"/>
      <c r="F20" s="261">
        <v>0</v>
      </c>
      <c r="G20" s="265"/>
      <c r="H20" s="262">
        <f>IF(geg!G27=0,0,IF(geg!G52=0,IF(geg!G33="ja",geg!G34*tab!D29,0),IF(geg!G89="ja",geg!G90*tab!D29)+IF(geg!G102="ja",geg!G103*tab!D29)+IF(geg!G115="ja",geg!G116*tab!D29)+IF(geg!G128="ja",geg!G129*tab!D29)))</f>
        <v>0</v>
      </c>
      <c r="I20" s="262">
        <f>IF(geg!H27=0,0,IF(geg!H52=0,IF(geg!H33="ja",geg!H34*tab!$E29,0),IF(geg!H89="ja",geg!H90*tab!$E29)+IF(geg!H102="ja",geg!H103*tab!$E29)+IF(geg!H115="ja",geg!H116*tab!$E29)+IF(geg!H128="ja",geg!H129*tab!$E29)))</f>
        <v>0</v>
      </c>
      <c r="J20" s="262">
        <f>IF(geg!I27=0,0,IF(geg!I52=0,IF(geg!I33="ja",geg!I34*tab!$E29,0),IF(geg!I89="ja",geg!I90*tab!$E29)+IF(geg!I102="ja",geg!I103*tab!$E29)+IF(geg!I115="ja",geg!I116*tab!$E29)+IF(geg!I128="ja",geg!I129*tab!$E29)))</f>
        <v>0</v>
      </c>
      <c r="K20" s="262">
        <f>IF(geg!J27=0,0,IF(geg!J52=0,IF(geg!J33="ja",geg!J34*tab!$E29,0),IF(geg!J89="ja",geg!J90*tab!$E29)+IF(geg!J102="ja",geg!J103*tab!$E29)+IF(geg!J115="ja",geg!J116*tab!$E29)+IF(geg!J128="ja",geg!J129*tab!$E29)))</f>
        <v>0</v>
      </c>
      <c r="L20" s="262">
        <f>IF(geg!K27=0,0,IF(geg!K52=0,IF(geg!K33="ja",geg!K34*tab!$E29,0),IF(geg!K89="ja",geg!K90*tab!$E29)+IF(geg!K102="ja",geg!K103*tab!$E29)+IF(geg!K115="ja",geg!K116*tab!$E29)+IF(geg!K128="ja",geg!K129*tab!$E29)))</f>
        <v>0</v>
      </c>
      <c r="M20" s="266"/>
      <c r="N20" s="230"/>
    </row>
    <row r="21" spans="2:14" x14ac:dyDescent="0.2">
      <c r="B21" s="87"/>
      <c r="C21" s="108"/>
      <c r="D21" s="267" t="s">
        <v>370</v>
      </c>
      <c r="E21" s="267"/>
      <c r="F21" s="261">
        <v>0</v>
      </c>
      <c r="G21" s="267"/>
      <c r="H21" s="262">
        <f>IF(geg!G27=0,0,IF(geg!G27&lt;tab!D45,tab!D26,tab!D27))</f>
        <v>36791.72</v>
      </c>
      <c r="I21" s="262">
        <f>IF(geg!H27=0,0,IF(geg!H27&lt;tab!$E$45,tab!$E$26,tab!$E$27))</f>
        <v>36791.72</v>
      </c>
      <c r="J21" s="262">
        <f>IF(geg!I27=0,0,IF(geg!I27&lt;tab!$E$45,tab!$E$26,tab!$E$27))</f>
        <v>36791.72</v>
      </c>
      <c r="K21" s="262">
        <f>IF(geg!J27=0,0,IF(geg!J27&lt;tab!$E$45,tab!$E$26,tab!$E$27))</f>
        <v>36791.72</v>
      </c>
      <c r="L21" s="262">
        <f>IF(geg!K27=0,0,IF(geg!K27&lt;tab!$E$45,tab!$E$26,tab!$E$27))</f>
        <v>36791.72</v>
      </c>
      <c r="M21" s="268"/>
      <c r="N21" s="91"/>
    </row>
    <row r="22" spans="2:14" s="269" customFormat="1" x14ac:dyDescent="0.2">
      <c r="B22" s="145"/>
      <c r="C22" s="146"/>
      <c r="D22" s="110" t="s">
        <v>317</v>
      </c>
      <c r="E22" s="110"/>
      <c r="F22" s="261">
        <v>0</v>
      </c>
      <c r="G22" s="110"/>
      <c r="H22" s="262">
        <f>IF(geg!G27=0,0,IF((tab!D39+tab!D40*pers!H14-geg!G27*(tab!D41+tab!D42*pers!H14))&lt;0,0,tab!D39+tab!D40*pers!H14-geg!G27*(tab!D41+tab!D42*pers!H14)))</f>
        <v>0</v>
      </c>
      <c r="I22" s="262">
        <f>IF(geg!H27=0,0,IF((tab!$E$39+tab!$E$40*pers!I14-geg!H27*(tab!$E$41+tab!$E$42*pers!I14))&lt;0,0,tab!$E$39+tab!$E$40*pers!I14-geg!H27*(tab!$E$41+tab!$E$42*pers!I14)))</f>
        <v>0</v>
      </c>
      <c r="J22" s="262">
        <f>IF(geg!I27=0,0,IF((tab!$E$39+tab!$E$40*pers!J14-geg!I27*(tab!$E$41+tab!$E$42*pers!J14))&lt;0,0,tab!$E$39+tab!$E$40*pers!J14-geg!I27*(tab!$E$41+tab!$E$42*pers!J14)))</f>
        <v>0</v>
      </c>
      <c r="K22" s="262">
        <f>IF(geg!J27=0,0,IF((tab!$E$39+tab!$E$40*pers!K14-geg!J27*(tab!$E$41+tab!$E$42*pers!K14))&lt;0,0,tab!$E$39+tab!$E$40*pers!K14-geg!J27*(tab!$E$41+tab!$E$42*pers!K14)))</f>
        <v>0</v>
      </c>
      <c r="L22" s="262">
        <f>IF(geg!K27=0,0,IF((tab!$E$39+tab!$E$40*pers!L14-geg!K27*(tab!$E$41+tab!$E$42*pers!L14))&lt;0,0,tab!$E$39+tab!$E$40*pers!L14-geg!K27*(tab!$E$41+tab!$E$42*pers!L14)))</f>
        <v>0</v>
      </c>
      <c r="M22" s="268"/>
      <c r="N22" s="148"/>
    </row>
    <row r="23" spans="2:14" s="269" customFormat="1" x14ac:dyDescent="0.2">
      <c r="B23" s="145"/>
      <c r="C23" s="146"/>
      <c r="D23" s="110" t="s">
        <v>516</v>
      </c>
      <c r="E23" s="110"/>
      <c r="F23" s="261">
        <v>0</v>
      </c>
      <c r="G23" s="110"/>
      <c r="H23" s="262">
        <f>IF(geg!G38="ja",(ROUND(geg!G27*2%*tab!D48,0)),0)</f>
        <v>0</v>
      </c>
      <c r="I23" s="262">
        <f>IF(geg!H38="ja",(ROUND(geg!H27*2%*tab!$E48,0)),0)</f>
        <v>0</v>
      </c>
      <c r="J23" s="262">
        <f>IF(geg!I38="ja",(ROUND(geg!I27*2%*tab!$E48,0)),0)</f>
        <v>0</v>
      </c>
      <c r="K23" s="262">
        <f>IF(geg!J38="ja",(ROUND(geg!J27*2%*tab!$E48,0)),0)</f>
        <v>0</v>
      </c>
      <c r="L23" s="262">
        <f>IF(geg!K38="ja",(ROUND(geg!K27*2%*tab!$E48,0)),0)</f>
        <v>0</v>
      </c>
      <c r="M23" s="268"/>
      <c r="N23" s="148"/>
    </row>
    <row r="24" spans="2:14" s="269" customFormat="1" ht="12.75" customHeight="1" x14ac:dyDescent="0.2">
      <c r="B24" s="145"/>
      <c r="C24" s="146"/>
      <c r="D24" s="110" t="s">
        <v>25</v>
      </c>
      <c r="E24" s="270"/>
      <c r="F24" s="261">
        <v>0</v>
      </c>
      <c r="G24" s="270"/>
      <c r="H24" s="262">
        <f>IF(geg!G84=0,0,ROUND(0.75*(SUM(H25:H28)-H22),2))</f>
        <v>0</v>
      </c>
      <c r="I24" s="262">
        <f>IF(geg!H84=0,0,ROUND(0.75*(SUM(I25:I28)-I22),2))</f>
        <v>0</v>
      </c>
      <c r="J24" s="262">
        <f>IF(geg!I84=0,0,ROUND(0.75*(SUM(J25:J28)-J22),2))</f>
        <v>0</v>
      </c>
      <c r="K24" s="262">
        <f>IF(geg!J84=0,0,ROUND(0.75*(SUM(K25:K28)-K22),2))</f>
        <v>0</v>
      </c>
      <c r="L24" s="262">
        <f>IF(geg!K84=0,0,ROUND(0.75*(SUM(L25:L28)-L22),2))</f>
        <v>0</v>
      </c>
      <c r="M24" s="268"/>
      <c r="N24" s="148"/>
    </row>
    <row r="25" spans="2:14" s="269" customFormat="1" ht="12.75" hidden="1" customHeight="1" x14ac:dyDescent="0.2">
      <c r="B25" s="145"/>
      <c r="C25" s="146"/>
      <c r="D25" s="271" t="s">
        <v>534</v>
      </c>
      <c r="E25" s="270"/>
      <c r="F25" s="270"/>
      <c r="G25" s="270"/>
      <c r="H25" s="272">
        <f>IF(geg!G84=0,0,IF((tab!D$39+tab!D$40*pers!H14-geg!G84*(tab!D$41+tab!D$42*pers!H14))&lt;0,0,tab!D$39+tab!D$40*pers!H14-geg!G84*(tab!D$41+tab!D$42*pers!H14)))</f>
        <v>0</v>
      </c>
      <c r="I25" s="272">
        <f>IF(geg!H84=0,0,IF((tab!$E$39+tab!$E$40*pers!I14-geg!H84*(tab!$E$41+tab!$E$42*pers!I14))&lt;0,0,tab!$E$39+tab!$E$40*pers!I14-geg!H84*(tab!$E$41+tab!$E$42*pers!I14)))</f>
        <v>0</v>
      </c>
      <c r="J25" s="272">
        <f>IF(geg!I84=0,0,IF((tab!$E$39+tab!$E$40*pers!J14-geg!I84*(tab!$E$41+tab!$E$42*pers!J14))&lt;0,0,tab!$E$39+tab!$E$40*pers!J14-geg!I84*(tab!$E$41+tab!$E$42*pers!J14)))</f>
        <v>0</v>
      </c>
      <c r="K25" s="272">
        <f>IF(geg!J84=0,0,IF((tab!$E$39+tab!$E$40*pers!K14-geg!J84*(tab!$E$41+tab!$E$42*pers!K14))&lt;0,0,tab!$E$39+tab!$E$40*pers!K14-geg!J84*(tab!$E$41+tab!$E$42*pers!K14)))</f>
        <v>0</v>
      </c>
      <c r="L25" s="272">
        <f>IF(geg!K84=0,0,IF((tab!$E$39+tab!$E$40*pers!L14-geg!K84*(tab!$E$41+tab!$E$42*pers!L14))&lt;0,0,tab!$E$39+tab!$E$40*pers!L14-geg!K84*(tab!$E$41+tab!$E$42*pers!L14)))</f>
        <v>0</v>
      </c>
      <c r="M25" s="268"/>
      <c r="N25" s="148"/>
    </row>
    <row r="26" spans="2:14" s="269" customFormat="1" ht="12.75" hidden="1" customHeight="1" x14ac:dyDescent="0.2">
      <c r="B26" s="145"/>
      <c r="C26" s="146"/>
      <c r="D26" s="271" t="s">
        <v>535</v>
      </c>
      <c r="E26" s="270"/>
      <c r="F26" s="270"/>
      <c r="G26" s="270"/>
      <c r="H26" s="272">
        <f>IF(geg!G97=0,0,IF((tab!D$39+tab!D$40*pers!H14-geg!G97*(tab!D$41+tab!D$42*pers!H14))&lt;0,0,tab!D$39+tab!D$40*pers!H14-geg!G97*(tab!D$41+tab!D$42*pers!H14)))</f>
        <v>0</v>
      </c>
      <c r="I26" s="272">
        <f>IF(geg!H97=0,0,IF((tab!$E$39+tab!$E$40*pers!I14-geg!H97*(tab!$E$41+tab!$E$42*pers!I14))&lt;0,0,tab!$E$39+tab!$E$40*pers!I14-geg!H97*(tab!$E$41+tab!$E$42*pers!I14)))</f>
        <v>0</v>
      </c>
      <c r="J26" s="272">
        <f>IF(geg!I97=0,0,IF((tab!$E$39+tab!$E$40*pers!J14-geg!I97*(tab!$E$41+tab!$E$42*pers!J14))&lt;0,0,tab!$E$39+tab!$E$40*pers!J14-geg!I97*(tab!$E$41+tab!$E$42*pers!J14)))</f>
        <v>0</v>
      </c>
      <c r="K26" s="272">
        <f>IF(geg!J97=0,0,IF((tab!$E$39+tab!$E$40*pers!K14-geg!J97*(tab!$E$41+tab!$E$42*pers!K14))&lt;0,0,tab!$E$39+tab!$E$40*pers!K14-geg!J97*(tab!$E$41+tab!$E$42*pers!K14)))</f>
        <v>0</v>
      </c>
      <c r="L26" s="272">
        <f>IF(geg!K97=0,0,IF((tab!$E$39+tab!$E$40*pers!L14-geg!K97*(tab!$E$41+tab!$E$42*pers!L14))&lt;0,0,tab!$E$39+tab!$E$40*pers!L14-geg!K97*(tab!$E$41+tab!$E$42*pers!L14)))</f>
        <v>0</v>
      </c>
      <c r="M26" s="268"/>
      <c r="N26" s="148"/>
    </row>
    <row r="27" spans="2:14" s="269" customFormat="1" ht="12.75" hidden="1" customHeight="1" x14ac:dyDescent="0.2">
      <c r="B27" s="145"/>
      <c r="C27" s="146"/>
      <c r="D27" s="271" t="s">
        <v>536</v>
      </c>
      <c r="E27" s="270"/>
      <c r="F27" s="270"/>
      <c r="G27" s="270"/>
      <c r="H27" s="272">
        <f>IF(geg!G110=0,0,IF((tab!D$39+tab!D$40*pers!H14-geg!G110*(tab!D$41+tab!D$42*pers!H14))&lt;0,0,tab!D$39+tab!D$40*pers!H14-geg!G110*(tab!D$41+tab!D$42*pers!H14)))</f>
        <v>0</v>
      </c>
      <c r="I27" s="272">
        <f>IF(geg!H110=0,0,IF((tab!$E$39+tab!$E$40*pers!I14-geg!H110*(tab!$E$41+tab!$E$42*pers!I14))&lt;0,0,tab!$E$39+tab!$E$40*pers!I14-geg!H110*(tab!$E$41+tab!$E$42*pers!I14)))</f>
        <v>0</v>
      </c>
      <c r="J27" s="272">
        <f>IF(geg!I110=0,0,IF((tab!$E$39+tab!$E$40*pers!J14-geg!I110*(tab!$E$41+tab!$E$42*pers!J14))&lt;0,0,tab!$E$39+tab!$E$40*pers!J14-geg!I110*(tab!$E$41+tab!$E$42*pers!J14)))</f>
        <v>0</v>
      </c>
      <c r="K27" s="272">
        <f>IF(geg!J110=0,0,IF((tab!$E$39+tab!$E$40*pers!K14-geg!J110*(tab!$E$41+tab!$E$42*pers!K14))&lt;0,0,tab!$E$39+tab!$E$40*pers!K14-geg!J110*(tab!$E$41+tab!$E$42*pers!K14)))</f>
        <v>0</v>
      </c>
      <c r="L27" s="272">
        <f>IF(geg!K110=0,0,IF((tab!$E$39+tab!$E$40*pers!L14-geg!K110*(tab!$E$41+tab!$E$42*pers!L14))&lt;0,0,tab!$E$39+tab!$E$40*pers!L14-geg!K110*(tab!$E$41+tab!$E$42*pers!L14)))</f>
        <v>0</v>
      </c>
      <c r="M27" s="268"/>
      <c r="N27" s="148"/>
    </row>
    <row r="28" spans="2:14" s="269" customFormat="1" ht="12.75" hidden="1" customHeight="1" x14ac:dyDescent="0.2">
      <c r="B28" s="145"/>
      <c r="C28" s="146"/>
      <c r="D28" s="271" t="s">
        <v>537</v>
      </c>
      <c r="E28" s="270"/>
      <c r="F28" s="270"/>
      <c r="G28" s="270"/>
      <c r="H28" s="272">
        <f>IF(geg!G123=0,0,IF((tab!D$39+tab!D$40*pers!H14-geg!G123*(tab!D$41+tab!D$42*pers!H14))&lt;0,0,tab!D$39+tab!D$40*pers!H14-geg!G123*(tab!D$41+tab!D$42*pers!H14)))</f>
        <v>0</v>
      </c>
      <c r="I28" s="272">
        <f>IF(geg!H123=0,0,IF((tab!$E$39+tab!$E$40*pers!I14-geg!H123*(tab!$E$41+tab!$E$42*pers!I14))&lt;0,0,tab!$E$39+tab!$E$40*pers!I14-geg!H123*(tab!$E$41+tab!$E$42*pers!I14)))</f>
        <v>0</v>
      </c>
      <c r="J28" s="272">
        <f>IF(geg!I123=0,0,IF((tab!$E$39+tab!$E$40*pers!J14-geg!I123*(tab!$E$41+tab!$E$42*pers!J14))&lt;0,0,tab!$E$39+tab!$E$40*pers!J14-geg!I123*(tab!$E$41+tab!$E$42*pers!J14)))</f>
        <v>0</v>
      </c>
      <c r="K28" s="272">
        <f>IF(geg!J123=0,0,IF((tab!$E$39+tab!$E$40*pers!K14-geg!J123*(tab!$E$41+tab!$E$42*pers!K14))&lt;0,0,tab!$E$39+tab!$E$40*pers!K14-geg!J123*(tab!$E$41+tab!$E$42*pers!K14)))</f>
        <v>0</v>
      </c>
      <c r="L28" s="272">
        <f>IF(geg!K123=0,0,IF((tab!$E$39+tab!$E$40*pers!L14-geg!K123*(tab!$E$41+tab!$E$42*pers!L14))&lt;0,0,tab!$E$39+tab!$E$40*pers!L14-geg!K123*(tab!$E$41+tab!$E$42*pers!L14)))</f>
        <v>0</v>
      </c>
      <c r="M28" s="268"/>
      <c r="N28" s="148"/>
    </row>
    <row r="29" spans="2:14" s="269" customFormat="1" ht="12.75" customHeight="1" x14ac:dyDescent="0.2">
      <c r="B29" s="145"/>
      <c r="C29" s="146"/>
      <c r="D29" s="110" t="s">
        <v>696</v>
      </c>
      <c r="E29" s="270"/>
      <c r="F29" s="261">
        <v>0</v>
      </c>
      <c r="G29" s="270"/>
      <c r="H29" s="262">
        <f>H30-(SUM(H17:H24))</f>
        <v>0</v>
      </c>
      <c r="I29" s="262">
        <f>I30-(SUM(I17:I24))</f>
        <v>0</v>
      </c>
      <c r="J29" s="262">
        <f>J30-(SUM(J17:J24))</f>
        <v>0</v>
      </c>
      <c r="K29" s="262">
        <f>K30-(SUM(K17:K24))</f>
        <v>0</v>
      </c>
      <c r="L29" s="262">
        <f>L30-(SUM(L17:L24))</f>
        <v>0</v>
      </c>
      <c r="M29" s="268"/>
      <c r="N29" s="148"/>
    </row>
    <row r="30" spans="2:14" s="86" customFormat="1" x14ac:dyDescent="0.2">
      <c r="B30" s="87"/>
      <c r="C30" s="108"/>
      <c r="D30" s="226"/>
      <c r="E30" s="110"/>
      <c r="F30" s="273"/>
      <c r="G30" s="110"/>
      <c r="H30" s="274">
        <f>IF(geg!G27=0,0,IF(SUM(H17:H24)&lt;(tab!D43+tab!D44*pers!H14),(tab!D43+tab!D44*pers!H14),SUM(H17:H24)))</f>
        <v>691092.62</v>
      </c>
      <c r="I30" s="274">
        <f>IF(geg!H27=0,0,IF(SUM(I17:I24)&lt;(tab!$E43+tab!$E44*pers!I14),(tab!$E43+tab!$E44*pers!I14),SUM(I17:I24)))</f>
        <v>691245.52</v>
      </c>
      <c r="J30" s="274">
        <f>IF(geg!I27=0,0,IF(SUM(J17:J24)&lt;(tab!$E43+tab!$E44*pers!J14),(tab!$E43+tab!$E44*pers!J14),SUM(J17:J24)))</f>
        <v>699524.12</v>
      </c>
      <c r="K30" s="274">
        <f>IF(geg!J27=0,0,IF(SUM(K17:K24)&lt;(tab!$E43+tab!$E44*pers!K14),(tab!$E43+tab!$E44*pers!K14),SUM(K17:K24)))</f>
        <v>707802.72</v>
      </c>
      <c r="L30" s="274">
        <f>IF(geg!K27=0,0,IF(SUM(L17:L24)&lt;(tab!$E43+tab!$E44*pers!L14),(tab!$E43+tab!$E44*pers!L14),SUM(L17:L24)))</f>
        <v>716081.32</v>
      </c>
      <c r="M30" s="263"/>
      <c r="N30" s="91"/>
    </row>
    <row r="31" spans="2:14" s="86" customFormat="1" x14ac:dyDescent="0.2">
      <c r="B31" s="87"/>
      <c r="C31" s="275"/>
      <c r="D31" s="165" t="s">
        <v>513</v>
      </c>
      <c r="E31" s="276"/>
      <c r="F31" s="273"/>
      <c r="G31" s="276"/>
      <c r="H31" s="277"/>
      <c r="I31" s="277"/>
      <c r="J31" s="277"/>
      <c r="K31" s="277"/>
      <c r="L31" s="277"/>
      <c r="M31" s="114"/>
      <c r="N31" s="91"/>
    </row>
    <row r="32" spans="2:14" s="86" customFormat="1" x14ac:dyDescent="0.2">
      <c r="B32" s="87"/>
      <c r="C32" s="275"/>
      <c r="D32" s="109" t="s">
        <v>315</v>
      </c>
      <c r="E32" s="276"/>
      <c r="F32" s="261">
        <v>0</v>
      </c>
      <c r="G32" s="276"/>
      <c r="H32" s="278">
        <f>IF(geg!G27=0,0,tab!$D$113)</f>
        <v>7993.26</v>
      </c>
      <c r="I32" s="278">
        <f>IF(geg!H27=0,0,tab!$E$113)</f>
        <v>8015.48</v>
      </c>
      <c r="J32" s="278">
        <f>IF(geg!I27=0,0,tab!$E$113)</f>
        <v>8015.48</v>
      </c>
      <c r="K32" s="278">
        <f>IF(geg!J27=0,0,tab!$E$113)</f>
        <v>8015.48</v>
      </c>
      <c r="L32" s="278">
        <f>IF(geg!K27=0,0,tab!$E$113)</f>
        <v>8015.48</v>
      </c>
      <c r="M32" s="114"/>
      <c r="N32" s="91"/>
    </row>
    <row r="33" spans="2:16" s="86" customFormat="1" x14ac:dyDescent="0.2">
      <c r="B33" s="87"/>
      <c r="C33" s="108"/>
      <c r="D33" s="109" t="s">
        <v>318</v>
      </c>
      <c r="E33" s="109"/>
      <c r="F33" s="261">
        <v>0</v>
      </c>
      <c r="G33" s="109"/>
      <c r="H33" s="279">
        <f>geg!G27*tab!$D$115</f>
        <v>74542.599999999991</v>
      </c>
      <c r="I33" s="279">
        <f>geg!H27*tab!$E$115</f>
        <v>74749.399999999994</v>
      </c>
      <c r="J33" s="279">
        <f>geg!I27*tab!$E$115</f>
        <v>74749.399999999994</v>
      </c>
      <c r="K33" s="279">
        <f>geg!J27*tab!$E$115</f>
        <v>74749.399999999994</v>
      </c>
      <c r="L33" s="279">
        <f>geg!K27*tab!$E$115</f>
        <v>74749.399999999994</v>
      </c>
      <c r="M33" s="188"/>
      <c r="N33" s="91"/>
    </row>
    <row r="34" spans="2:16" s="86" customFormat="1" x14ac:dyDescent="0.2">
      <c r="B34" s="87"/>
      <c r="C34" s="108"/>
      <c r="D34" s="280" t="s">
        <v>257</v>
      </c>
      <c r="E34" s="280"/>
      <c r="F34" s="261">
        <v>0</v>
      </c>
      <c r="G34" s="280"/>
      <c r="H34" s="279">
        <f>geg!G31*tab!$D$116</f>
        <v>0</v>
      </c>
      <c r="I34" s="279">
        <f>geg!H31*tab!$E$116</f>
        <v>0</v>
      </c>
      <c r="J34" s="279">
        <f>geg!I31*tab!$E$116</f>
        <v>0</v>
      </c>
      <c r="K34" s="279">
        <f>geg!J31*tab!$E$116</f>
        <v>0</v>
      </c>
      <c r="L34" s="279">
        <f>geg!K31*tab!$E$116</f>
        <v>0</v>
      </c>
      <c r="M34" s="188"/>
      <c r="N34" s="91"/>
    </row>
    <row r="35" spans="2:16" s="86" customFormat="1" x14ac:dyDescent="0.2">
      <c r="B35" s="87"/>
      <c r="C35" s="108"/>
      <c r="D35" s="110" t="s">
        <v>289</v>
      </c>
      <c r="E35" s="110"/>
      <c r="F35" s="261">
        <v>0</v>
      </c>
      <c r="G35" s="110"/>
      <c r="H35" s="279">
        <f>IF(geg!G27=0,0,IF((tab!$D$117-tab!$D$118*geg!G27)&lt;0,0,tab!$D$117-tab!$D$118*geg!G27))</f>
        <v>0</v>
      </c>
      <c r="I35" s="279">
        <f>IF(geg!H27=0,0,IF((tab!$E$117-tab!$E$118*geg!H27)&lt;0,0,tab!$E$117-tab!$E$118*geg!H27))</f>
        <v>0</v>
      </c>
      <c r="J35" s="279">
        <f>IF(geg!I27=0,0,IF((tab!$E$117-tab!$E$118*geg!I27)&lt;0,0,tab!$E$117-tab!$E$118*geg!I27))</f>
        <v>0</v>
      </c>
      <c r="K35" s="279">
        <f>IF(geg!J27=0,0,IF((tab!$E$117-tab!$E$118*geg!J27)&lt;0,0,tab!$E$117-tab!$E$118*geg!J27))</f>
        <v>0</v>
      </c>
      <c r="L35" s="279">
        <f>IF(geg!K27=0,0,IF((tab!$E$117-tab!$E$118*geg!K27)&lt;0,0,tab!$E$117-tab!$E$118*geg!K27))</f>
        <v>0</v>
      </c>
      <c r="M35" s="188"/>
      <c r="N35" s="91"/>
    </row>
    <row r="36" spans="2:16" s="86" customFormat="1" x14ac:dyDescent="0.2">
      <c r="B36" s="87"/>
      <c r="C36" s="108"/>
      <c r="D36" s="110" t="s">
        <v>19</v>
      </c>
      <c r="E36" s="276"/>
      <c r="F36" s="261">
        <v>0</v>
      </c>
      <c r="G36" s="276"/>
      <c r="H36" s="279">
        <f>IF(geg!G27=0,0,IF(geg!G27&gt;194,0,tab!$D$114))</f>
        <v>0</v>
      </c>
      <c r="I36" s="279">
        <f>IF(geg!H27=0,0,IF(geg!H27&gt;194,0,tab!$E$114))</f>
        <v>0</v>
      </c>
      <c r="J36" s="279">
        <f>IF(geg!I27=0,0,IF(geg!I27&gt;194,0,tab!$E$114))</f>
        <v>0</v>
      </c>
      <c r="K36" s="279">
        <f>IF(geg!J27=0,0,IF(geg!J27&gt;194,0,tab!$E$114))</f>
        <v>0</v>
      </c>
      <c r="L36" s="279">
        <f>IF(geg!K27=0,0,IF(geg!K27&gt;194,0,tab!$E$114))</f>
        <v>0</v>
      </c>
      <c r="M36" s="188"/>
      <c r="N36" s="91"/>
    </row>
    <row r="37" spans="2:16" s="86" customFormat="1" x14ac:dyDescent="0.2">
      <c r="B37" s="87"/>
      <c r="C37" s="191"/>
      <c r="D37" s="226"/>
      <c r="E37" s="134"/>
      <c r="F37" s="273"/>
      <c r="G37" s="134"/>
      <c r="H37" s="281">
        <f>SUM(H32:H36)</f>
        <v>82535.859999999986</v>
      </c>
      <c r="I37" s="281">
        <f>SUM(I32:I36)</f>
        <v>82764.87999999999</v>
      </c>
      <c r="J37" s="281">
        <f>SUM(J32:J36)</f>
        <v>82764.87999999999</v>
      </c>
      <c r="K37" s="281">
        <f>SUM(K32:K36)</f>
        <v>82764.87999999999</v>
      </c>
      <c r="L37" s="281">
        <f>SUM(L32:L36)</f>
        <v>82764.87999999999</v>
      </c>
      <c r="M37" s="282"/>
      <c r="N37" s="91"/>
    </row>
    <row r="38" spans="2:16" s="86" customFormat="1" x14ac:dyDescent="0.2">
      <c r="B38" s="87"/>
      <c r="C38" s="191"/>
      <c r="D38" s="165" t="s">
        <v>28</v>
      </c>
      <c r="E38" s="134"/>
      <c r="F38" s="273"/>
      <c r="G38" s="134"/>
      <c r="H38" s="283"/>
      <c r="I38" s="283"/>
      <c r="J38" s="283"/>
      <c r="K38" s="283"/>
      <c r="L38" s="283"/>
      <c r="M38" s="282"/>
      <c r="N38" s="91"/>
    </row>
    <row r="39" spans="2:16" s="86" customFormat="1" x14ac:dyDescent="0.2">
      <c r="B39" s="87"/>
      <c r="C39" s="191"/>
      <c r="D39" s="110" t="s">
        <v>106</v>
      </c>
      <c r="E39" s="226"/>
      <c r="F39" s="261">
        <v>0</v>
      </c>
      <c r="G39" s="226"/>
      <c r="H39" s="278">
        <f>+rugzak!G42</f>
        <v>87137.520000000019</v>
      </c>
      <c r="I39" s="284">
        <v>0</v>
      </c>
      <c r="J39" s="284">
        <v>0</v>
      </c>
      <c r="K39" s="284">
        <v>0</v>
      </c>
      <c r="L39" s="284">
        <v>0</v>
      </c>
      <c r="M39" s="282"/>
      <c r="N39" s="91"/>
    </row>
    <row r="40" spans="2:16" s="269" customFormat="1" x14ac:dyDescent="0.2">
      <c r="B40" s="145"/>
      <c r="C40" s="146"/>
      <c r="D40" s="110" t="s">
        <v>692</v>
      </c>
      <c r="E40" s="110"/>
      <c r="F40" s="261">
        <v>0</v>
      </c>
      <c r="G40" s="110"/>
      <c r="H40" s="262">
        <f>(geg!G27*tab!D51)+tab!D52</f>
        <v>21753</v>
      </c>
      <c r="I40" s="262">
        <f>(geg!H27*tab!$E$51)+tab!$E$52</f>
        <v>21753</v>
      </c>
      <c r="J40" s="262">
        <f>(geg!I27*tab!$E$51)+tab!$E$52</f>
        <v>21753</v>
      </c>
      <c r="K40" s="284">
        <f>(geg!J27*tab!$E$51)+tab!$E$52</f>
        <v>21753</v>
      </c>
      <c r="L40" s="284">
        <f>(geg!K27*tab!$E$51)+tab!$E$52</f>
        <v>21753</v>
      </c>
      <c r="M40" s="268"/>
      <c r="N40" s="148"/>
      <c r="P40" s="1179"/>
    </row>
    <row r="41" spans="2:16" s="86" customFormat="1" x14ac:dyDescent="0.2">
      <c r="B41" s="87"/>
      <c r="C41" s="191"/>
      <c r="D41" s="110" t="s">
        <v>719</v>
      </c>
      <c r="E41" s="110"/>
      <c r="F41" s="261">
        <v>0</v>
      </c>
      <c r="G41" s="110"/>
      <c r="H41" s="286">
        <v>0</v>
      </c>
      <c r="I41" s="286">
        <v>0</v>
      </c>
      <c r="J41" s="286">
        <v>0</v>
      </c>
      <c r="K41" s="286">
        <v>0</v>
      </c>
      <c r="L41" s="286">
        <v>0</v>
      </c>
      <c r="M41" s="282"/>
      <c r="N41" s="91"/>
    </row>
    <row r="42" spans="2:16" s="86" customFormat="1" x14ac:dyDescent="0.2">
      <c r="B42" s="87"/>
      <c r="C42" s="191"/>
      <c r="D42" s="110" t="s">
        <v>718</v>
      </c>
      <c r="E42" s="110"/>
      <c r="F42" s="261">
        <v>0</v>
      </c>
      <c r="G42" s="110"/>
      <c r="H42" s="1261"/>
      <c r="I42" s="286">
        <v>0</v>
      </c>
      <c r="J42" s="286">
        <v>0</v>
      </c>
      <c r="K42" s="286">
        <v>0</v>
      </c>
      <c r="L42" s="286">
        <v>0</v>
      </c>
      <c r="M42" s="282"/>
      <c r="N42" s="91"/>
    </row>
    <row r="43" spans="2:16" s="86" customFormat="1" x14ac:dyDescent="0.2">
      <c r="B43" s="87"/>
      <c r="C43" s="191"/>
      <c r="D43" s="110" t="s">
        <v>763</v>
      </c>
      <c r="E43" s="110"/>
      <c r="F43" s="261">
        <v>1</v>
      </c>
      <c r="G43" s="110"/>
      <c r="H43" s="1272">
        <f>geg!G27*tab!D62</f>
        <v>11627</v>
      </c>
      <c r="I43" s="286">
        <v>0</v>
      </c>
      <c r="J43" s="286">
        <v>0</v>
      </c>
      <c r="K43" s="286">
        <v>0</v>
      </c>
      <c r="L43" s="286">
        <v>0</v>
      </c>
      <c r="M43" s="282"/>
      <c r="N43" s="91"/>
    </row>
    <row r="44" spans="2:16" s="86" customFormat="1" x14ac:dyDescent="0.2">
      <c r="B44" s="87"/>
      <c r="C44" s="191"/>
      <c r="D44" s="285" t="s">
        <v>787</v>
      </c>
      <c r="E44" s="110"/>
      <c r="F44" s="261">
        <v>0</v>
      </c>
      <c r="G44" s="110"/>
      <c r="H44" s="1271"/>
      <c r="I44" s="286">
        <v>0</v>
      </c>
      <c r="J44" s="286">
        <v>0</v>
      </c>
      <c r="K44" s="286">
        <v>0</v>
      </c>
      <c r="L44" s="286">
        <v>0</v>
      </c>
      <c r="M44" s="282"/>
      <c r="N44" s="91"/>
    </row>
    <row r="45" spans="2:16" s="86" customFormat="1" x14ac:dyDescent="0.2">
      <c r="B45" s="87"/>
      <c r="C45" s="191"/>
      <c r="D45" s="285"/>
      <c r="E45" s="110"/>
      <c r="F45" s="261">
        <v>0</v>
      </c>
      <c r="G45" s="110"/>
      <c r="H45" s="1271">
        <v>0</v>
      </c>
      <c r="I45" s="286">
        <v>0</v>
      </c>
      <c r="J45" s="286">
        <v>0</v>
      </c>
      <c r="K45" s="286">
        <v>0</v>
      </c>
      <c r="L45" s="286">
        <v>0</v>
      </c>
      <c r="M45" s="282"/>
      <c r="N45" s="91"/>
    </row>
    <row r="46" spans="2:16" s="86" customFormat="1" x14ac:dyDescent="0.2">
      <c r="B46" s="87"/>
      <c r="C46" s="191"/>
      <c r="D46" s="109"/>
      <c r="E46" s="110"/>
      <c r="F46" s="110"/>
      <c r="G46" s="110"/>
      <c r="H46" s="281">
        <f>SUM(H39:H45)</f>
        <v>120517.52000000002</v>
      </c>
      <c r="I46" s="281">
        <f>SUM(I39:I45)</f>
        <v>21753</v>
      </c>
      <c r="J46" s="281">
        <f>SUM(J39:J45)</f>
        <v>21753</v>
      </c>
      <c r="K46" s="281">
        <f>SUM(K39:K45)</f>
        <v>21753</v>
      </c>
      <c r="L46" s="281">
        <f>SUM(L39:L45)</f>
        <v>21753</v>
      </c>
      <c r="M46" s="282"/>
      <c r="N46" s="91"/>
    </row>
    <row r="47" spans="2:16" s="86" customFormat="1" x14ac:dyDescent="0.2">
      <c r="B47" s="87"/>
      <c r="C47" s="191"/>
      <c r="D47" s="157" t="s">
        <v>30</v>
      </c>
      <c r="E47" s="134"/>
      <c r="F47" s="134"/>
      <c r="G47" s="134"/>
      <c r="H47" s="283"/>
      <c r="I47" s="283"/>
      <c r="J47" s="283"/>
      <c r="K47" s="283"/>
      <c r="L47" s="283"/>
      <c r="M47" s="282"/>
      <c r="N47" s="91"/>
    </row>
    <row r="48" spans="2:16" s="269" customFormat="1" x14ac:dyDescent="0.2">
      <c r="B48" s="145"/>
      <c r="C48" s="191"/>
      <c r="D48" s="165" t="s">
        <v>31</v>
      </c>
      <c r="E48" s="134"/>
      <c r="F48" s="134"/>
      <c r="G48" s="134"/>
      <c r="H48" s="283"/>
      <c r="I48" s="283"/>
      <c r="J48" s="283"/>
      <c r="K48" s="283"/>
      <c r="L48" s="283"/>
      <c r="M48" s="282"/>
      <c r="N48" s="148"/>
    </row>
    <row r="49" spans="2:14" s="269" customFormat="1" x14ac:dyDescent="0.2">
      <c r="B49" s="145"/>
      <c r="C49" s="191"/>
      <c r="D49" s="109" t="s">
        <v>32</v>
      </c>
      <c r="E49" s="134"/>
      <c r="F49" s="134"/>
      <c r="G49" s="134"/>
      <c r="H49" s="278">
        <f>$F17*H17+$F18*H18+$F19*H19+$F20*H20+$F21*H21+$F22*H22+$F23*H23+$F24*H24+$F29*H29+$F32*H32+$F33*H33+$F34*H34+$F35*H35+$F36*H36+$F39*H39+$F40*H40+$F41*H41+$F42*H42+$F43*H43+$F45*H45</f>
        <v>11627</v>
      </c>
      <c r="I49" s="278">
        <f>$F17*I17+$F18*I18+$F19*I19+$F20*I20+$F21*I21+$F22*I22+$F23*I23+$F24*I24+$F29*I29+$F32*I32+$F33*I33+$F34*I34+$F35*I35+$F36*I36+$F39*I39+$F40*I40+$F41*I41+$F42*I42+$F43*I43+$F45*I45</f>
        <v>0</v>
      </c>
      <c r="J49" s="278">
        <f>$F17*J17+$F18*J18+$F19*J19+$F20*J20+$F21*J21+$F22*J22+$F23*J23+$F24*J24+$F29*J29+$F32*J32+$F33*J33+$F34*J34+$F35*J35+$F36*J36+$F39*J39+$F40*J40+$F41*J41+$F42*J42+$F43*J43+$F45*J45</f>
        <v>0</v>
      </c>
      <c r="K49" s="278">
        <f>$F17*K17+$F18*K18+$F19*K19+$F20*K20+$F21*K21+$F22*K22+$F23*K23+$F24*K24+$F29*K29+$F32*K32+$F33*K33+$F34*K34+$F35*K35+$F36*K36+$F39*K39+$F40*K40+$F41*K41+$F42*K42+$F43*K43+$F45*K45</f>
        <v>0</v>
      </c>
      <c r="L49" s="278">
        <f>$F17*L17+$F18*L18+$F19*L19+$F20*L20+$F21*L21+$F22*L22+$F23*L23+$F24*L24+$F29*L29+$F32*L32+$F33*L33+$F34*L34+$F35*L35+$F36*L36+$F39*L39+$F40*L40+$F41*L41+$F42*L42+$F43*L43+$F45*L45</f>
        <v>0</v>
      </c>
      <c r="M49" s="282"/>
      <c r="N49" s="148"/>
    </row>
    <row r="50" spans="2:14" s="269" customFormat="1" x14ac:dyDescent="0.2">
      <c r="B50" s="145"/>
      <c r="C50" s="191"/>
      <c r="D50" s="285"/>
      <c r="E50" s="134"/>
      <c r="F50" s="134"/>
      <c r="G50" s="134"/>
      <c r="H50" s="286">
        <v>0</v>
      </c>
      <c r="I50" s="286">
        <v>0</v>
      </c>
      <c r="J50" s="286">
        <v>0</v>
      </c>
      <c r="K50" s="286">
        <v>0</v>
      </c>
      <c r="L50" s="286">
        <v>0</v>
      </c>
      <c r="M50" s="282"/>
      <c r="N50" s="148"/>
    </row>
    <row r="51" spans="2:14" x14ac:dyDescent="0.2">
      <c r="B51" s="87"/>
      <c r="C51" s="108"/>
      <c r="D51" s="285"/>
      <c r="E51" s="109"/>
      <c r="F51" s="109"/>
      <c r="G51" s="109"/>
      <c r="H51" s="286">
        <v>0</v>
      </c>
      <c r="I51" s="286">
        <v>0</v>
      </c>
      <c r="J51" s="286">
        <v>0</v>
      </c>
      <c r="K51" s="286">
        <v>0</v>
      </c>
      <c r="L51" s="286">
        <v>0</v>
      </c>
      <c r="M51" s="287"/>
      <c r="N51" s="91"/>
    </row>
    <row r="52" spans="2:14" x14ac:dyDescent="0.2">
      <c r="B52" s="87"/>
      <c r="C52" s="108"/>
      <c r="D52" s="285"/>
      <c r="E52" s="109"/>
      <c r="F52" s="109"/>
      <c r="G52" s="109"/>
      <c r="H52" s="286">
        <v>0</v>
      </c>
      <c r="I52" s="286">
        <v>0</v>
      </c>
      <c r="J52" s="286">
        <v>0</v>
      </c>
      <c r="K52" s="286">
        <v>0</v>
      </c>
      <c r="L52" s="286">
        <v>0</v>
      </c>
      <c r="M52" s="287"/>
      <c r="N52" s="91"/>
    </row>
    <row r="53" spans="2:14" x14ac:dyDescent="0.2">
      <c r="B53" s="87"/>
      <c r="C53" s="108"/>
      <c r="D53" s="285"/>
      <c r="E53" s="109"/>
      <c r="F53" s="109"/>
      <c r="G53" s="109"/>
      <c r="H53" s="286">
        <v>0</v>
      </c>
      <c r="I53" s="286">
        <v>0</v>
      </c>
      <c r="J53" s="286">
        <v>0</v>
      </c>
      <c r="K53" s="286">
        <v>0</v>
      </c>
      <c r="L53" s="286">
        <v>0</v>
      </c>
      <c r="M53" s="287"/>
      <c r="N53" s="91"/>
    </row>
    <row r="54" spans="2:14" s="269" customFormat="1" x14ac:dyDescent="0.2">
      <c r="B54" s="145"/>
      <c r="C54" s="191"/>
      <c r="D54" s="109"/>
      <c r="E54" s="134"/>
      <c r="F54" s="134"/>
      <c r="G54" s="134"/>
      <c r="H54" s="288">
        <f>SUM(H49:H53)</f>
        <v>11627</v>
      </c>
      <c r="I54" s="288">
        <f>SUM(I49:I53)</f>
        <v>0</v>
      </c>
      <c r="J54" s="288">
        <f>SUM(J49:J53)</f>
        <v>0</v>
      </c>
      <c r="K54" s="288">
        <f>SUM(K49:K53)</f>
        <v>0</v>
      </c>
      <c r="L54" s="288">
        <f>SUM(L49:L53)</f>
        <v>0</v>
      </c>
      <c r="M54" s="282"/>
      <c r="N54" s="148"/>
    </row>
    <row r="55" spans="2:14" s="269" customFormat="1" x14ac:dyDescent="0.2">
      <c r="B55" s="145"/>
      <c r="C55" s="191"/>
      <c r="D55" s="260" t="s">
        <v>33</v>
      </c>
      <c r="E55" s="280"/>
      <c r="F55" s="289"/>
      <c r="G55" s="110"/>
      <c r="H55" s="290"/>
      <c r="I55" s="290"/>
      <c r="J55" s="290"/>
      <c r="K55" s="290"/>
      <c r="L55" s="290"/>
      <c r="M55" s="282"/>
      <c r="N55" s="148"/>
    </row>
    <row r="56" spans="2:14" s="269" customFormat="1" x14ac:dyDescent="0.2">
      <c r="B56" s="145"/>
      <c r="C56" s="191"/>
      <c r="D56" s="285"/>
      <c r="E56" s="291"/>
      <c r="F56" s="292"/>
      <c r="G56" s="110"/>
      <c r="H56" s="286">
        <v>0</v>
      </c>
      <c r="I56" s="286">
        <v>0</v>
      </c>
      <c r="J56" s="286">
        <v>0</v>
      </c>
      <c r="K56" s="286">
        <v>0</v>
      </c>
      <c r="L56" s="286">
        <v>0</v>
      </c>
      <c r="M56" s="282"/>
      <c r="N56" s="148"/>
    </row>
    <row r="57" spans="2:14" s="269" customFormat="1" x14ac:dyDescent="0.2">
      <c r="B57" s="145"/>
      <c r="C57" s="191"/>
      <c r="D57" s="285"/>
      <c r="E57" s="280"/>
      <c r="F57" s="289"/>
      <c r="G57" s="110"/>
      <c r="H57" s="286">
        <v>0</v>
      </c>
      <c r="I57" s="286">
        <v>0</v>
      </c>
      <c r="J57" s="286">
        <v>0</v>
      </c>
      <c r="K57" s="286">
        <v>0</v>
      </c>
      <c r="L57" s="286">
        <v>0</v>
      </c>
      <c r="M57" s="282"/>
      <c r="N57" s="148"/>
    </row>
    <row r="58" spans="2:14" s="269" customFormat="1" x14ac:dyDescent="0.2">
      <c r="B58" s="145"/>
      <c r="C58" s="191"/>
      <c r="D58" s="285"/>
      <c r="E58" s="291"/>
      <c r="F58" s="292"/>
      <c r="G58" s="110"/>
      <c r="H58" s="286">
        <v>0</v>
      </c>
      <c r="I58" s="286">
        <v>0</v>
      </c>
      <c r="J58" s="286">
        <v>0</v>
      </c>
      <c r="K58" s="286">
        <v>0</v>
      </c>
      <c r="L58" s="286">
        <v>0</v>
      </c>
      <c r="M58" s="282"/>
      <c r="N58" s="148"/>
    </row>
    <row r="59" spans="2:14" s="269" customFormat="1" x14ac:dyDescent="0.2">
      <c r="B59" s="145"/>
      <c r="C59" s="191"/>
      <c r="D59" s="285"/>
      <c r="E59" s="280"/>
      <c r="F59" s="289"/>
      <c r="G59" s="110"/>
      <c r="H59" s="286">
        <v>0</v>
      </c>
      <c r="I59" s="286">
        <v>0</v>
      </c>
      <c r="J59" s="286">
        <v>0</v>
      </c>
      <c r="K59" s="286">
        <v>0</v>
      </c>
      <c r="L59" s="286">
        <v>0</v>
      </c>
      <c r="M59" s="282"/>
      <c r="N59" s="148"/>
    </row>
    <row r="60" spans="2:14" s="269" customFormat="1" x14ac:dyDescent="0.2">
      <c r="B60" s="145"/>
      <c r="C60" s="191"/>
      <c r="D60" s="285"/>
      <c r="E60" s="291"/>
      <c r="F60" s="292"/>
      <c r="G60" s="110"/>
      <c r="H60" s="286">
        <v>0</v>
      </c>
      <c r="I60" s="286">
        <v>0</v>
      </c>
      <c r="J60" s="286">
        <v>0</v>
      </c>
      <c r="K60" s="286">
        <v>0</v>
      </c>
      <c r="L60" s="286">
        <v>0</v>
      </c>
      <c r="M60" s="282"/>
      <c r="N60" s="148"/>
    </row>
    <row r="61" spans="2:14" s="269" customFormat="1" x14ac:dyDescent="0.2">
      <c r="B61" s="145"/>
      <c r="C61" s="191"/>
      <c r="D61" s="109"/>
      <c r="E61" s="134"/>
      <c r="F61" s="134"/>
      <c r="G61" s="134"/>
      <c r="H61" s="288">
        <f>SUM(H56:H60)</f>
        <v>0</v>
      </c>
      <c r="I61" s="288">
        <f>SUM(I56:I60)</f>
        <v>0</v>
      </c>
      <c r="J61" s="288">
        <f>SUM(J56:J60)</f>
        <v>0</v>
      </c>
      <c r="K61" s="288">
        <f>SUM(K56:K60)</f>
        <v>0</v>
      </c>
      <c r="L61" s="288">
        <f>SUM(L56:L60)</f>
        <v>0</v>
      </c>
      <c r="M61" s="282"/>
      <c r="N61" s="148"/>
    </row>
    <row r="62" spans="2:14" s="269" customFormat="1" x14ac:dyDescent="0.2">
      <c r="B62" s="145"/>
      <c r="C62" s="191"/>
      <c r="D62" s="110"/>
      <c r="E62" s="110"/>
      <c r="F62" s="110"/>
      <c r="G62" s="110"/>
      <c r="H62" s="113"/>
      <c r="I62" s="293"/>
      <c r="J62" s="149"/>
      <c r="K62" s="149"/>
      <c r="L62" s="149"/>
      <c r="M62" s="282"/>
      <c r="N62" s="148"/>
    </row>
    <row r="63" spans="2:14" s="269" customFormat="1" x14ac:dyDescent="0.2">
      <c r="B63" s="145"/>
      <c r="C63" s="191"/>
      <c r="D63" s="226" t="s">
        <v>34</v>
      </c>
      <c r="E63" s="265"/>
      <c r="F63" s="265"/>
      <c r="G63" s="265"/>
      <c r="H63" s="288">
        <f>H54-H61</f>
        <v>11627</v>
      </c>
      <c r="I63" s="288">
        <f>I54-I61</f>
        <v>0</v>
      </c>
      <c r="J63" s="288">
        <f>J54-J61</f>
        <v>0</v>
      </c>
      <c r="K63" s="288">
        <f>K54-K61</f>
        <v>0</v>
      </c>
      <c r="L63" s="288">
        <f>L54-L61</f>
        <v>0</v>
      </c>
      <c r="M63" s="282"/>
      <c r="N63" s="148"/>
    </row>
    <row r="64" spans="2:14" s="269" customFormat="1" x14ac:dyDescent="0.2">
      <c r="B64" s="145"/>
      <c r="C64" s="191"/>
      <c r="D64" s="134"/>
      <c r="E64" s="134"/>
      <c r="F64" s="134"/>
      <c r="G64" s="134"/>
      <c r="H64" s="283"/>
      <c r="I64" s="283"/>
      <c r="J64" s="283"/>
      <c r="K64" s="283"/>
      <c r="L64" s="283"/>
      <c r="M64" s="282"/>
      <c r="N64" s="148"/>
    </row>
    <row r="65" spans="2:14" s="269" customFormat="1" x14ac:dyDescent="0.2">
      <c r="B65" s="145"/>
      <c r="C65" s="191"/>
      <c r="D65" s="134"/>
      <c r="E65" s="134"/>
      <c r="F65" s="134"/>
      <c r="G65" s="134"/>
      <c r="H65" s="283"/>
      <c r="I65" s="283"/>
      <c r="J65" s="283"/>
      <c r="K65" s="283"/>
      <c r="L65" s="283"/>
      <c r="M65" s="282"/>
      <c r="N65" s="148"/>
    </row>
    <row r="66" spans="2:14" x14ac:dyDescent="0.2">
      <c r="B66" s="87"/>
      <c r="C66" s="191"/>
      <c r="D66" s="134" t="s">
        <v>434</v>
      </c>
      <c r="E66" s="134"/>
      <c r="F66" s="134"/>
      <c r="G66" s="134"/>
      <c r="H66" s="294">
        <f>H30+H37+H46-H63</f>
        <v>882519</v>
      </c>
      <c r="I66" s="294">
        <f>I30+I37+I46-I63</f>
        <v>795763.4</v>
      </c>
      <c r="J66" s="294">
        <f>J30+J37+J46-J63</f>
        <v>804042</v>
      </c>
      <c r="K66" s="294">
        <f>K30+K37+K46-K63</f>
        <v>812320.6</v>
      </c>
      <c r="L66" s="294">
        <f>L30+L37+L46-L63</f>
        <v>820599.2</v>
      </c>
      <c r="M66" s="282"/>
      <c r="N66" s="91"/>
    </row>
    <row r="67" spans="2:14" s="86" customFormat="1" x14ac:dyDescent="0.2">
      <c r="B67" s="87"/>
      <c r="C67" s="295"/>
      <c r="D67" s="296"/>
      <c r="E67" s="296"/>
      <c r="F67" s="296"/>
      <c r="G67" s="296"/>
      <c r="H67" s="297"/>
      <c r="I67" s="297"/>
      <c r="J67" s="297"/>
      <c r="K67" s="297"/>
      <c r="L67" s="297"/>
      <c r="M67" s="298"/>
      <c r="N67" s="91"/>
    </row>
    <row r="68" spans="2:14" s="86" customFormat="1" x14ac:dyDescent="0.2">
      <c r="B68" s="87"/>
      <c r="C68" s="88"/>
      <c r="D68" s="88"/>
      <c r="E68" s="88"/>
      <c r="F68" s="88"/>
      <c r="G68" s="88"/>
      <c r="H68" s="204"/>
      <c r="I68" s="204"/>
      <c r="J68" s="204"/>
      <c r="K68" s="204"/>
      <c r="L68" s="204"/>
      <c r="M68" s="88"/>
      <c r="N68" s="91"/>
    </row>
    <row r="69" spans="2:14" s="86" customFormat="1" x14ac:dyDescent="0.2">
      <c r="B69" s="87"/>
      <c r="C69" s="184"/>
      <c r="D69" s="299"/>
      <c r="E69" s="299"/>
      <c r="F69" s="299"/>
      <c r="G69" s="299"/>
      <c r="H69" s="300"/>
      <c r="I69" s="300"/>
      <c r="J69" s="300"/>
      <c r="K69" s="300"/>
      <c r="L69" s="300"/>
      <c r="M69" s="301"/>
      <c r="N69" s="91"/>
    </row>
    <row r="70" spans="2:14" s="86" customFormat="1" x14ac:dyDescent="0.2">
      <c r="B70" s="87"/>
      <c r="C70" s="108"/>
      <c r="D70" s="126" t="s">
        <v>605</v>
      </c>
      <c r="E70" s="226"/>
      <c r="F70" s="226"/>
      <c r="G70" s="226"/>
      <c r="H70" s="144"/>
      <c r="I70" s="144"/>
      <c r="J70" s="144"/>
      <c r="K70" s="144"/>
      <c r="L70" s="290"/>
      <c r="M70" s="263"/>
      <c r="N70" s="91"/>
    </row>
    <row r="71" spans="2:14" s="86" customFormat="1" x14ac:dyDescent="0.2">
      <c r="B71" s="87"/>
      <c r="C71" s="108"/>
      <c r="D71" s="265"/>
      <c r="E71" s="226"/>
      <c r="F71" s="226"/>
      <c r="G71" s="226"/>
      <c r="H71" s="144"/>
      <c r="I71" s="144"/>
      <c r="J71" s="144"/>
      <c r="K71" s="144"/>
      <c r="L71" s="290"/>
      <c r="M71" s="263"/>
      <c r="N71" s="91"/>
    </row>
    <row r="72" spans="2:14" s="86" customFormat="1" x14ac:dyDescent="0.2">
      <c r="B72" s="87"/>
      <c r="C72" s="108"/>
      <c r="D72" s="285"/>
      <c r="E72" s="226"/>
      <c r="F72" s="226"/>
      <c r="G72" s="226"/>
      <c r="H72" s="286">
        <v>0</v>
      </c>
      <c r="I72" s="286">
        <f t="shared" ref="I72:J76" si="0">H72</f>
        <v>0</v>
      </c>
      <c r="J72" s="286">
        <f t="shared" si="0"/>
        <v>0</v>
      </c>
      <c r="K72" s="286">
        <f t="shared" ref="K72:L76" si="1">J72</f>
        <v>0</v>
      </c>
      <c r="L72" s="286">
        <f t="shared" si="1"/>
        <v>0</v>
      </c>
      <c r="M72" s="263"/>
      <c r="N72" s="91"/>
    </row>
    <row r="73" spans="2:14" s="86" customFormat="1" x14ac:dyDescent="0.2">
      <c r="B73" s="87"/>
      <c r="C73" s="108"/>
      <c r="D73" s="285"/>
      <c r="E73" s="226"/>
      <c r="F73" s="226"/>
      <c r="G73" s="226"/>
      <c r="H73" s="286">
        <v>0</v>
      </c>
      <c r="I73" s="286">
        <f t="shared" si="0"/>
        <v>0</v>
      </c>
      <c r="J73" s="286">
        <f t="shared" si="0"/>
        <v>0</v>
      </c>
      <c r="K73" s="286">
        <f t="shared" si="1"/>
        <v>0</v>
      </c>
      <c r="L73" s="286">
        <f t="shared" si="1"/>
        <v>0</v>
      </c>
      <c r="M73" s="263"/>
      <c r="N73" s="91"/>
    </row>
    <row r="74" spans="2:14" s="86" customFormat="1" x14ac:dyDescent="0.2">
      <c r="B74" s="87"/>
      <c r="C74" s="108"/>
      <c r="D74" s="285"/>
      <c r="E74" s="226"/>
      <c r="F74" s="226"/>
      <c r="G74" s="226"/>
      <c r="H74" s="286">
        <v>0</v>
      </c>
      <c r="I74" s="286">
        <f t="shared" si="0"/>
        <v>0</v>
      </c>
      <c r="J74" s="286">
        <f t="shared" si="0"/>
        <v>0</v>
      </c>
      <c r="K74" s="286">
        <f t="shared" si="1"/>
        <v>0</v>
      </c>
      <c r="L74" s="286">
        <f t="shared" si="1"/>
        <v>0</v>
      </c>
      <c r="M74" s="263"/>
      <c r="N74" s="91"/>
    </row>
    <row r="75" spans="2:14" s="86" customFormat="1" x14ac:dyDescent="0.2">
      <c r="B75" s="87"/>
      <c r="C75" s="108"/>
      <c r="D75" s="285"/>
      <c r="E75" s="226"/>
      <c r="F75" s="226"/>
      <c r="G75" s="226"/>
      <c r="H75" s="286">
        <v>0</v>
      </c>
      <c r="I75" s="286">
        <f t="shared" si="0"/>
        <v>0</v>
      </c>
      <c r="J75" s="286">
        <f t="shared" si="0"/>
        <v>0</v>
      </c>
      <c r="K75" s="286">
        <f t="shared" si="1"/>
        <v>0</v>
      </c>
      <c r="L75" s="286">
        <f t="shared" si="1"/>
        <v>0</v>
      </c>
      <c r="M75" s="263"/>
      <c r="N75" s="91"/>
    </row>
    <row r="76" spans="2:14" s="86" customFormat="1" x14ac:dyDescent="0.2">
      <c r="B76" s="87"/>
      <c r="C76" s="108"/>
      <c r="D76" s="285"/>
      <c r="E76" s="226"/>
      <c r="F76" s="226"/>
      <c r="G76" s="226"/>
      <c r="H76" s="286">
        <v>0</v>
      </c>
      <c r="I76" s="286">
        <f t="shared" si="0"/>
        <v>0</v>
      </c>
      <c r="J76" s="286">
        <f t="shared" si="0"/>
        <v>0</v>
      </c>
      <c r="K76" s="286">
        <f t="shared" si="1"/>
        <v>0</v>
      </c>
      <c r="L76" s="286">
        <f t="shared" si="1"/>
        <v>0</v>
      </c>
      <c r="M76" s="263"/>
      <c r="N76" s="91"/>
    </row>
    <row r="77" spans="2:14" s="86" customFormat="1" x14ac:dyDescent="0.2">
      <c r="B77" s="87"/>
      <c r="C77" s="108"/>
      <c r="D77" s="110"/>
      <c r="E77" s="226"/>
      <c r="F77" s="226"/>
      <c r="G77" s="226"/>
      <c r="H77" s="290"/>
      <c r="I77" s="290"/>
      <c r="J77" s="290"/>
      <c r="K77" s="290"/>
      <c r="L77" s="290"/>
      <c r="M77" s="263"/>
      <c r="N77" s="91"/>
    </row>
    <row r="78" spans="2:14" x14ac:dyDescent="0.2">
      <c r="B78" s="87"/>
      <c r="C78" s="108"/>
      <c r="D78" s="134" t="s">
        <v>434</v>
      </c>
      <c r="E78" s="147"/>
      <c r="F78" s="147"/>
      <c r="G78" s="147"/>
      <c r="H78" s="281">
        <f>SUM(H72:H76)</f>
        <v>0</v>
      </c>
      <c r="I78" s="281">
        <f>SUM(I72:I76)</f>
        <v>0</v>
      </c>
      <c r="J78" s="281">
        <f>SUM(J72:J76)</f>
        <v>0</v>
      </c>
      <c r="K78" s="281">
        <f>SUM(K72:K76)</f>
        <v>0</v>
      </c>
      <c r="L78" s="281">
        <f>SUM(L72:L76)</f>
        <v>0</v>
      </c>
      <c r="M78" s="287"/>
      <c r="N78" s="91"/>
    </row>
    <row r="79" spans="2:14" x14ac:dyDescent="0.2">
      <c r="B79" s="87"/>
      <c r="C79" s="116"/>
      <c r="D79" s="168"/>
      <c r="E79" s="168"/>
      <c r="F79" s="168"/>
      <c r="G79" s="168"/>
      <c r="H79" s="235"/>
      <c r="I79" s="235"/>
      <c r="J79" s="235"/>
      <c r="K79" s="235"/>
      <c r="L79" s="235"/>
      <c r="M79" s="302"/>
      <c r="N79" s="91"/>
    </row>
    <row r="80" spans="2:14" x14ac:dyDescent="0.2">
      <c r="B80" s="87"/>
      <c r="C80" s="88"/>
      <c r="D80" s="303"/>
      <c r="E80" s="303"/>
      <c r="F80" s="303"/>
      <c r="G80" s="303"/>
      <c r="H80" s="204"/>
      <c r="I80" s="204"/>
      <c r="J80" s="204"/>
      <c r="K80" s="204"/>
      <c r="L80" s="204"/>
      <c r="M80" s="304"/>
      <c r="N80" s="91"/>
    </row>
    <row r="81" spans="2:14" x14ac:dyDescent="0.2">
      <c r="B81" s="87"/>
      <c r="C81" s="104"/>
      <c r="D81" s="155"/>
      <c r="E81" s="155"/>
      <c r="F81" s="155"/>
      <c r="G81" s="155"/>
      <c r="H81" s="210"/>
      <c r="I81" s="210"/>
      <c r="J81" s="210"/>
      <c r="K81" s="210"/>
      <c r="L81" s="210"/>
      <c r="M81" s="305"/>
      <c r="N81" s="91"/>
    </row>
    <row r="82" spans="2:14" x14ac:dyDescent="0.2">
      <c r="B82" s="87"/>
      <c r="C82" s="108"/>
      <c r="D82" s="126" t="s">
        <v>389</v>
      </c>
      <c r="E82" s="109"/>
      <c r="F82" s="109"/>
      <c r="G82" s="109"/>
      <c r="H82" s="113"/>
      <c r="I82" s="113"/>
      <c r="J82" s="113"/>
      <c r="K82" s="113"/>
      <c r="L82" s="113"/>
      <c r="M82" s="287"/>
      <c r="N82" s="91"/>
    </row>
    <row r="83" spans="2:14" x14ac:dyDescent="0.2">
      <c r="B83" s="87"/>
      <c r="C83" s="108"/>
      <c r="D83" s="265"/>
      <c r="E83" s="109"/>
      <c r="F83" s="109"/>
      <c r="G83" s="109"/>
      <c r="H83" s="113"/>
      <c r="I83" s="113"/>
      <c r="J83" s="113"/>
      <c r="K83" s="113"/>
      <c r="L83" s="113"/>
      <c r="M83" s="287"/>
      <c r="N83" s="91"/>
    </row>
    <row r="84" spans="2:14" x14ac:dyDescent="0.2">
      <c r="B84" s="87"/>
      <c r="C84" s="108"/>
      <c r="D84" s="110" t="s">
        <v>29</v>
      </c>
      <c r="E84" s="109"/>
      <c r="F84" s="109"/>
      <c r="G84" s="109"/>
      <c r="H84" s="286">
        <v>0</v>
      </c>
      <c r="I84" s="286">
        <f t="shared" ref="I84:J90" si="2">H84</f>
        <v>0</v>
      </c>
      <c r="J84" s="286">
        <f t="shared" si="2"/>
        <v>0</v>
      </c>
      <c r="K84" s="286">
        <f t="shared" ref="K84:L90" si="3">J84</f>
        <v>0</v>
      </c>
      <c r="L84" s="286">
        <f t="shared" si="3"/>
        <v>0</v>
      </c>
      <c r="M84" s="287"/>
      <c r="N84" s="91"/>
    </row>
    <row r="85" spans="2:14" x14ac:dyDescent="0.2">
      <c r="B85" s="87"/>
      <c r="C85" s="108"/>
      <c r="D85" s="110" t="s">
        <v>484</v>
      </c>
      <c r="E85" s="109"/>
      <c r="F85" s="109"/>
      <c r="G85" s="109"/>
      <c r="H85" s="286">
        <v>0</v>
      </c>
      <c r="I85" s="286">
        <f t="shared" si="2"/>
        <v>0</v>
      </c>
      <c r="J85" s="286">
        <f t="shared" si="2"/>
        <v>0</v>
      </c>
      <c r="K85" s="286">
        <f t="shared" si="3"/>
        <v>0</v>
      </c>
      <c r="L85" s="286">
        <f t="shared" si="3"/>
        <v>0</v>
      </c>
      <c r="M85" s="287"/>
      <c r="N85" s="91"/>
    </row>
    <row r="86" spans="2:14" x14ac:dyDescent="0.2">
      <c r="B86" s="87"/>
      <c r="C86" s="108"/>
      <c r="D86" s="110" t="s">
        <v>590</v>
      </c>
      <c r="E86" s="109"/>
      <c r="F86" s="109"/>
      <c r="G86" s="109"/>
      <c r="H86" s="286">
        <v>0</v>
      </c>
      <c r="I86" s="286">
        <f t="shared" si="2"/>
        <v>0</v>
      </c>
      <c r="J86" s="286">
        <f t="shared" si="2"/>
        <v>0</v>
      </c>
      <c r="K86" s="286">
        <f t="shared" si="3"/>
        <v>0</v>
      </c>
      <c r="L86" s="286">
        <f t="shared" si="3"/>
        <v>0</v>
      </c>
      <c r="M86" s="287"/>
      <c r="N86" s="91"/>
    </row>
    <row r="87" spans="2:14" x14ac:dyDescent="0.2">
      <c r="B87" s="87"/>
      <c r="C87" s="108"/>
      <c r="D87" s="1260"/>
      <c r="E87" s="109"/>
      <c r="F87" s="109"/>
      <c r="G87" s="109"/>
      <c r="H87" s="286">
        <v>0</v>
      </c>
      <c r="I87" s="286">
        <f t="shared" si="2"/>
        <v>0</v>
      </c>
      <c r="J87" s="286">
        <f t="shared" ref="J87" si="4">I87</f>
        <v>0</v>
      </c>
      <c r="K87" s="286">
        <f t="shared" ref="K87" si="5">J87</f>
        <v>0</v>
      </c>
      <c r="L87" s="286">
        <f t="shared" ref="L87" si="6">K87</f>
        <v>0</v>
      </c>
      <c r="M87" s="287"/>
      <c r="N87" s="91"/>
    </row>
    <row r="88" spans="2:14" x14ac:dyDescent="0.2">
      <c r="B88" s="87"/>
      <c r="C88" s="108"/>
      <c r="D88" s="285"/>
      <c r="E88" s="109"/>
      <c r="F88" s="109"/>
      <c r="G88" s="109"/>
      <c r="H88" s="286">
        <v>0</v>
      </c>
      <c r="I88" s="286">
        <f t="shared" ref="I88:J89" si="7">H88</f>
        <v>0</v>
      </c>
      <c r="J88" s="286">
        <f t="shared" si="7"/>
        <v>0</v>
      </c>
      <c r="K88" s="286">
        <f t="shared" si="3"/>
        <v>0</v>
      </c>
      <c r="L88" s="286">
        <f t="shared" si="3"/>
        <v>0</v>
      </c>
      <c r="M88" s="287"/>
      <c r="N88" s="91"/>
    </row>
    <row r="89" spans="2:14" x14ac:dyDescent="0.2">
      <c r="B89" s="87"/>
      <c r="C89" s="108"/>
      <c r="D89" s="285"/>
      <c r="E89" s="109"/>
      <c r="F89" s="109"/>
      <c r="G89" s="109"/>
      <c r="H89" s="286">
        <v>0</v>
      </c>
      <c r="I89" s="286">
        <f t="shared" si="7"/>
        <v>0</v>
      </c>
      <c r="J89" s="286">
        <f t="shared" si="7"/>
        <v>0</v>
      </c>
      <c r="K89" s="286">
        <f>J89</f>
        <v>0</v>
      </c>
      <c r="L89" s="286">
        <f>K89</f>
        <v>0</v>
      </c>
      <c r="M89" s="287"/>
      <c r="N89" s="91"/>
    </row>
    <row r="90" spans="2:14" x14ac:dyDescent="0.2">
      <c r="B90" s="87"/>
      <c r="C90" s="108"/>
      <c r="D90" s="285"/>
      <c r="E90" s="109"/>
      <c r="F90" s="109"/>
      <c r="G90" s="109"/>
      <c r="H90" s="286">
        <v>0</v>
      </c>
      <c r="I90" s="286">
        <f t="shared" si="2"/>
        <v>0</v>
      </c>
      <c r="J90" s="286">
        <f t="shared" si="2"/>
        <v>0</v>
      </c>
      <c r="K90" s="286">
        <f t="shared" si="3"/>
        <v>0</v>
      </c>
      <c r="L90" s="286">
        <f t="shared" si="3"/>
        <v>0</v>
      </c>
      <c r="M90" s="287"/>
      <c r="N90" s="91"/>
    </row>
    <row r="91" spans="2:14" x14ac:dyDescent="0.2">
      <c r="B91" s="87"/>
      <c r="C91" s="108"/>
      <c r="D91" s="110"/>
      <c r="E91" s="109"/>
      <c r="F91" s="109"/>
      <c r="G91" s="109"/>
      <c r="H91" s="290"/>
      <c r="I91" s="290"/>
      <c r="J91" s="290"/>
      <c r="K91" s="290"/>
      <c r="L91" s="290"/>
      <c r="M91" s="287"/>
      <c r="N91" s="91"/>
    </row>
    <row r="92" spans="2:14" x14ac:dyDescent="0.2">
      <c r="B92" s="87"/>
      <c r="C92" s="108"/>
      <c r="D92" s="134" t="s">
        <v>434</v>
      </c>
      <c r="E92" s="147"/>
      <c r="F92" s="147"/>
      <c r="G92" s="147"/>
      <c r="H92" s="281">
        <f>SUM(H84:H90)</f>
        <v>0</v>
      </c>
      <c r="I92" s="281">
        <f>SUM(I84:I90)</f>
        <v>0</v>
      </c>
      <c r="J92" s="281">
        <f>SUM(J84:J90)</f>
        <v>0</v>
      </c>
      <c r="K92" s="281">
        <f>SUM(K84:K90)</f>
        <v>0</v>
      </c>
      <c r="L92" s="281">
        <f>SUM(L84:L90)</f>
        <v>0</v>
      </c>
      <c r="M92" s="263"/>
      <c r="N92" s="91"/>
    </row>
    <row r="93" spans="2:14" s="269" customFormat="1" x14ac:dyDescent="0.2">
      <c r="B93" s="145"/>
      <c r="C93" s="306"/>
      <c r="D93" s="117"/>
      <c r="E93" s="234"/>
      <c r="F93" s="234"/>
      <c r="G93" s="234"/>
      <c r="H93" s="307"/>
      <c r="I93" s="307"/>
      <c r="J93" s="307"/>
      <c r="K93" s="307"/>
      <c r="L93" s="308"/>
      <c r="M93" s="309"/>
      <c r="N93" s="148"/>
    </row>
    <row r="94" spans="2:14" s="269" customFormat="1" x14ac:dyDescent="0.2">
      <c r="B94" s="145"/>
      <c r="C94" s="169"/>
      <c r="D94" s="237"/>
      <c r="E94" s="237"/>
      <c r="F94" s="237"/>
      <c r="G94" s="237"/>
      <c r="H94" s="171"/>
      <c r="I94" s="171"/>
      <c r="J94" s="171"/>
      <c r="K94" s="171"/>
      <c r="L94" s="310"/>
      <c r="M94" s="311"/>
      <c r="N94" s="148"/>
    </row>
    <row r="95" spans="2:14" s="269" customFormat="1" x14ac:dyDescent="0.2">
      <c r="B95" s="145"/>
      <c r="C95" s="312"/>
      <c r="D95" s="185"/>
      <c r="E95" s="185"/>
      <c r="F95" s="185"/>
      <c r="G95" s="185"/>
      <c r="H95" s="313"/>
      <c r="I95" s="313"/>
      <c r="J95" s="313"/>
      <c r="K95" s="313"/>
      <c r="L95" s="314"/>
      <c r="M95" s="315"/>
      <c r="N95" s="148"/>
    </row>
    <row r="96" spans="2:14" s="269" customFormat="1" x14ac:dyDescent="0.2">
      <c r="B96" s="145"/>
      <c r="C96" s="146"/>
      <c r="D96" s="134" t="s">
        <v>599</v>
      </c>
      <c r="E96" s="134"/>
      <c r="F96" s="134"/>
      <c r="G96" s="134"/>
      <c r="H96" s="316">
        <f>H66+H78+H92</f>
        <v>882519</v>
      </c>
      <c r="I96" s="316">
        <f>I66+I78+I92</f>
        <v>795763.4</v>
      </c>
      <c r="J96" s="316">
        <f>J66+J78+J92</f>
        <v>804042</v>
      </c>
      <c r="K96" s="316">
        <f>K66+K78+K92</f>
        <v>812320.6</v>
      </c>
      <c r="L96" s="316">
        <f>L66+L78+L92</f>
        <v>820599.2</v>
      </c>
      <c r="M96" s="317"/>
      <c r="N96" s="148"/>
    </row>
    <row r="97" spans="2:14" s="269" customFormat="1" x14ac:dyDescent="0.2">
      <c r="B97" s="145"/>
      <c r="C97" s="306"/>
      <c r="D97" s="296"/>
      <c r="E97" s="296"/>
      <c r="F97" s="296"/>
      <c r="G97" s="296"/>
      <c r="H97" s="318"/>
      <c r="I97" s="318"/>
      <c r="J97" s="318"/>
      <c r="K97" s="318"/>
      <c r="L97" s="318"/>
      <c r="M97" s="319"/>
      <c r="N97" s="148"/>
    </row>
    <row r="98" spans="2:14" s="269" customFormat="1" x14ac:dyDescent="0.2">
      <c r="B98" s="145"/>
      <c r="C98" s="169"/>
      <c r="D98" s="320"/>
      <c r="E98" s="320"/>
      <c r="F98" s="320"/>
      <c r="G98" s="320"/>
      <c r="H98" s="321"/>
      <c r="I98" s="321"/>
      <c r="J98" s="321"/>
      <c r="K98" s="321"/>
      <c r="L98" s="321"/>
      <c r="M98" s="321"/>
      <c r="N98" s="148"/>
    </row>
    <row r="99" spans="2:14" s="269" customFormat="1" ht="15" x14ac:dyDescent="0.25">
      <c r="B99" s="172"/>
      <c r="C99" s="173"/>
      <c r="D99" s="322"/>
      <c r="E99" s="322"/>
      <c r="F99" s="322"/>
      <c r="G99" s="322"/>
      <c r="H99" s="323"/>
      <c r="I99" s="323"/>
      <c r="J99" s="323"/>
      <c r="K99" s="323"/>
      <c r="L99" s="323"/>
      <c r="M99" s="176" t="s">
        <v>629</v>
      </c>
      <c r="N99" s="177"/>
    </row>
    <row r="100" spans="2:14" s="269" customFormat="1" x14ac:dyDescent="0.2">
      <c r="B100" s="324"/>
      <c r="C100" s="325"/>
      <c r="D100" s="326"/>
      <c r="E100" s="326"/>
      <c r="F100" s="326"/>
      <c r="G100" s="326"/>
      <c r="H100" s="327"/>
      <c r="I100" s="327"/>
      <c r="J100" s="327"/>
      <c r="K100" s="327"/>
      <c r="L100" s="327"/>
      <c r="M100" s="327"/>
      <c r="N100" s="328"/>
    </row>
    <row r="101" spans="2:14" s="269" customFormat="1" x14ac:dyDescent="0.2">
      <c r="B101" s="145"/>
      <c r="C101" s="169"/>
      <c r="D101" s="320"/>
      <c r="E101" s="320"/>
      <c r="F101" s="320"/>
      <c r="G101" s="320"/>
      <c r="H101" s="321"/>
      <c r="I101" s="321"/>
      <c r="J101" s="321"/>
      <c r="K101" s="321"/>
      <c r="L101" s="321"/>
      <c r="M101" s="321"/>
      <c r="N101" s="148"/>
    </row>
    <row r="102" spans="2:14" s="269" customFormat="1" x14ac:dyDescent="0.2">
      <c r="B102" s="145"/>
      <c r="C102" s="169"/>
      <c r="D102" s="89"/>
      <c r="E102" s="89"/>
      <c r="F102" s="89"/>
      <c r="G102" s="89"/>
      <c r="H102" s="123" t="str">
        <f>H8</f>
        <v>2013/14</v>
      </c>
      <c r="I102" s="123" t="str">
        <f>I8</f>
        <v>2014/15</v>
      </c>
      <c r="J102" s="123" t="str">
        <f>J8</f>
        <v>2015/16</v>
      </c>
      <c r="K102" s="123" t="str">
        <f>K8</f>
        <v>2016/17</v>
      </c>
      <c r="L102" s="123" t="str">
        <f>L8</f>
        <v>2017/18</v>
      </c>
      <c r="M102" s="321"/>
      <c r="N102" s="148"/>
    </row>
    <row r="103" spans="2:14" s="269" customFormat="1" x14ac:dyDescent="0.2">
      <c r="B103" s="145"/>
      <c r="C103" s="169"/>
      <c r="D103" s="89"/>
      <c r="E103" s="89"/>
      <c r="F103" s="89"/>
      <c r="G103" s="89"/>
      <c r="H103" s="90"/>
      <c r="I103" s="90"/>
      <c r="J103" s="90"/>
      <c r="K103" s="90"/>
      <c r="L103" s="90"/>
      <c r="M103" s="321"/>
      <c r="N103" s="148"/>
    </row>
    <row r="104" spans="2:14" x14ac:dyDescent="0.2">
      <c r="B104" s="87"/>
      <c r="C104" s="104"/>
      <c r="D104" s="105"/>
      <c r="E104" s="105"/>
      <c r="F104" s="105"/>
      <c r="G104" s="105"/>
      <c r="H104" s="210"/>
      <c r="I104" s="210"/>
      <c r="J104" s="210"/>
      <c r="K104" s="210"/>
      <c r="L104" s="210"/>
      <c r="M104" s="186"/>
      <c r="N104" s="91"/>
    </row>
    <row r="105" spans="2:14" s="92" customFormat="1" x14ac:dyDescent="0.2">
      <c r="B105" s="120"/>
      <c r="C105" s="214"/>
      <c r="D105" s="126" t="s">
        <v>390</v>
      </c>
      <c r="E105" s="329"/>
      <c r="F105" s="329"/>
      <c r="G105" s="329"/>
      <c r="H105" s="330"/>
      <c r="I105" s="330"/>
      <c r="J105" s="330"/>
      <c r="K105" s="330"/>
      <c r="L105" s="330"/>
      <c r="M105" s="331"/>
      <c r="N105" s="96"/>
    </row>
    <row r="106" spans="2:14" s="92" customFormat="1" x14ac:dyDescent="0.2">
      <c r="B106" s="120"/>
      <c r="C106" s="214"/>
      <c r="D106" s="329"/>
      <c r="E106" s="329"/>
      <c r="F106" s="259" t="s">
        <v>112</v>
      </c>
      <c r="G106" s="329"/>
      <c r="H106" s="330"/>
      <c r="I106" s="330"/>
      <c r="J106" s="330"/>
      <c r="K106" s="330"/>
      <c r="L106" s="330"/>
      <c r="M106" s="331"/>
      <c r="N106" s="96"/>
    </row>
    <row r="107" spans="2:14" x14ac:dyDescent="0.2">
      <c r="B107" s="87"/>
      <c r="C107" s="108"/>
      <c r="D107" s="260" t="s">
        <v>726</v>
      </c>
      <c r="E107" s="110"/>
      <c r="F107" s="110"/>
      <c r="G107" s="110"/>
      <c r="H107" s="113"/>
      <c r="I107" s="113"/>
      <c r="J107" s="113"/>
      <c r="K107" s="113"/>
      <c r="L107" s="113"/>
      <c r="M107" s="188"/>
      <c r="N107" s="91"/>
    </row>
    <row r="108" spans="2:14" x14ac:dyDescent="0.2">
      <c r="B108" s="87"/>
      <c r="C108" s="108"/>
      <c r="D108" s="332" t="s">
        <v>276</v>
      </c>
      <c r="E108" s="333"/>
      <c r="F108" s="334"/>
      <c r="G108" s="333"/>
      <c r="H108" s="278">
        <f>dir!T26</f>
        <v>0</v>
      </c>
      <c r="I108" s="278">
        <f>dir!T48</f>
        <v>0</v>
      </c>
      <c r="J108" s="278">
        <f>dir!T71</f>
        <v>0</v>
      </c>
      <c r="K108" s="278">
        <f>dir!T93</f>
        <v>0</v>
      </c>
      <c r="L108" s="278">
        <f>dir!T115</f>
        <v>0</v>
      </c>
      <c r="M108" s="263"/>
      <c r="N108" s="91"/>
    </row>
    <row r="109" spans="2:14" x14ac:dyDescent="0.2">
      <c r="B109" s="87"/>
      <c r="C109" s="108"/>
      <c r="D109" s="332" t="s">
        <v>297</v>
      </c>
      <c r="E109" s="333"/>
      <c r="F109" s="334"/>
      <c r="G109" s="333"/>
      <c r="H109" s="278">
        <f>op!T71</f>
        <v>61927.710000000006</v>
      </c>
      <c r="I109" s="278">
        <f>op!T139</f>
        <v>61927.710000000006</v>
      </c>
      <c r="J109" s="278">
        <f>op!T207</f>
        <v>61927.710000000006</v>
      </c>
      <c r="K109" s="278">
        <f>op!T274</f>
        <v>61927.710000000006</v>
      </c>
      <c r="L109" s="278">
        <f>op!T341</f>
        <v>61927.710000000006</v>
      </c>
      <c r="M109" s="263"/>
      <c r="N109" s="91"/>
    </row>
    <row r="110" spans="2:14" x14ac:dyDescent="0.2">
      <c r="B110" s="87"/>
      <c r="C110" s="108"/>
      <c r="D110" s="257" t="s">
        <v>752</v>
      </c>
      <c r="E110" s="333"/>
      <c r="F110" s="334"/>
      <c r="G110" s="333"/>
      <c r="H110" s="278">
        <f>obp!T36</f>
        <v>122744.16</v>
      </c>
      <c r="I110" s="278">
        <f>obp!T68</f>
        <v>122744.16</v>
      </c>
      <c r="J110" s="278">
        <f>obp!T101</f>
        <v>122744.16</v>
      </c>
      <c r="K110" s="278">
        <f>obp!T133</f>
        <v>122744.16</v>
      </c>
      <c r="L110" s="278">
        <f>obp!T165</f>
        <v>122744.16</v>
      </c>
      <c r="M110" s="263"/>
      <c r="N110" s="91"/>
    </row>
    <row r="111" spans="2:14" x14ac:dyDescent="0.2">
      <c r="B111" s="87"/>
      <c r="C111" s="108"/>
      <c r="D111" s="335"/>
      <c r="E111" s="333"/>
      <c r="F111" s="333"/>
      <c r="G111" s="333"/>
      <c r="H111" s="336">
        <f>SUM(H108:H110)</f>
        <v>184671.87</v>
      </c>
      <c r="I111" s="336">
        <f>SUM(I108:I110)</f>
        <v>184671.87</v>
      </c>
      <c r="J111" s="336">
        <f>SUM(J108:J110)</f>
        <v>184671.87</v>
      </c>
      <c r="K111" s="336">
        <f>SUM(K108:K110)</f>
        <v>184671.87</v>
      </c>
      <c r="L111" s="336">
        <f>SUM(L108:L110)</f>
        <v>184671.87</v>
      </c>
      <c r="M111" s="266"/>
      <c r="N111" s="91"/>
    </row>
    <row r="112" spans="2:14" x14ac:dyDescent="0.2">
      <c r="B112" s="87"/>
      <c r="C112" s="191"/>
      <c r="D112" s="260" t="s">
        <v>521</v>
      </c>
      <c r="E112" s="110"/>
      <c r="F112" s="337"/>
      <c r="G112" s="110"/>
      <c r="H112" s="131"/>
      <c r="I112" s="131"/>
      <c r="J112" s="131"/>
      <c r="K112" s="131"/>
      <c r="L112" s="131"/>
      <c r="M112" s="188"/>
      <c r="N112" s="91"/>
    </row>
    <row r="113" spans="2:14" x14ac:dyDescent="0.2">
      <c r="B113" s="87"/>
      <c r="C113" s="108"/>
      <c r="D113" s="110" t="s">
        <v>100</v>
      </c>
      <c r="E113" s="110"/>
      <c r="F113" s="334"/>
      <c r="G113" s="110"/>
      <c r="H113" s="338">
        <v>0</v>
      </c>
      <c r="I113" s="338">
        <f t="shared" ref="I113:I126" si="8">H113</f>
        <v>0</v>
      </c>
      <c r="J113" s="339">
        <f t="shared" ref="J113:J126" si="9">I113</f>
        <v>0</v>
      </c>
      <c r="K113" s="339">
        <f t="shared" ref="K113:L126" si="10">J113</f>
        <v>0</v>
      </c>
      <c r="L113" s="339">
        <f t="shared" si="10"/>
        <v>0</v>
      </c>
      <c r="M113" s="340"/>
      <c r="N113" s="341"/>
    </row>
    <row r="114" spans="2:14" x14ac:dyDescent="0.2">
      <c r="B114" s="87"/>
      <c r="C114" s="108"/>
      <c r="D114" s="115"/>
      <c r="E114" s="110"/>
      <c r="F114" s="334"/>
      <c r="G114" s="110"/>
      <c r="H114" s="286">
        <v>0</v>
      </c>
      <c r="I114" s="286">
        <f t="shared" si="8"/>
        <v>0</v>
      </c>
      <c r="J114" s="342">
        <f t="shared" si="9"/>
        <v>0</v>
      </c>
      <c r="K114" s="342">
        <f t="shared" si="10"/>
        <v>0</v>
      </c>
      <c r="L114" s="342">
        <f t="shared" si="10"/>
        <v>0</v>
      </c>
      <c r="M114" s="340"/>
      <c r="N114" s="341"/>
    </row>
    <row r="115" spans="2:14" x14ac:dyDescent="0.2">
      <c r="B115" s="87"/>
      <c r="C115" s="108"/>
      <c r="D115" s="115"/>
      <c r="E115" s="110"/>
      <c r="F115" s="334"/>
      <c r="G115" s="110"/>
      <c r="H115" s="286">
        <v>0</v>
      </c>
      <c r="I115" s="286">
        <f t="shared" si="8"/>
        <v>0</v>
      </c>
      <c r="J115" s="342">
        <f t="shared" si="9"/>
        <v>0</v>
      </c>
      <c r="K115" s="342">
        <f t="shared" si="10"/>
        <v>0</v>
      </c>
      <c r="L115" s="342">
        <f t="shared" si="10"/>
        <v>0</v>
      </c>
      <c r="M115" s="340"/>
      <c r="N115" s="341"/>
    </row>
    <row r="116" spans="2:14" x14ac:dyDescent="0.2">
      <c r="B116" s="87"/>
      <c r="C116" s="108"/>
      <c r="D116" s="115"/>
      <c r="E116" s="265"/>
      <c r="F116" s="334"/>
      <c r="G116" s="265"/>
      <c r="H116" s="286">
        <v>0</v>
      </c>
      <c r="I116" s="286">
        <f t="shared" si="8"/>
        <v>0</v>
      </c>
      <c r="J116" s="342">
        <f t="shared" si="9"/>
        <v>0</v>
      </c>
      <c r="K116" s="342">
        <f t="shared" si="10"/>
        <v>0</v>
      </c>
      <c r="L116" s="342">
        <f t="shared" si="10"/>
        <v>0</v>
      </c>
      <c r="M116" s="340"/>
      <c r="N116" s="341"/>
    </row>
    <row r="117" spans="2:14" x14ac:dyDescent="0.2">
      <c r="B117" s="87"/>
      <c r="C117" s="108"/>
      <c r="D117" s="115"/>
      <c r="E117" s="110"/>
      <c r="F117" s="334"/>
      <c r="G117" s="110"/>
      <c r="H117" s="343">
        <v>0</v>
      </c>
      <c r="I117" s="286">
        <f t="shared" si="8"/>
        <v>0</v>
      </c>
      <c r="J117" s="342">
        <f t="shared" si="9"/>
        <v>0</v>
      </c>
      <c r="K117" s="342">
        <f t="shared" si="10"/>
        <v>0</v>
      </c>
      <c r="L117" s="342">
        <f t="shared" si="10"/>
        <v>0</v>
      </c>
      <c r="M117" s="340"/>
      <c r="N117" s="341"/>
    </row>
    <row r="118" spans="2:14" x14ac:dyDescent="0.2">
      <c r="B118" s="87"/>
      <c r="C118" s="108"/>
      <c r="D118" s="115"/>
      <c r="E118" s="110"/>
      <c r="F118" s="334"/>
      <c r="G118" s="110"/>
      <c r="H118" s="343">
        <v>0</v>
      </c>
      <c r="I118" s="286">
        <f t="shared" si="8"/>
        <v>0</v>
      </c>
      <c r="J118" s="342">
        <f t="shared" si="9"/>
        <v>0</v>
      </c>
      <c r="K118" s="342">
        <f t="shared" si="10"/>
        <v>0</v>
      </c>
      <c r="L118" s="342">
        <f t="shared" si="10"/>
        <v>0</v>
      </c>
      <c r="M118" s="340"/>
      <c r="N118" s="341"/>
    </row>
    <row r="119" spans="2:14" x14ac:dyDescent="0.2">
      <c r="B119" s="87"/>
      <c r="C119" s="108"/>
      <c r="D119" s="115"/>
      <c r="E119" s="110"/>
      <c r="F119" s="334"/>
      <c r="G119" s="110"/>
      <c r="H119" s="343">
        <v>0</v>
      </c>
      <c r="I119" s="286">
        <f t="shared" si="8"/>
        <v>0</v>
      </c>
      <c r="J119" s="342">
        <f t="shared" si="9"/>
        <v>0</v>
      </c>
      <c r="K119" s="342">
        <f t="shared" si="10"/>
        <v>0</v>
      </c>
      <c r="L119" s="342">
        <f t="shared" si="10"/>
        <v>0</v>
      </c>
      <c r="M119" s="340"/>
      <c r="N119" s="341"/>
    </row>
    <row r="120" spans="2:14" x14ac:dyDescent="0.2">
      <c r="B120" s="87"/>
      <c r="C120" s="108"/>
      <c r="D120" s="115"/>
      <c r="E120" s="110"/>
      <c r="F120" s="334"/>
      <c r="G120" s="110"/>
      <c r="H120" s="343">
        <v>0</v>
      </c>
      <c r="I120" s="286">
        <f t="shared" si="8"/>
        <v>0</v>
      </c>
      <c r="J120" s="342">
        <f t="shared" si="9"/>
        <v>0</v>
      </c>
      <c r="K120" s="342">
        <f t="shared" si="10"/>
        <v>0</v>
      </c>
      <c r="L120" s="342">
        <f t="shared" si="10"/>
        <v>0</v>
      </c>
      <c r="M120" s="340"/>
      <c r="N120" s="341"/>
    </row>
    <row r="121" spans="2:14" x14ac:dyDescent="0.2">
      <c r="B121" s="87"/>
      <c r="C121" s="108"/>
      <c r="D121" s="115"/>
      <c r="E121" s="110"/>
      <c r="F121" s="334"/>
      <c r="G121" s="110"/>
      <c r="H121" s="343">
        <v>0</v>
      </c>
      <c r="I121" s="286">
        <f t="shared" si="8"/>
        <v>0</v>
      </c>
      <c r="J121" s="342">
        <f t="shared" si="9"/>
        <v>0</v>
      </c>
      <c r="K121" s="342">
        <f t="shared" si="10"/>
        <v>0</v>
      </c>
      <c r="L121" s="342">
        <f t="shared" si="10"/>
        <v>0</v>
      </c>
      <c r="M121" s="340"/>
      <c r="N121" s="341"/>
    </row>
    <row r="122" spans="2:14" x14ac:dyDescent="0.2">
      <c r="B122" s="87"/>
      <c r="C122" s="108"/>
      <c r="D122" s="115"/>
      <c r="E122" s="110"/>
      <c r="F122" s="334"/>
      <c r="G122" s="110"/>
      <c r="H122" s="343">
        <v>0</v>
      </c>
      <c r="I122" s="286">
        <f t="shared" si="8"/>
        <v>0</v>
      </c>
      <c r="J122" s="342">
        <f t="shared" si="9"/>
        <v>0</v>
      </c>
      <c r="K122" s="342">
        <f t="shared" si="10"/>
        <v>0</v>
      </c>
      <c r="L122" s="342">
        <f t="shared" si="10"/>
        <v>0</v>
      </c>
      <c r="M122" s="340"/>
      <c r="N122" s="341"/>
    </row>
    <row r="123" spans="2:14" x14ac:dyDescent="0.2">
      <c r="B123" s="87"/>
      <c r="C123" s="108"/>
      <c r="D123" s="115"/>
      <c r="E123" s="110"/>
      <c r="F123" s="334"/>
      <c r="G123" s="110"/>
      <c r="H123" s="343">
        <v>0</v>
      </c>
      <c r="I123" s="286">
        <f t="shared" si="8"/>
        <v>0</v>
      </c>
      <c r="J123" s="342">
        <f t="shared" si="9"/>
        <v>0</v>
      </c>
      <c r="K123" s="342">
        <f t="shared" si="10"/>
        <v>0</v>
      </c>
      <c r="L123" s="342">
        <f t="shared" si="10"/>
        <v>0</v>
      </c>
      <c r="M123" s="340"/>
      <c r="N123" s="341"/>
    </row>
    <row r="124" spans="2:14" x14ac:dyDescent="0.2">
      <c r="B124" s="87"/>
      <c r="C124" s="108"/>
      <c r="D124" s="115"/>
      <c r="E124" s="110"/>
      <c r="F124" s="334"/>
      <c r="G124" s="110"/>
      <c r="H124" s="343">
        <v>0</v>
      </c>
      <c r="I124" s="286">
        <f t="shared" si="8"/>
        <v>0</v>
      </c>
      <c r="J124" s="342">
        <f t="shared" si="9"/>
        <v>0</v>
      </c>
      <c r="K124" s="342">
        <f t="shared" si="10"/>
        <v>0</v>
      </c>
      <c r="L124" s="342">
        <f t="shared" si="10"/>
        <v>0</v>
      </c>
      <c r="M124" s="340"/>
      <c r="N124" s="341"/>
    </row>
    <row r="125" spans="2:14" x14ac:dyDescent="0.2">
      <c r="B125" s="87"/>
      <c r="C125" s="108"/>
      <c r="D125" s="115"/>
      <c r="E125" s="110"/>
      <c r="F125" s="334"/>
      <c r="G125" s="110"/>
      <c r="H125" s="343">
        <v>0</v>
      </c>
      <c r="I125" s="286">
        <f t="shared" si="8"/>
        <v>0</v>
      </c>
      <c r="J125" s="342">
        <f t="shared" si="9"/>
        <v>0</v>
      </c>
      <c r="K125" s="342">
        <f t="shared" si="10"/>
        <v>0</v>
      </c>
      <c r="L125" s="342">
        <f t="shared" si="10"/>
        <v>0</v>
      </c>
      <c r="M125" s="340"/>
      <c r="N125" s="341"/>
    </row>
    <row r="126" spans="2:14" x14ac:dyDescent="0.2">
      <c r="B126" s="87"/>
      <c r="C126" s="108"/>
      <c r="D126" s="115"/>
      <c r="E126" s="110"/>
      <c r="F126" s="334"/>
      <c r="G126" s="110"/>
      <c r="H126" s="343">
        <v>0</v>
      </c>
      <c r="I126" s="286">
        <f t="shared" si="8"/>
        <v>0</v>
      </c>
      <c r="J126" s="342">
        <f t="shared" si="9"/>
        <v>0</v>
      </c>
      <c r="K126" s="342">
        <f t="shared" si="10"/>
        <v>0</v>
      </c>
      <c r="L126" s="342">
        <f t="shared" si="10"/>
        <v>0</v>
      </c>
      <c r="M126" s="340"/>
      <c r="N126" s="341"/>
    </row>
    <row r="127" spans="2:14" x14ac:dyDescent="0.2">
      <c r="B127" s="87"/>
      <c r="C127" s="116"/>
      <c r="D127" s="344"/>
      <c r="E127" s="296"/>
      <c r="F127" s="334"/>
      <c r="G127" s="296"/>
      <c r="H127" s="345">
        <f>SUM(H113:H126)</f>
        <v>0</v>
      </c>
      <c r="I127" s="345">
        <f>SUM(I113:I126)</f>
        <v>0</v>
      </c>
      <c r="J127" s="345">
        <f>SUM(J113:J126)</f>
        <v>0</v>
      </c>
      <c r="K127" s="345">
        <f>SUM(K113:K126)</f>
        <v>0</v>
      </c>
      <c r="L127" s="345">
        <f>SUM(L113:L126)</f>
        <v>0</v>
      </c>
      <c r="M127" s="151"/>
      <c r="N127" s="341"/>
    </row>
    <row r="128" spans="2:14" x14ac:dyDescent="0.2">
      <c r="B128" s="145"/>
      <c r="C128" s="104"/>
      <c r="D128" s="105"/>
      <c r="E128" s="105"/>
      <c r="F128" s="105"/>
      <c r="G128" s="105"/>
      <c r="H128" s="210"/>
      <c r="I128" s="210"/>
      <c r="J128" s="210"/>
      <c r="K128" s="210"/>
      <c r="L128" s="210"/>
      <c r="M128" s="186"/>
      <c r="N128" s="148"/>
    </row>
    <row r="129" spans="2:14" x14ac:dyDescent="0.2">
      <c r="B129" s="87"/>
      <c r="C129" s="191"/>
      <c r="D129" s="147" t="s">
        <v>600</v>
      </c>
      <c r="E129" s="147"/>
      <c r="F129" s="147"/>
      <c r="G129" s="147"/>
      <c r="H129" s="294">
        <f>H111+H127</f>
        <v>184671.87</v>
      </c>
      <c r="I129" s="294">
        <f>I111+I127</f>
        <v>184671.87</v>
      </c>
      <c r="J129" s="294">
        <f>J111+J127</f>
        <v>184671.87</v>
      </c>
      <c r="K129" s="294">
        <f>K111+K127</f>
        <v>184671.87</v>
      </c>
      <c r="L129" s="294">
        <f>L111+L127</f>
        <v>184671.87</v>
      </c>
      <c r="M129" s="282"/>
      <c r="N129" s="91"/>
    </row>
    <row r="130" spans="2:14" x14ac:dyDescent="0.2">
      <c r="B130" s="183"/>
      <c r="C130" s="116"/>
      <c r="D130" s="117"/>
      <c r="E130" s="117"/>
      <c r="F130" s="117"/>
      <c r="G130" s="117"/>
      <c r="H130" s="235"/>
      <c r="I130" s="235"/>
      <c r="J130" s="235"/>
      <c r="K130" s="235"/>
      <c r="L130" s="235"/>
      <c r="M130" s="151"/>
      <c r="N130" s="194"/>
    </row>
    <row r="131" spans="2:14" x14ac:dyDescent="0.2">
      <c r="B131" s="87"/>
      <c r="C131" s="88"/>
      <c r="D131" s="88"/>
      <c r="E131" s="88"/>
      <c r="F131" s="88"/>
      <c r="G131" s="88"/>
      <c r="H131" s="204"/>
      <c r="I131" s="204"/>
      <c r="J131" s="204"/>
      <c r="K131" s="204"/>
      <c r="L131" s="204"/>
      <c r="M131" s="88"/>
      <c r="N131" s="91"/>
    </row>
    <row r="132" spans="2:14" x14ac:dyDescent="0.2">
      <c r="B132" s="87"/>
      <c r="C132" s="88"/>
      <c r="D132" s="88"/>
      <c r="E132" s="88"/>
      <c r="F132" s="88"/>
      <c r="G132" s="88"/>
      <c r="H132" s="204"/>
      <c r="I132" s="204"/>
      <c r="J132" s="204"/>
      <c r="K132" s="204"/>
      <c r="L132" s="204"/>
      <c r="M132" s="88"/>
      <c r="N132" s="91"/>
    </row>
    <row r="133" spans="2:14" x14ac:dyDescent="0.2">
      <c r="B133" s="87"/>
      <c r="C133" s="104"/>
      <c r="D133" s="105"/>
      <c r="E133" s="105"/>
      <c r="F133" s="105"/>
      <c r="G133" s="105"/>
      <c r="H133" s="210"/>
      <c r="I133" s="210"/>
      <c r="J133" s="210"/>
      <c r="K133" s="210"/>
      <c r="L133" s="210"/>
      <c r="M133" s="186"/>
      <c r="N133" s="91"/>
    </row>
    <row r="134" spans="2:14" x14ac:dyDescent="0.2">
      <c r="B134" s="87"/>
      <c r="C134" s="108"/>
      <c r="D134" s="126" t="s">
        <v>601</v>
      </c>
      <c r="E134" s="110"/>
      <c r="F134" s="110"/>
      <c r="G134" s="110"/>
      <c r="H134" s="346">
        <f>H96-H129</f>
        <v>697847.13</v>
      </c>
      <c r="I134" s="346">
        <f>I96-I129</f>
        <v>611091.53</v>
      </c>
      <c r="J134" s="346">
        <f>J96-J129</f>
        <v>619370.13</v>
      </c>
      <c r="K134" s="346">
        <f>K96-K129</f>
        <v>627648.73</v>
      </c>
      <c r="L134" s="346">
        <f>L96-L129</f>
        <v>635927.32999999996</v>
      </c>
      <c r="M134" s="188"/>
      <c r="N134" s="91"/>
    </row>
    <row r="135" spans="2:14" x14ac:dyDescent="0.2">
      <c r="B135" s="87"/>
      <c r="C135" s="108"/>
      <c r="D135" s="110"/>
      <c r="E135" s="110"/>
      <c r="F135" s="110"/>
      <c r="G135" s="110"/>
      <c r="H135" s="113"/>
      <c r="I135" s="113"/>
      <c r="J135" s="113"/>
      <c r="K135" s="113"/>
      <c r="L135" s="113"/>
      <c r="M135" s="188"/>
      <c r="N135" s="91"/>
    </row>
    <row r="136" spans="2:14" x14ac:dyDescent="0.2">
      <c r="B136" s="87"/>
      <c r="C136" s="88"/>
      <c r="D136" s="88"/>
      <c r="E136" s="88"/>
      <c r="F136" s="88"/>
      <c r="G136" s="88"/>
      <c r="H136" s="204"/>
      <c r="I136" s="204"/>
      <c r="J136" s="204"/>
      <c r="K136" s="204"/>
      <c r="L136" s="204"/>
      <c r="M136" s="88"/>
      <c r="N136" s="91"/>
    </row>
    <row r="137" spans="2:14" s="269" customFormat="1" ht="15" x14ac:dyDescent="0.25">
      <c r="B137" s="172"/>
      <c r="C137" s="173"/>
      <c r="D137" s="322"/>
      <c r="E137" s="322"/>
      <c r="F137" s="322"/>
      <c r="G137" s="322"/>
      <c r="H137" s="323"/>
      <c r="I137" s="323"/>
      <c r="J137" s="323"/>
      <c r="K137" s="323"/>
      <c r="L137" s="323"/>
      <c r="M137" s="176" t="s">
        <v>629</v>
      </c>
      <c r="N137" s="177"/>
    </row>
    <row r="142" spans="2:14" x14ac:dyDescent="0.2">
      <c r="C142" s="86"/>
      <c r="D142" s="347"/>
      <c r="E142" s="347"/>
      <c r="F142" s="347"/>
      <c r="G142" s="347"/>
      <c r="H142" s="348"/>
      <c r="I142" s="348"/>
      <c r="J142" s="348"/>
      <c r="K142" s="348"/>
      <c r="L142" s="349"/>
      <c r="M142" s="349"/>
    </row>
    <row r="143" spans="2:14" x14ac:dyDescent="0.2">
      <c r="C143" s="213"/>
      <c r="D143" s="242" t="s">
        <v>338</v>
      </c>
      <c r="E143" s="242"/>
      <c r="F143" s="242"/>
      <c r="G143" s="242"/>
      <c r="H143" s="350"/>
      <c r="I143" s="245">
        <f>J9</f>
        <v>2014</v>
      </c>
      <c r="J143" s="245">
        <f>I143+1</f>
        <v>2015</v>
      </c>
      <c r="K143" s="245">
        <f>J143+1</f>
        <v>2016</v>
      </c>
      <c r="L143" s="245">
        <f>K143+1</f>
        <v>2017</v>
      </c>
      <c r="M143" s="351"/>
    </row>
    <row r="144" spans="2:14" x14ac:dyDescent="0.2">
      <c r="C144" s="86"/>
      <c r="D144" s="352"/>
      <c r="E144" s="352"/>
      <c r="F144" s="352"/>
      <c r="G144" s="352"/>
      <c r="H144" s="350"/>
      <c r="I144" s="244"/>
      <c r="J144" s="244"/>
      <c r="K144" s="244"/>
      <c r="L144" s="244"/>
      <c r="M144" s="86"/>
    </row>
    <row r="145" spans="3:13" x14ac:dyDescent="0.2">
      <c r="C145" s="86"/>
      <c r="D145" s="243" t="s">
        <v>184</v>
      </c>
      <c r="E145" s="352"/>
      <c r="F145" s="352"/>
      <c r="G145" s="352"/>
      <c r="H145" s="353"/>
      <c r="I145" s="353">
        <f>7/12*(H66-H39)+5/12*(I66-I39)+rugzak!J55</f>
        <v>846370.83333333337</v>
      </c>
      <c r="J145" s="353">
        <f>7/12*I66+5/12*J66</f>
        <v>799212.81666666665</v>
      </c>
      <c r="K145" s="353">
        <f>7/12*J66+5/12*K66</f>
        <v>807491.41666666674</v>
      </c>
      <c r="L145" s="353">
        <f>7/12*K66+5/12*L66</f>
        <v>815770.0166666666</v>
      </c>
      <c r="M145" s="86"/>
    </row>
    <row r="146" spans="3:13" x14ac:dyDescent="0.2">
      <c r="C146" s="86"/>
      <c r="D146" s="243" t="s">
        <v>605</v>
      </c>
      <c r="E146" s="352"/>
      <c r="F146" s="352"/>
      <c r="G146" s="352"/>
      <c r="H146" s="244"/>
      <c r="I146" s="353">
        <f>(7/12*H78)+(5/12*I78)</f>
        <v>0</v>
      </c>
      <c r="J146" s="353">
        <f>(7/12*I78)+(5/12*J78)</f>
        <v>0</v>
      </c>
      <c r="K146" s="353">
        <f>(7/12*J78)+(5/12*K78)</f>
        <v>0</v>
      </c>
      <c r="L146" s="353">
        <f>(7/12*K78)+(5/12*L78)</f>
        <v>0</v>
      </c>
      <c r="M146" s="86"/>
    </row>
    <row r="147" spans="3:13" x14ac:dyDescent="0.2">
      <c r="C147" s="86"/>
      <c r="D147" s="243" t="s">
        <v>612</v>
      </c>
      <c r="E147" s="352"/>
      <c r="F147" s="352"/>
      <c r="G147" s="352"/>
      <c r="H147" s="244"/>
      <c r="I147" s="353">
        <f t="shared" ref="I147:L149" si="11">(7/12*H84)+(5/12*I84)</f>
        <v>0</v>
      </c>
      <c r="J147" s="353">
        <f t="shared" si="11"/>
        <v>0</v>
      </c>
      <c r="K147" s="353">
        <f t="shared" si="11"/>
        <v>0</v>
      </c>
      <c r="L147" s="353">
        <f t="shared" si="11"/>
        <v>0</v>
      </c>
      <c r="M147" s="86"/>
    </row>
    <row r="148" spans="3:13" x14ac:dyDescent="0.2">
      <c r="C148" s="86"/>
      <c r="D148" s="243" t="s">
        <v>482</v>
      </c>
      <c r="E148" s="352"/>
      <c r="F148" s="352"/>
      <c r="G148" s="352"/>
      <c r="H148" s="244"/>
      <c r="I148" s="353">
        <f t="shared" si="11"/>
        <v>0</v>
      </c>
      <c r="J148" s="353">
        <f t="shared" si="11"/>
        <v>0</v>
      </c>
      <c r="K148" s="353">
        <f t="shared" si="11"/>
        <v>0</v>
      </c>
      <c r="L148" s="353">
        <f t="shared" si="11"/>
        <v>0</v>
      </c>
      <c r="M148" s="86"/>
    </row>
    <row r="149" spans="3:13" x14ac:dyDescent="0.2">
      <c r="C149" s="86"/>
      <c r="D149" s="243" t="s">
        <v>483</v>
      </c>
      <c r="E149" s="352"/>
      <c r="F149" s="352"/>
      <c r="G149" s="352"/>
      <c r="H149" s="244"/>
      <c r="I149" s="353">
        <f t="shared" si="11"/>
        <v>0</v>
      </c>
      <c r="J149" s="353">
        <f t="shared" si="11"/>
        <v>0</v>
      </c>
      <c r="K149" s="353">
        <f t="shared" si="11"/>
        <v>0</v>
      </c>
      <c r="L149" s="353">
        <f t="shared" si="11"/>
        <v>0</v>
      </c>
      <c r="M149" s="86"/>
    </row>
    <row r="150" spans="3:13" x14ac:dyDescent="0.2">
      <c r="C150" s="86"/>
      <c r="D150" s="243" t="s">
        <v>389</v>
      </c>
      <c r="E150" s="352"/>
      <c r="F150" s="352"/>
      <c r="G150" s="352"/>
      <c r="H150" s="244"/>
      <c r="I150" s="353">
        <f>(7/12*H92)+(5/12*I92)-I147</f>
        <v>0</v>
      </c>
      <c r="J150" s="353">
        <f>(7/12*I92)+(5/12*J92)-J147</f>
        <v>0</v>
      </c>
      <c r="K150" s="353">
        <f>(7/12*J92)+(5/12*K92)-K147</f>
        <v>0</v>
      </c>
      <c r="L150" s="353">
        <f>(7/12*K92)+(5/12*L92)-L147</f>
        <v>0</v>
      </c>
      <c r="M150" s="86"/>
    </row>
    <row r="151" spans="3:13" x14ac:dyDescent="0.2">
      <c r="C151" s="86"/>
      <c r="D151" s="243" t="s">
        <v>613</v>
      </c>
      <c r="E151" s="352"/>
      <c r="F151" s="352"/>
      <c r="G151" s="352"/>
      <c r="H151" s="244"/>
      <c r="I151" s="353">
        <f>(7/12*H63)+(5/12*I63)</f>
        <v>6782.416666666667</v>
      </c>
      <c r="J151" s="353">
        <f>(7/12*I63)+(5/12*J63)</f>
        <v>0</v>
      </c>
      <c r="K151" s="353">
        <f>(7/12*J63)+(5/12*K63)</f>
        <v>0</v>
      </c>
      <c r="L151" s="353">
        <f>(7/12*K63)+(5/12*L63)</f>
        <v>0</v>
      </c>
      <c r="M151" s="86"/>
    </row>
    <row r="152" spans="3:13" x14ac:dyDescent="0.2">
      <c r="C152" s="86"/>
      <c r="D152" s="243" t="s">
        <v>324</v>
      </c>
      <c r="E152" s="243"/>
      <c r="F152" s="243"/>
      <c r="G152" s="243"/>
      <c r="H152" s="244"/>
      <c r="I152" s="354">
        <f>(7/12*(H108)+(5/12*(I108)))</f>
        <v>0</v>
      </c>
      <c r="J152" s="354">
        <f>(7/12*(I108)+(5/12*(J108)))</f>
        <v>0</v>
      </c>
      <c r="K152" s="354">
        <f>(7/12*(J108)+(5/12*(K108)))</f>
        <v>0</v>
      </c>
      <c r="L152" s="354">
        <f>(7/12*(K108)+(5/12*(L108)))</f>
        <v>0</v>
      </c>
      <c r="M152" s="355"/>
    </row>
    <row r="153" spans="3:13" x14ac:dyDescent="0.2">
      <c r="C153" s="86"/>
      <c r="D153" s="243" t="s">
        <v>323</v>
      </c>
      <c r="E153" s="243"/>
      <c r="F153" s="243"/>
      <c r="G153" s="243"/>
      <c r="H153" s="244"/>
      <c r="I153" s="354">
        <f t="shared" ref="I153:L154" si="12">(7/12*H109)+(5/12*I109)</f>
        <v>61927.710000000006</v>
      </c>
      <c r="J153" s="354">
        <f>(7/12*I109)+(5/12*J109)</f>
        <v>61927.710000000006</v>
      </c>
      <c r="K153" s="354">
        <f t="shared" si="12"/>
        <v>61927.710000000006</v>
      </c>
      <c r="L153" s="354">
        <f t="shared" si="12"/>
        <v>61927.710000000006</v>
      </c>
      <c r="M153" s="355"/>
    </row>
    <row r="154" spans="3:13" x14ac:dyDescent="0.2">
      <c r="C154" s="86"/>
      <c r="D154" s="243" t="s">
        <v>322</v>
      </c>
      <c r="E154" s="243"/>
      <c r="F154" s="243"/>
      <c r="G154" s="243"/>
      <c r="H154" s="244"/>
      <c r="I154" s="354">
        <f t="shared" si="12"/>
        <v>122744.16</v>
      </c>
      <c r="J154" s="354">
        <f>(7/12*I110)+(5/12*J110)</f>
        <v>122744.16</v>
      </c>
      <c r="K154" s="354">
        <f t="shared" si="12"/>
        <v>122744.16</v>
      </c>
      <c r="L154" s="354">
        <f t="shared" si="12"/>
        <v>122744.16</v>
      </c>
      <c r="M154" s="355"/>
    </row>
    <row r="155" spans="3:13" x14ac:dyDescent="0.2">
      <c r="C155" s="86"/>
      <c r="D155" s="243" t="s">
        <v>339</v>
      </c>
      <c r="E155" s="243"/>
      <c r="F155" s="243"/>
      <c r="G155" s="243"/>
      <c r="H155" s="244"/>
      <c r="I155" s="354">
        <f>(7/12*H111)+(5/12*I111)</f>
        <v>184671.87</v>
      </c>
      <c r="J155" s="354">
        <f>(7/12*I111)+(5/12*J111)</f>
        <v>184671.87</v>
      </c>
      <c r="K155" s="354">
        <f>(7/12*J111)+(5/12*K111)</f>
        <v>184671.87</v>
      </c>
      <c r="L155" s="354">
        <f>(7/12*K111)+(5/12*L111)</f>
        <v>184671.87</v>
      </c>
      <c r="M155" s="355"/>
    </row>
    <row r="156" spans="3:13" x14ac:dyDescent="0.2">
      <c r="C156" s="356"/>
      <c r="D156" s="243" t="s">
        <v>521</v>
      </c>
      <c r="E156" s="357"/>
      <c r="F156" s="357"/>
      <c r="G156" s="357"/>
      <c r="H156" s="244"/>
      <c r="I156" s="354">
        <f>(7/12*pers!H127)+(5/12*pers!I127)</f>
        <v>0</v>
      </c>
      <c r="J156" s="353">
        <f>(7/12*pers!I127)+(5/12*pers!J127)</f>
        <v>0</v>
      </c>
      <c r="K156" s="353">
        <f>(7/12*pers!J127)+(5/12*pers!K127)</f>
        <v>0</v>
      </c>
      <c r="L156" s="353">
        <f>(7/12*pers!K127)+(5/12*pers!L127)</f>
        <v>0</v>
      </c>
      <c r="M156" s="356"/>
    </row>
    <row r="157" spans="3:13" x14ac:dyDescent="0.2">
      <c r="D157" s="243" t="s">
        <v>715</v>
      </c>
      <c r="E157" s="358"/>
      <c r="F157" s="358"/>
      <c r="G157" s="358"/>
      <c r="H157" s="359"/>
      <c r="I157" s="354">
        <f>+rugzak!J55+7/12*H42+5/12*I42</f>
        <v>50830.22</v>
      </c>
      <c r="J157" s="354">
        <f>7/12*I42+5/12*J42</f>
        <v>0</v>
      </c>
      <c r="K157" s="354">
        <f t="shared" ref="K157:L157" si="13">7/12*J42+5/12*K42</f>
        <v>0</v>
      </c>
      <c r="L157" s="354">
        <f t="shared" si="13"/>
        <v>0</v>
      </c>
    </row>
    <row r="158" spans="3:13" x14ac:dyDescent="0.2">
      <c r="D158" s="243" t="s">
        <v>200</v>
      </c>
      <c r="E158" s="358"/>
      <c r="F158" s="358"/>
      <c r="G158" s="358"/>
      <c r="H158" s="359"/>
      <c r="I158" s="354">
        <f>7/12*(dir!V26+op!V71+obp!V36)+5/12*(dir!V48+op!V139+obp!V68)</f>
        <v>0</v>
      </c>
      <c r="J158" s="354">
        <f>7/12*(dir!V48+op!V139+obp!V68)+5/12*(dir!V71+op!V207+obp!V101)</f>
        <v>0</v>
      </c>
      <c r="K158" s="354">
        <f>7/12*(dir!V71+op!V207+obp!V101)+5/12*(dir!V93+op!V274+obp!V133)</f>
        <v>0</v>
      </c>
      <c r="L158" s="354">
        <f>7/12*(dir!V93+op!V274+obp!V133)+5/12*(dir!V115+op!V341+obp!V165)</f>
        <v>0</v>
      </c>
    </row>
    <row r="159" spans="3:13" x14ac:dyDescent="0.2">
      <c r="D159" s="243" t="s">
        <v>202</v>
      </c>
      <c r="E159" s="358"/>
      <c r="F159" s="358"/>
      <c r="G159" s="358"/>
      <c r="H159" s="359"/>
      <c r="I159" s="354">
        <f>7/12*H113+5/12*I113</f>
        <v>0</v>
      </c>
      <c r="J159" s="354">
        <f>(7/12*pers!I113)+(5/12*pers!J113)</f>
        <v>0</v>
      </c>
      <c r="K159" s="354">
        <f>(7/12*pers!J113)+(5/12*pers!K113)</f>
        <v>0</v>
      </c>
      <c r="L159" s="354">
        <f>(7/12*pers!K113)+(5/12*pers!L113)</f>
        <v>0</v>
      </c>
    </row>
    <row r="160" spans="3:13" x14ac:dyDescent="0.2">
      <c r="D160" s="358" t="s">
        <v>618</v>
      </c>
      <c r="E160" s="358"/>
      <c r="F160" s="358"/>
      <c r="G160" s="358"/>
      <c r="H160" s="359"/>
      <c r="I160" s="354">
        <f>(7/12*pers!H96)+(5/12*pers!I96)</f>
        <v>846370.83333333349</v>
      </c>
      <c r="J160" s="354">
        <f>(7/12*pers!I96)+(5/12*pers!J96)</f>
        <v>799212.81666666665</v>
      </c>
      <c r="K160" s="354">
        <f>(7/12*pers!J96)+(5/12*pers!K96)</f>
        <v>807491.41666666674</v>
      </c>
      <c r="L160" s="354">
        <f>(7/12*pers!K96)+(5/12*pers!L96)</f>
        <v>815770.0166666666</v>
      </c>
    </row>
    <row r="161" spans="4:12" x14ac:dyDescent="0.2">
      <c r="D161" s="358" t="s">
        <v>619</v>
      </c>
      <c r="E161" s="358"/>
      <c r="F161" s="358"/>
      <c r="G161" s="358"/>
      <c r="H161" s="359"/>
      <c r="I161" s="354">
        <f>(7/12*pers!H129)+(5/12*pers!I129)</f>
        <v>184671.87</v>
      </c>
      <c r="J161" s="354">
        <f>(7/12*pers!I129)+(5/12*pers!J129)</f>
        <v>184671.87</v>
      </c>
      <c r="K161" s="354">
        <f>(7/12*pers!J129)+(5/12*pers!K129)</f>
        <v>184671.87</v>
      </c>
      <c r="L161" s="354">
        <f>(7/12*pers!K129)+(5/12*pers!L129)</f>
        <v>184671.87</v>
      </c>
    </row>
    <row r="1169" spans="4:31" x14ac:dyDescent="0.2">
      <c r="D1169" s="360"/>
      <c r="E1169" s="360"/>
      <c r="F1169" s="360"/>
      <c r="G1169" s="360"/>
      <c r="H1169" s="361"/>
      <c r="I1169" s="361"/>
      <c r="J1169" s="361"/>
      <c r="K1169" s="361"/>
      <c r="L1169" s="361"/>
      <c r="M1169" s="360"/>
      <c r="N1169" s="360"/>
      <c r="O1169" s="360"/>
      <c r="P1169" s="360"/>
      <c r="Q1169" s="360"/>
      <c r="R1169" s="360"/>
      <c r="S1169" s="360"/>
      <c r="T1169" s="360"/>
      <c r="U1169" s="360"/>
      <c r="V1169" s="360"/>
      <c r="W1169" s="360"/>
      <c r="X1169" s="360"/>
      <c r="Y1169" s="360"/>
      <c r="Z1169" s="360"/>
      <c r="AA1169" s="360"/>
      <c r="AB1169" s="360"/>
      <c r="AC1169" s="360"/>
      <c r="AD1169" s="360"/>
      <c r="AE1169" s="360"/>
    </row>
    <row r="1170" spans="4:31" x14ac:dyDescent="0.2">
      <c r="D1170" s="360"/>
      <c r="E1170" s="360"/>
      <c r="F1170" s="360"/>
      <c r="G1170" s="360"/>
      <c r="H1170" s="361"/>
      <c r="I1170" s="361"/>
      <c r="J1170" s="361"/>
      <c r="K1170" s="361"/>
      <c r="L1170" s="361"/>
      <c r="M1170" s="360"/>
      <c r="N1170" s="360"/>
      <c r="O1170" s="360"/>
      <c r="P1170" s="360"/>
      <c r="Q1170" s="360"/>
      <c r="R1170" s="360"/>
      <c r="S1170" s="360"/>
      <c r="T1170" s="360"/>
      <c r="U1170" s="360"/>
      <c r="V1170" s="360"/>
      <c r="W1170" s="360"/>
      <c r="X1170" s="360"/>
      <c r="Y1170" s="360"/>
      <c r="Z1170" s="360"/>
      <c r="AA1170" s="360"/>
      <c r="AB1170" s="360"/>
      <c r="AC1170" s="360"/>
      <c r="AD1170" s="360"/>
      <c r="AE1170" s="360"/>
    </row>
    <row r="1171" spans="4:31" x14ac:dyDescent="0.2">
      <c r="D1171" s="360"/>
      <c r="E1171" s="360"/>
      <c r="F1171" s="360"/>
      <c r="G1171" s="360"/>
      <c r="H1171" s="361"/>
      <c r="I1171" s="361"/>
      <c r="J1171" s="361"/>
      <c r="K1171" s="361"/>
      <c r="L1171" s="361"/>
      <c r="M1171" s="360"/>
      <c r="N1171" s="360"/>
      <c r="O1171" s="360"/>
      <c r="P1171" s="360"/>
      <c r="Q1171" s="360"/>
      <c r="R1171" s="360"/>
      <c r="S1171" s="360"/>
      <c r="T1171" s="360"/>
      <c r="U1171" s="360"/>
      <c r="V1171" s="360"/>
      <c r="W1171" s="360"/>
      <c r="X1171" s="360"/>
      <c r="Y1171" s="360"/>
      <c r="Z1171" s="360"/>
      <c r="AA1171" s="360"/>
      <c r="AB1171" s="360"/>
      <c r="AC1171" s="360"/>
      <c r="AD1171" s="360"/>
      <c r="AE1171" s="360"/>
    </row>
    <row r="1172" spans="4:31" x14ac:dyDescent="0.2">
      <c r="D1172" s="360"/>
      <c r="E1172" s="360"/>
      <c r="F1172" s="360"/>
      <c r="G1172" s="360"/>
      <c r="H1172" s="361"/>
      <c r="I1172" s="361"/>
      <c r="J1172" s="361"/>
      <c r="K1172" s="361"/>
      <c r="L1172" s="361"/>
      <c r="M1172" s="360"/>
      <c r="N1172" s="360"/>
      <c r="O1172" s="360"/>
      <c r="P1172" s="360"/>
      <c r="Q1172" s="360"/>
      <c r="R1172" s="360"/>
      <c r="S1172" s="360"/>
      <c r="T1172" s="360"/>
      <c r="U1172" s="360"/>
      <c r="V1172" s="360"/>
      <c r="W1172" s="360"/>
      <c r="X1172" s="360"/>
      <c r="Y1172" s="360"/>
      <c r="Z1172" s="360"/>
      <c r="AA1172" s="360"/>
      <c r="AB1172" s="360"/>
      <c r="AC1172" s="360"/>
      <c r="AD1172" s="360"/>
      <c r="AE1172" s="360"/>
    </row>
    <row r="1173" spans="4:31" x14ac:dyDescent="0.2">
      <c r="D1173" s="360"/>
      <c r="E1173" s="360"/>
      <c r="F1173" s="360"/>
      <c r="G1173" s="360"/>
      <c r="H1173" s="361"/>
      <c r="I1173" s="361"/>
      <c r="J1173" s="361"/>
      <c r="K1173" s="361"/>
      <c r="L1173" s="361"/>
      <c r="M1173" s="360"/>
      <c r="N1173" s="360"/>
      <c r="O1173" s="360"/>
      <c r="P1173" s="360"/>
      <c r="Q1173" s="360"/>
      <c r="R1173" s="360"/>
      <c r="S1173" s="360"/>
      <c r="T1173" s="360"/>
      <c r="U1173" s="360"/>
      <c r="V1173" s="360"/>
      <c r="W1173" s="360"/>
      <c r="X1173" s="360"/>
      <c r="Y1173" s="360"/>
      <c r="Z1173" s="360"/>
      <c r="AA1173" s="360"/>
      <c r="AB1173" s="360"/>
      <c r="AC1173" s="360"/>
      <c r="AD1173" s="360"/>
      <c r="AE1173" s="360"/>
    </row>
    <row r="1174" spans="4:31" x14ac:dyDescent="0.2">
      <c r="D1174" s="360"/>
      <c r="E1174" s="360"/>
      <c r="F1174" s="360"/>
      <c r="G1174" s="360"/>
      <c r="H1174" s="361"/>
      <c r="I1174" s="361"/>
      <c r="J1174" s="361"/>
      <c r="K1174" s="361"/>
      <c r="L1174" s="361"/>
      <c r="M1174" s="360"/>
      <c r="N1174" s="360"/>
      <c r="O1174" s="360"/>
      <c r="P1174" s="360"/>
      <c r="Q1174" s="360"/>
      <c r="R1174" s="360"/>
      <c r="S1174" s="360"/>
      <c r="T1174" s="360"/>
      <c r="U1174" s="360"/>
      <c r="V1174" s="360"/>
      <c r="W1174" s="360"/>
      <c r="X1174" s="360"/>
      <c r="Y1174" s="360"/>
      <c r="Z1174" s="360"/>
      <c r="AA1174" s="360"/>
      <c r="AB1174" s="360"/>
      <c r="AC1174" s="360"/>
      <c r="AD1174" s="360"/>
      <c r="AE1174" s="360"/>
    </row>
    <row r="1175" spans="4:31" x14ac:dyDescent="0.2">
      <c r="D1175" s="360"/>
      <c r="E1175" s="360"/>
      <c r="F1175" s="360"/>
      <c r="G1175" s="360"/>
      <c r="H1175" s="361"/>
      <c r="I1175" s="361"/>
      <c r="J1175" s="361"/>
      <c r="K1175" s="361"/>
      <c r="L1175" s="361"/>
      <c r="M1175" s="360"/>
      <c r="N1175" s="360"/>
      <c r="O1175" s="360"/>
      <c r="P1175" s="360"/>
      <c r="Q1175" s="360"/>
      <c r="R1175" s="360"/>
      <c r="S1175" s="360"/>
      <c r="T1175" s="360"/>
      <c r="U1175" s="360"/>
      <c r="V1175" s="360"/>
      <c r="W1175" s="360"/>
      <c r="X1175" s="360"/>
      <c r="Y1175" s="360"/>
      <c r="Z1175" s="360"/>
      <c r="AA1175" s="360"/>
      <c r="AB1175" s="360"/>
      <c r="AC1175" s="360"/>
      <c r="AD1175" s="360"/>
      <c r="AE1175" s="360"/>
    </row>
    <row r="1176" spans="4:31" x14ac:dyDescent="0.2">
      <c r="D1176" s="360"/>
      <c r="E1176" s="360"/>
      <c r="F1176" s="360"/>
      <c r="G1176" s="360"/>
      <c r="H1176" s="361"/>
      <c r="I1176" s="361"/>
      <c r="J1176" s="361"/>
      <c r="K1176" s="361"/>
      <c r="L1176" s="361"/>
      <c r="M1176" s="360"/>
      <c r="N1176" s="360"/>
      <c r="O1176" s="360"/>
      <c r="P1176" s="360"/>
      <c r="Q1176" s="360"/>
      <c r="R1176" s="360"/>
      <c r="S1176" s="360"/>
      <c r="T1176" s="360"/>
      <c r="U1176" s="360"/>
      <c r="V1176" s="360"/>
      <c r="W1176" s="360"/>
      <c r="X1176" s="360"/>
      <c r="Y1176" s="360"/>
      <c r="Z1176" s="360"/>
      <c r="AA1176" s="360"/>
      <c r="AB1176" s="360"/>
      <c r="AC1176" s="360"/>
      <c r="AD1176" s="360"/>
      <c r="AE1176" s="360"/>
    </row>
    <row r="1177" spans="4:31" x14ac:dyDescent="0.2">
      <c r="D1177" s="360"/>
      <c r="E1177" s="360"/>
      <c r="F1177" s="360"/>
      <c r="G1177" s="360"/>
      <c r="H1177" s="361"/>
      <c r="I1177" s="361"/>
      <c r="J1177" s="361"/>
      <c r="K1177" s="361"/>
      <c r="L1177" s="361"/>
      <c r="M1177" s="360"/>
      <c r="N1177" s="360"/>
      <c r="O1177" s="360"/>
      <c r="P1177" s="360"/>
      <c r="Q1177" s="360"/>
      <c r="R1177" s="360"/>
      <c r="S1177" s="360"/>
      <c r="T1177" s="360"/>
      <c r="U1177" s="360"/>
      <c r="V1177" s="360"/>
      <c r="W1177" s="360"/>
      <c r="X1177" s="360"/>
      <c r="Y1177" s="360"/>
      <c r="Z1177" s="360"/>
      <c r="AA1177" s="360"/>
      <c r="AB1177" s="360"/>
      <c r="AC1177" s="360"/>
      <c r="AD1177" s="360"/>
      <c r="AE1177" s="360"/>
    </row>
    <row r="1178" spans="4:31" x14ac:dyDescent="0.2">
      <c r="D1178" s="360"/>
      <c r="E1178" s="360"/>
      <c r="F1178" s="360"/>
      <c r="G1178" s="360"/>
      <c r="H1178" s="361"/>
      <c r="I1178" s="361"/>
      <c r="J1178" s="361"/>
      <c r="K1178" s="361"/>
      <c r="L1178" s="361"/>
      <c r="M1178" s="360"/>
      <c r="N1178" s="360"/>
      <c r="O1178" s="360"/>
      <c r="P1178" s="360"/>
      <c r="Q1178" s="360"/>
      <c r="R1178" s="360"/>
      <c r="S1178" s="360"/>
      <c r="T1178" s="360"/>
      <c r="U1178" s="360"/>
      <c r="V1178" s="360"/>
      <c r="W1178" s="360"/>
      <c r="X1178" s="360"/>
      <c r="Y1178" s="360"/>
      <c r="Z1178" s="360"/>
      <c r="AA1178" s="360"/>
      <c r="AB1178" s="360"/>
      <c r="AC1178" s="360"/>
      <c r="AD1178" s="360"/>
      <c r="AE1178" s="360"/>
    </row>
    <row r="1179" spans="4:31" x14ac:dyDescent="0.2">
      <c r="D1179" s="360"/>
      <c r="E1179" s="360"/>
      <c r="F1179" s="360"/>
      <c r="G1179" s="360"/>
      <c r="H1179" s="361"/>
      <c r="I1179" s="361"/>
      <c r="J1179" s="361"/>
      <c r="K1179" s="361"/>
      <c r="L1179" s="361"/>
      <c r="M1179" s="360"/>
      <c r="N1179" s="360"/>
      <c r="O1179" s="360"/>
      <c r="P1179" s="360"/>
      <c r="Q1179" s="360"/>
      <c r="R1179" s="360"/>
      <c r="S1179" s="360"/>
      <c r="T1179" s="360"/>
      <c r="U1179" s="360"/>
      <c r="V1179" s="360"/>
      <c r="W1179" s="360"/>
      <c r="X1179" s="360"/>
      <c r="Y1179" s="360"/>
      <c r="Z1179" s="360"/>
      <c r="AA1179" s="360"/>
      <c r="AB1179" s="360"/>
      <c r="AC1179" s="360"/>
      <c r="AD1179" s="360"/>
      <c r="AE1179" s="360"/>
    </row>
    <row r="1180" spans="4:31" x14ac:dyDescent="0.2">
      <c r="D1180" s="360"/>
      <c r="E1180" s="360"/>
      <c r="F1180" s="360"/>
      <c r="G1180" s="360"/>
      <c r="H1180" s="361"/>
      <c r="I1180" s="361"/>
      <c r="J1180" s="361"/>
      <c r="K1180" s="361"/>
      <c r="L1180" s="361"/>
      <c r="M1180" s="360"/>
      <c r="N1180" s="360"/>
      <c r="O1180" s="360"/>
      <c r="P1180" s="360"/>
      <c r="Q1180" s="360"/>
      <c r="R1180" s="360"/>
      <c r="S1180" s="360"/>
      <c r="T1180" s="360"/>
      <c r="U1180" s="360"/>
      <c r="V1180" s="360"/>
      <c r="W1180" s="360"/>
      <c r="X1180" s="360"/>
      <c r="Y1180" s="360"/>
      <c r="Z1180" s="360"/>
      <c r="AA1180" s="360"/>
      <c r="AB1180" s="360"/>
      <c r="AC1180" s="360"/>
      <c r="AD1180" s="360"/>
      <c r="AE1180" s="360"/>
    </row>
    <row r="1181" spans="4:31" x14ac:dyDescent="0.2">
      <c r="D1181" s="360"/>
      <c r="E1181" s="360"/>
      <c r="F1181" s="360"/>
      <c r="G1181" s="360"/>
      <c r="H1181" s="361"/>
      <c r="I1181" s="361"/>
      <c r="J1181" s="361"/>
      <c r="K1181" s="361"/>
      <c r="L1181" s="361"/>
      <c r="M1181" s="360"/>
      <c r="N1181" s="360"/>
      <c r="O1181" s="360"/>
      <c r="P1181" s="360"/>
      <c r="Q1181" s="360"/>
      <c r="R1181" s="360"/>
      <c r="S1181" s="360"/>
      <c r="T1181" s="360"/>
      <c r="U1181" s="360"/>
      <c r="V1181" s="360"/>
      <c r="W1181" s="360"/>
      <c r="X1181" s="360"/>
      <c r="Y1181" s="360"/>
      <c r="Z1181" s="360"/>
      <c r="AA1181" s="360"/>
      <c r="AB1181" s="360"/>
      <c r="AC1181" s="360"/>
      <c r="AD1181" s="360"/>
      <c r="AE1181" s="360"/>
    </row>
    <row r="1182" spans="4:31" x14ac:dyDescent="0.2">
      <c r="D1182" s="360"/>
      <c r="E1182" s="360"/>
      <c r="F1182" s="360"/>
      <c r="G1182" s="360"/>
      <c r="H1182" s="361"/>
      <c r="I1182" s="361"/>
      <c r="J1182" s="361"/>
      <c r="K1182" s="361"/>
      <c r="L1182" s="361"/>
      <c r="M1182" s="360"/>
      <c r="N1182" s="360"/>
      <c r="O1182" s="360"/>
      <c r="P1182" s="360"/>
      <c r="Q1182" s="360"/>
      <c r="R1182" s="360"/>
      <c r="S1182" s="360"/>
      <c r="T1182" s="360"/>
      <c r="U1182" s="360"/>
      <c r="V1182" s="360"/>
      <c r="W1182" s="360"/>
      <c r="X1182" s="360"/>
      <c r="Y1182" s="360"/>
      <c r="Z1182" s="360"/>
      <c r="AA1182" s="360"/>
      <c r="AB1182" s="360"/>
      <c r="AC1182" s="360"/>
      <c r="AD1182" s="360"/>
      <c r="AE1182" s="360"/>
    </row>
    <row r="1183" spans="4:31" x14ac:dyDescent="0.2">
      <c r="D1183" s="360"/>
      <c r="E1183" s="360"/>
      <c r="F1183" s="360"/>
      <c r="G1183" s="360"/>
      <c r="H1183" s="361"/>
      <c r="I1183" s="361"/>
      <c r="J1183" s="361"/>
      <c r="K1183" s="361"/>
      <c r="L1183" s="361"/>
      <c r="M1183" s="360"/>
      <c r="N1183" s="360"/>
      <c r="O1183" s="360"/>
      <c r="P1183" s="360"/>
      <c r="Q1183" s="360"/>
      <c r="R1183" s="360"/>
      <c r="S1183" s="360"/>
      <c r="T1183" s="360"/>
      <c r="U1183" s="360"/>
      <c r="V1183" s="360"/>
      <c r="W1183" s="360"/>
      <c r="X1183" s="360"/>
      <c r="Y1183" s="360"/>
      <c r="Z1183" s="360"/>
      <c r="AA1183" s="360"/>
      <c r="AB1183" s="360"/>
      <c r="AC1183" s="360"/>
      <c r="AD1183" s="360"/>
      <c r="AE1183" s="360"/>
    </row>
    <row r="1184" spans="4:31" x14ac:dyDescent="0.2">
      <c r="D1184" s="360"/>
      <c r="E1184" s="360"/>
      <c r="F1184" s="360"/>
      <c r="G1184" s="360"/>
      <c r="H1184" s="361"/>
      <c r="I1184" s="361"/>
      <c r="J1184" s="361"/>
      <c r="K1184" s="361"/>
      <c r="L1184" s="361"/>
      <c r="M1184" s="360"/>
      <c r="N1184" s="360"/>
      <c r="O1184" s="360"/>
      <c r="P1184" s="360"/>
      <c r="Q1184" s="360"/>
      <c r="R1184" s="360"/>
      <c r="S1184" s="360"/>
      <c r="T1184" s="360"/>
      <c r="U1184" s="360"/>
      <c r="V1184" s="360"/>
      <c r="W1184" s="360"/>
      <c r="X1184" s="360"/>
      <c r="Y1184" s="360"/>
      <c r="Z1184" s="360"/>
      <c r="AA1184" s="360"/>
      <c r="AB1184" s="360"/>
      <c r="AC1184" s="360"/>
      <c r="AD1184" s="360"/>
      <c r="AE1184" s="360"/>
    </row>
    <row r="1185" spans="4:31" x14ac:dyDescent="0.2">
      <c r="D1185" s="360"/>
      <c r="E1185" s="360"/>
      <c r="F1185" s="360"/>
      <c r="G1185" s="360"/>
      <c r="H1185" s="361"/>
      <c r="I1185" s="361"/>
      <c r="J1185" s="361"/>
      <c r="K1185" s="361"/>
      <c r="L1185" s="361"/>
      <c r="M1185" s="360"/>
      <c r="N1185" s="360"/>
      <c r="O1185" s="360"/>
      <c r="P1185" s="360"/>
      <c r="Q1185" s="360"/>
      <c r="R1185" s="360"/>
      <c r="S1185" s="360"/>
      <c r="T1185" s="360"/>
      <c r="U1185" s="360"/>
      <c r="V1185" s="360"/>
      <c r="W1185" s="360"/>
      <c r="X1185" s="360"/>
      <c r="Y1185" s="360"/>
      <c r="Z1185" s="360"/>
      <c r="AA1185" s="360"/>
      <c r="AB1185" s="360"/>
      <c r="AC1185" s="360"/>
      <c r="AD1185" s="360"/>
      <c r="AE1185" s="360"/>
    </row>
    <row r="1186" spans="4:31" x14ac:dyDescent="0.2">
      <c r="D1186" s="360"/>
      <c r="E1186" s="360"/>
      <c r="F1186" s="360"/>
      <c r="G1186" s="360"/>
      <c r="H1186" s="361"/>
      <c r="I1186" s="361"/>
      <c r="J1186" s="361"/>
      <c r="K1186" s="361"/>
      <c r="L1186" s="361"/>
      <c r="M1186" s="360"/>
      <c r="N1186" s="360"/>
      <c r="O1186" s="360"/>
      <c r="P1186" s="360"/>
      <c r="Q1186" s="360"/>
      <c r="R1186" s="360"/>
      <c r="S1186" s="360"/>
      <c r="T1186" s="360"/>
      <c r="U1186" s="360"/>
      <c r="V1186" s="360"/>
      <c r="W1186" s="360"/>
      <c r="X1186" s="360"/>
      <c r="Y1186" s="360"/>
      <c r="Z1186" s="360"/>
      <c r="AA1186" s="360"/>
      <c r="AB1186" s="360"/>
      <c r="AC1186" s="360"/>
      <c r="AD1186" s="360"/>
      <c r="AE1186" s="360"/>
    </row>
    <row r="1187" spans="4:31" x14ac:dyDescent="0.2">
      <c r="D1187" s="360"/>
      <c r="E1187" s="360"/>
      <c r="F1187" s="360"/>
      <c r="G1187" s="360"/>
      <c r="H1187" s="361"/>
      <c r="I1187" s="361"/>
      <c r="J1187" s="361"/>
      <c r="K1187" s="361"/>
      <c r="L1187" s="361"/>
      <c r="M1187" s="360"/>
      <c r="N1187" s="360"/>
      <c r="O1187" s="360"/>
      <c r="P1187" s="360"/>
      <c r="Q1187" s="360"/>
      <c r="R1187" s="360"/>
      <c r="S1187" s="360"/>
      <c r="T1187" s="360"/>
      <c r="U1187" s="360"/>
      <c r="V1187" s="360"/>
      <c r="W1187" s="360"/>
      <c r="X1187" s="360"/>
      <c r="Y1187" s="360"/>
      <c r="Z1187" s="360"/>
      <c r="AA1187" s="360"/>
      <c r="AB1187" s="360"/>
      <c r="AC1187" s="360"/>
      <c r="AD1187" s="360"/>
      <c r="AE1187" s="360"/>
    </row>
    <row r="1188" spans="4:31" x14ac:dyDescent="0.2">
      <c r="D1188" s="360"/>
      <c r="E1188" s="360"/>
      <c r="F1188" s="360"/>
      <c r="G1188" s="360"/>
      <c r="H1188" s="361"/>
      <c r="I1188" s="361"/>
      <c r="J1188" s="361"/>
      <c r="K1188" s="361"/>
      <c r="L1188" s="361"/>
      <c r="M1188" s="360"/>
      <c r="N1188" s="360"/>
      <c r="O1188" s="360"/>
      <c r="P1188" s="360"/>
      <c r="Q1188" s="360"/>
      <c r="R1188" s="360"/>
      <c r="S1188" s="360"/>
      <c r="T1188" s="360"/>
      <c r="U1188" s="360"/>
      <c r="V1188" s="360"/>
      <c r="W1188" s="360"/>
      <c r="X1188" s="360"/>
      <c r="Y1188" s="360"/>
      <c r="Z1188" s="360"/>
      <c r="AA1188" s="360"/>
      <c r="AB1188" s="360"/>
      <c r="AC1188" s="360"/>
      <c r="AD1188" s="360"/>
      <c r="AE1188" s="360"/>
    </row>
    <row r="1189" spans="4:31" x14ac:dyDescent="0.2">
      <c r="D1189" s="360"/>
      <c r="E1189" s="360"/>
      <c r="F1189" s="360"/>
      <c r="G1189" s="360"/>
      <c r="H1189" s="361"/>
      <c r="I1189" s="361"/>
      <c r="J1189" s="361"/>
      <c r="K1189" s="361"/>
      <c r="L1189" s="361"/>
      <c r="M1189" s="360"/>
      <c r="N1189" s="360"/>
      <c r="O1189" s="360"/>
      <c r="P1189" s="360"/>
      <c r="Q1189" s="360"/>
      <c r="R1189" s="360"/>
      <c r="S1189" s="360"/>
      <c r="T1189" s="360"/>
      <c r="U1189" s="360"/>
      <c r="V1189" s="360"/>
      <c r="W1189" s="360"/>
      <c r="X1189" s="360"/>
      <c r="Y1189" s="360"/>
      <c r="Z1189" s="360"/>
      <c r="AA1189" s="360"/>
      <c r="AB1189" s="360"/>
      <c r="AC1189" s="360"/>
      <c r="AD1189" s="360"/>
      <c r="AE1189" s="360"/>
    </row>
    <row r="1190" spans="4:31" x14ac:dyDescent="0.2">
      <c r="D1190" s="360"/>
      <c r="E1190" s="360"/>
      <c r="F1190" s="360"/>
      <c r="G1190" s="360"/>
      <c r="H1190" s="361"/>
      <c r="I1190" s="361"/>
      <c r="J1190" s="361"/>
      <c r="K1190" s="361"/>
      <c r="L1190" s="361"/>
      <c r="M1190" s="360"/>
      <c r="N1190" s="360"/>
      <c r="O1190" s="360"/>
      <c r="P1190" s="360"/>
      <c r="Q1190" s="360"/>
      <c r="R1190" s="360"/>
      <c r="S1190" s="360"/>
      <c r="T1190" s="360"/>
      <c r="U1190" s="360"/>
      <c r="V1190" s="360"/>
      <c r="W1190" s="360"/>
      <c r="X1190" s="360"/>
      <c r="Y1190" s="360"/>
      <c r="Z1190" s="360"/>
      <c r="AA1190" s="360"/>
      <c r="AB1190" s="360"/>
      <c r="AC1190" s="360"/>
      <c r="AD1190" s="360"/>
      <c r="AE1190" s="360"/>
    </row>
    <row r="1191" spans="4:31" x14ac:dyDescent="0.2">
      <c r="D1191" s="360"/>
      <c r="E1191" s="360"/>
      <c r="F1191" s="360"/>
      <c r="G1191" s="360"/>
      <c r="H1191" s="361"/>
      <c r="I1191" s="361"/>
      <c r="J1191" s="361"/>
      <c r="K1191" s="361"/>
      <c r="L1191" s="361"/>
      <c r="M1191" s="360"/>
      <c r="N1191" s="360"/>
      <c r="O1191" s="360"/>
      <c r="P1191" s="360"/>
      <c r="Q1191" s="360"/>
      <c r="R1191" s="360"/>
      <c r="S1191" s="360"/>
      <c r="T1191" s="360"/>
      <c r="U1191" s="360"/>
      <c r="V1191" s="360"/>
      <c r="W1191" s="360"/>
      <c r="X1191" s="360"/>
      <c r="Y1191" s="360"/>
      <c r="Z1191" s="360"/>
      <c r="AA1191" s="360"/>
      <c r="AB1191" s="360"/>
      <c r="AC1191" s="360"/>
      <c r="AD1191" s="360"/>
      <c r="AE1191" s="360"/>
    </row>
    <row r="1192" spans="4:31" x14ac:dyDescent="0.2">
      <c r="D1192" s="360"/>
      <c r="E1192" s="360"/>
      <c r="F1192" s="360"/>
      <c r="G1192" s="360"/>
      <c r="H1192" s="361"/>
      <c r="I1192" s="361"/>
      <c r="J1192" s="361"/>
      <c r="K1192" s="361"/>
      <c r="L1192" s="361"/>
      <c r="M1192" s="360"/>
      <c r="N1192" s="360"/>
      <c r="O1192" s="360"/>
      <c r="P1192" s="360"/>
      <c r="Q1192" s="360"/>
      <c r="R1192" s="360"/>
      <c r="S1192" s="360"/>
      <c r="T1192" s="360"/>
      <c r="U1192" s="360"/>
      <c r="V1192" s="360"/>
      <c r="W1192" s="360"/>
      <c r="X1192" s="360"/>
      <c r="Y1192" s="360"/>
      <c r="Z1192" s="360"/>
      <c r="AA1192" s="360"/>
      <c r="AB1192" s="360"/>
      <c r="AC1192" s="360"/>
      <c r="AD1192" s="360"/>
      <c r="AE1192" s="360"/>
    </row>
    <row r="1193" spans="4:31" x14ac:dyDescent="0.2">
      <c r="D1193" s="360"/>
      <c r="E1193" s="360"/>
      <c r="F1193" s="360"/>
      <c r="G1193" s="360"/>
      <c r="H1193" s="361"/>
      <c r="I1193" s="361"/>
      <c r="J1193" s="361"/>
      <c r="K1193" s="361"/>
      <c r="L1193" s="361"/>
      <c r="M1193" s="360"/>
      <c r="N1193" s="360"/>
      <c r="O1193" s="360"/>
      <c r="P1193" s="360"/>
      <c r="Q1193" s="360"/>
      <c r="R1193" s="360"/>
      <c r="S1193" s="360"/>
      <c r="T1193" s="360"/>
      <c r="U1193" s="360"/>
      <c r="V1193" s="360"/>
      <c r="W1193" s="360"/>
      <c r="X1193" s="360"/>
      <c r="Y1193" s="360"/>
      <c r="Z1193" s="360"/>
      <c r="AA1193" s="360"/>
      <c r="AB1193" s="360"/>
      <c r="AC1193" s="360"/>
      <c r="AD1193" s="360"/>
      <c r="AE1193" s="360"/>
    </row>
    <row r="1194" spans="4:31" x14ac:dyDescent="0.2">
      <c r="D1194" s="360"/>
      <c r="E1194" s="360"/>
      <c r="F1194" s="360"/>
      <c r="G1194" s="360"/>
      <c r="H1194" s="361"/>
      <c r="I1194" s="361"/>
      <c r="J1194" s="361"/>
      <c r="K1194" s="361"/>
      <c r="L1194" s="361"/>
      <c r="M1194" s="360"/>
      <c r="N1194" s="360"/>
      <c r="O1194" s="360"/>
      <c r="P1194" s="360"/>
      <c r="Q1194" s="360"/>
      <c r="R1194" s="360"/>
      <c r="S1194" s="360"/>
      <c r="T1194" s="360"/>
      <c r="U1194" s="360"/>
      <c r="V1194" s="360"/>
      <c r="W1194" s="360"/>
      <c r="X1194" s="360"/>
      <c r="Y1194" s="360"/>
      <c r="Z1194" s="360"/>
      <c r="AA1194" s="360"/>
      <c r="AB1194" s="360"/>
      <c r="AC1194" s="360"/>
      <c r="AD1194" s="360"/>
      <c r="AE1194" s="360"/>
    </row>
    <row r="1195" spans="4:31" x14ac:dyDescent="0.2">
      <c r="D1195" s="360"/>
      <c r="E1195" s="360"/>
      <c r="F1195" s="360"/>
      <c r="G1195" s="360"/>
      <c r="H1195" s="361"/>
      <c r="I1195" s="361"/>
      <c r="J1195" s="361"/>
      <c r="K1195" s="361"/>
      <c r="L1195" s="361"/>
      <c r="M1195" s="360"/>
      <c r="N1195" s="360"/>
      <c r="O1195" s="360"/>
      <c r="P1195" s="360"/>
      <c r="Q1195" s="360"/>
      <c r="R1195" s="360"/>
      <c r="S1195" s="360"/>
      <c r="T1195" s="360"/>
      <c r="U1195" s="360"/>
      <c r="V1195" s="360"/>
      <c r="W1195" s="360"/>
      <c r="X1195" s="360"/>
      <c r="Y1195" s="360"/>
      <c r="Z1195" s="360"/>
      <c r="AA1195" s="360"/>
      <c r="AB1195" s="360"/>
      <c r="AC1195" s="360"/>
      <c r="AD1195" s="360"/>
      <c r="AE1195" s="360"/>
    </row>
    <row r="1196" spans="4:31" x14ac:dyDescent="0.2">
      <c r="D1196" s="360"/>
      <c r="E1196" s="360"/>
      <c r="F1196" s="360"/>
      <c r="G1196" s="360"/>
      <c r="H1196" s="361"/>
      <c r="I1196" s="361"/>
      <c r="J1196" s="361"/>
      <c r="K1196" s="361"/>
      <c r="L1196" s="361"/>
      <c r="M1196" s="360"/>
      <c r="N1196" s="360"/>
      <c r="O1196" s="360"/>
      <c r="P1196" s="360"/>
      <c r="Q1196" s="360"/>
      <c r="R1196" s="360"/>
      <c r="S1196" s="360"/>
      <c r="T1196" s="360"/>
      <c r="U1196" s="360"/>
      <c r="V1196" s="360"/>
      <c r="W1196" s="360"/>
      <c r="X1196" s="360"/>
      <c r="Y1196" s="360"/>
      <c r="Z1196" s="360"/>
      <c r="AA1196" s="360"/>
      <c r="AB1196" s="360"/>
      <c r="AC1196" s="360"/>
      <c r="AD1196" s="360"/>
      <c r="AE1196" s="360"/>
    </row>
    <row r="1197" spans="4:31" x14ac:dyDescent="0.2">
      <c r="D1197" s="360"/>
      <c r="E1197" s="360"/>
      <c r="F1197" s="360"/>
      <c r="G1197" s="360"/>
      <c r="H1197" s="361"/>
      <c r="I1197" s="361"/>
      <c r="J1197" s="361"/>
      <c r="K1197" s="361"/>
      <c r="L1197" s="361"/>
      <c r="M1197" s="360"/>
      <c r="N1197" s="360"/>
      <c r="O1197" s="360"/>
      <c r="P1197" s="360"/>
      <c r="Q1197" s="360"/>
      <c r="R1197" s="360"/>
      <c r="S1197" s="360"/>
      <c r="T1197" s="360"/>
      <c r="U1197" s="360"/>
      <c r="V1197" s="360"/>
      <c r="W1197" s="360"/>
      <c r="X1197" s="360"/>
      <c r="Y1197" s="360"/>
      <c r="Z1197" s="360"/>
      <c r="AA1197" s="360"/>
      <c r="AB1197" s="360"/>
      <c r="AC1197" s="360"/>
      <c r="AD1197" s="360"/>
      <c r="AE1197" s="360"/>
    </row>
    <row r="1198" spans="4:31" x14ac:dyDescent="0.2">
      <c r="D1198" s="360"/>
      <c r="E1198" s="360"/>
      <c r="F1198" s="360"/>
      <c r="G1198" s="360"/>
      <c r="H1198" s="361"/>
      <c r="I1198" s="361"/>
      <c r="J1198" s="361"/>
      <c r="K1198" s="361"/>
      <c r="L1198" s="361"/>
      <c r="M1198" s="360"/>
      <c r="N1198" s="360"/>
      <c r="O1198" s="360"/>
      <c r="P1198" s="360"/>
      <c r="Q1198" s="360"/>
      <c r="R1198" s="360"/>
      <c r="S1198" s="360"/>
      <c r="T1198" s="360"/>
      <c r="U1198" s="360"/>
      <c r="V1198" s="360"/>
      <c r="W1198" s="360"/>
      <c r="X1198" s="360"/>
      <c r="Y1198" s="360"/>
      <c r="Z1198" s="360"/>
      <c r="AA1198" s="360"/>
      <c r="AB1198" s="360"/>
      <c r="AC1198" s="360"/>
      <c r="AD1198" s="360"/>
      <c r="AE1198" s="360"/>
    </row>
    <row r="1199" spans="4:31" x14ac:dyDescent="0.2">
      <c r="D1199" s="360"/>
      <c r="E1199" s="360"/>
      <c r="F1199" s="360"/>
      <c r="G1199" s="360"/>
      <c r="H1199" s="361"/>
      <c r="I1199" s="361"/>
      <c r="J1199" s="361"/>
      <c r="K1199" s="361"/>
      <c r="L1199" s="361"/>
      <c r="M1199" s="360"/>
      <c r="N1199" s="360"/>
      <c r="O1199" s="360"/>
      <c r="P1199" s="360"/>
      <c r="Q1199" s="360"/>
      <c r="R1199" s="360"/>
      <c r="S1199" s="360"/>
      <c r="T1199" s="360"/>
      <c r="U1199" s="360"/>
      <c r="V1199" s="360"/>
      <c r="W1199" s="360"/>
      <c r="X1199" s="360"/>
      <c r="Y1199" s="360"/>
      <c r="Z1199" s="360"/>
      <c r="AA1199" s="360"/>
      <c r="AB1199" s="360"/>
      <c r="AC1199" s="360"/>
      <c r="AD1199" s="360"/>
      <c r="AE1199" s="360"/>
    </row>
    <row r="1200" spans="4:31" x14ac:dyDescent="0.2">
      <c r="D1200" s="360"/>
      <c r="E1200" s="360"/>
      <c r="F1200" s="360"/>
      <c r="G1200" s="360"/>
      <c r="H1200" s="361"/>
      <c r="I1200" s="361"/>
      <c r="J1200" s="361"/>
      <c r="K1200" s="361"/>
      <c r="L1200" s="361"/>
      <c r="M1200" s="360"/>
      <c r="N1200" s="360"/>
      <c r="O1200" s="360"/>
      <c r="P1200" s="360"/>
      <c r="Q1200" s="360"/>
      <c r="R1200" s="360"/>
      <c r="S1200" s="360"/>
      <c r="T1200" s="360"/>
      <c r="U1200" s="360"/>
      <c r="V1200" s="360"/>
      <c r="W1200" s="360"/>
      <c r="X1200" s="360"/>
      <c r="Y1200" s="360"/>
      <c r="Z1200" s="360"/>
      <c r="AA1200" s="360"/>
      <c r="AB1200" s="360"/>
      <c r="AC1200" s="360"/>
      <c r="AD1200" s="360"/>
      <c r="AE1200" s="360"/>
    </row>
    <row r="1201" spans="4:31" x14ac:dyDescent="0.2">
      <c r="D1201" s="360"/>
      <c r="E1201" s="360"/>
      <c r="F1201" s="360"/>
      <c r="G1201" s="360"/>
      <c r="H1201" s="361"/>
      <c r="I1201" s="361"/>
      <c r="J1201" s="361"/>
      <c r="K1201" s="361"/>
      <c r="L1201" s="361"/>
      <c r="M1201" s="360"/>
      <c r="N1201" s="360"/>
      <c r="O1201" s="360"/>
      <c r="P1201" s="360"/>
      <c r="Q1201" s="360"/>
      <c r="R1201" s="360"/>
      <c r="S1201" s="360"/>
      <c r="T1201" s="360"/>
      <c r="U1201" s="360"/>
      <c r="V1201" s="360"/>
      <c r="W1201" s="360"/>
      <c r="X1201" s="360"/>
      <c r="Y1201" s="360"/>
      <c r="Z1201" s="360"/>
      <c r="AA1201" s="360"/>
      <c r="AB1201" s="360"/>
      <c r="AC1201" s="360"/>
      <c r="AD1201" s="360"/>
      <c r="AE1201" s="360"/>
    </row>
    <row r="1202" spans="4:31" x14ac:dyDescent="0.2">
      <c r="D1202" s="360"/>
      <c r="E1202" s="360"/>
      <c r="F1202" s="360"/>
      <c r="G1202" s="360"/>
      <c r="H1202" s="361"/>
      <c r="I1202" s="361"/>
      <c r="J1202" s="361"/>
      <c r="K1202" s="361"/>
      <c r="L1202" s="361"/>
      <c r="M1202" s="360"/>
      <c r="N1202" s="360"/>
      <c r="O1202" s="360"/>
      <c r="P1202" s="360"/>
      <c r="Q1202" s="360"/>
      <c r="R1202" s="360"/>
      <c r="S1202" s="360"/>
      <c r="T1202" s="360"/>
      <c r="U1202" s="360"/>
      <c r="V1202" s="360"/>
      <c r="W1202" s="360"/>
      <c r="X1202" s="360"/>
      <c r="Y1202" s="360"/>
      <c r="Z1202" s="360"/>
      <c r="AA1202" s="360"/>
      <c r="AB1202" s="360"/>
      <c r="AC1202" s="360"/>
      <c r="AD1202" s="360"/>
      <c r="AE1202" s="360"/>
    </row>
    <row r="1203" spans="4:31" x14ac:dyDescent="0.2">
      <c r="D1203" s="360"/>
      <c r="E1203" s="360"/>
      <c r="F1203" s="360"/>
      <c r="G1203" s="360"/>
      <c r="H1203" s="361"/>
      <c r="I1203" s="361"/>
      <c r="J1203" s="361"/>
      <c r="K1203" s="361"/>
      <c r="L1203" s="361"/>
      <c r="M1203" s="360"/>
      <c r="N1203" s="360"/>
      <c r="O1203" s="360"/>
      <c r="P1203" s="360"/>
      <c r="Q1203" s="360"/>
      <c r="R1203" s="360"/>
      <c r="S1203" s="360"/>
      <c r="T1203" s="360"/>
      <c r="U1203" s="360"/>
      <c r="V1203" s="360"/>
      <c r="W1203" s="360"/>
      <c r="X1203" s="360"/>
      <c r="Y1203" s="360"/>
      <c r="Z1203" s="360"/>
      <c r="AA1203" s="360"/>
      <c r="AB1203" s="360"/>
      <c r="AC1203" s="360"/>
      <c r="AD1203" s="360"/>
      <c r="AE1203" s="360"/>
    </row>
    <row r="1204" spans="4:31" x14ac:dyDescent="0.2">
      <c r="D1204" s="360"/>
      <c r="E1204" s="360"/>
      <c r="F1204" s="360"/>
      <c r="G1204" s="360"/>
      <c r="H1204" s="361"/>
      <c r="I1204" s="361"/>
      <c r="J1204" s="361"/>
      <c r="K1204" s="361"/>
      <c r="L1204" s="361"/>
      <c r="M1204" s="360"/>
      <c r="N1204" s="360"/>
      <c r="O1204" s="360"/>
      <c r="P1204" s="360"/>
      <c r="Q1204" s="360"/>
      <c r="R1204" s="360"/>
      <c r="S1204" s="360"/>
      <c r="T1204" s="360"/>
      <c r="U1204" s="360"/>
      <c r="V1204" s="360"/>
      <c r="W1204" s="360"/>
      <c r="X1204" s="360"/>
      <c r="Y1204" s="360"/>
      <c r="Z1204" s="360"/>
      <c r="AA1204" s="360"/>
      <c r="AB1204" s="360"/>
      <c r="AC1204" s="360"/>
      <c r="AD1204" s="360"/>
      <c r="AE1204" s="360"/>
    </row>
    <row r="1205" spans="4:31" x14ac:dyDescent="0.2">
      <c r="D1205" s="360"/>
      <c r="E1205" s="360"/>
      <c r="F1205" s="360"/>
      <c r="G1205" s="360"/>
      <c r="H1205" s="361"/>
      <c r="I1205" s="361"/>
      <c r="J1205" s="361"/>
      <c r="K1205" s="361"/>
      <c r="L1205" s="361"/>
      <c r="M1205" s="360"/>
      <c r="N1205" s="360"/>
      <c r="O1205" s="360"/>
      <c r="P1205" s="360"/>
      <c r="Q1205" s="360"/>
      <c r="R1205" s="360"/>
      <c r="S1205" s="360"/>
      <c r="T1205" s="360"/>
      <c r="U1205" s="360"/>
      <c r="V1205" s="360"/>
      <c r="W1205" s="360"/>
      <c r="X1205" s="360"/>
      <c r="Y1205" s="360"/>
      <c r="Z1205" s="360"/>
      <c r="AA1205" s="360"/>
      <c r="AB1205" s="360"/>
      <c r="AC1205" s="360"/>
      <c r="AD1205" s="360"/>
      <c r="AE1205" s="360"/>
    </row>
    <row r="1206" spans="4:31" x14ac:dyDescent="0.2">
      <c r="D1206" s="360"/>
      <c r="E1206" s="360"/>
      <c r="F1206" s="360"/>
      <c r="G1206" s="360"/>
      <c r="H1206" s="361"/>
      <c r="I1206" s="361"/>
      <c r="J1206" s="361"/>
      <c r="K1206" s="361"/>
      <c r="L1206" s="361"/>
      <c r="M1206" s="360"/>
      <c r="N1206" s="360"/>
      <c r="O1206" s="360"/>
      <c r="P1206" s="360"/>
      <c r="Q1206" s="360"/>
      <c r="R1206" s="360"/>
      <c r="S1206" s="360"/>
      <c r="T1206" s="360"/>
      <c r="U1206" s="360"/>
      <c r="V1206" s="360"/>
      <c r="W1206" s="360"/>
      <c r="X1206" s="360"/>
      <c r="Y1206" s="360"/>
      <c r="Z1206" s="360"/>
      <c r="AA1206" s="360"/>
      <c r="AB1206" s="360"/>
      <c r="AC1206" s="360"/>
      <c r="AD1206" s="360"/>
      <c r="AE1206" s="360"/>
    </row>
    <row r="1207" spans="4:31" x14ac:dyDescent="0.2">
      <c r="D1207" s="360"/>
      <c r="E1207" s="360"/>
      <c r="F1207" s="360"/>
      <c r="G1207" s="360"/>
      <c r="H1207" s="361"/>
      <c r="I1207" s="361"/>
      <c r="J1207" s="361"/>
      <c r="K1207" s="361"/>
      <c r="L1207" s="361"/>
      <c r="M1207" s="360"/>
      <c r="N1207" s="360"/>
      <c r="O1207" s="360"/>
      <c r="P1207" s="360"/>
      <c r="Q1207" s="360"/>
      <c r="R1207" s="360"/>
      <c r="S1207" s="360"/>
      <c r="T1207" s="360"/>
      <c r="U1207" s="360"/>
      <c r="V1207" s="360"/>
      <c r="W1207" s="360"/>
      <c r="X1207" s="360"/>
      <c r="Y1207" s="360"/>
      <c r="Z1207" s="360"/>
      <c r="AA1207" s="360"/>
      <c r="AB1207" s="360"/>
      <c r="AC1207" s="360"/>
      <c r="AD1207" s="360"/>
      <c r="AE1207" s="360"/>
    </row>
    <row r="1208" spans="4:31" x14ac:dyDescent="0.2">
      <c r="D1208" s="360"/>
      <c r="E1208" s="360"/>
      <c r="F1208" s="360"/>
      <c r="G1208" s="360"/>
      <c r="H1208" s="361"/>
      <c r="I1208" s="361"/>
      <c r="J1208" s="361"/>
      <c r="K1208" s="361"/>
      <c r="L1208" s="361"/>
      <c r="M1208" s="360"/>
      <c r="N1208" s="360"/>
      <c r="O1208" s="360"/>
      <c r="P1208" s="360"/>
      <c r="Q1208" s="360"/>
      <c r="R1208" s="360"/>
      <c r="S1208" s="360"/>
      <c r="T1208" s="360"/>
      <c r="U1208" s="360"/>
      <c r="V1208" s="360"/>
      <c r="W1208" s="360"/>
      <c r="X1208" s="360"/>
      <c r="Y1208" s="360"/>
      <c r="Z1208" s="360"/>
      <c r="AA1208" s="360"/>
      <c r="AB1208" s="360"/>
      <c r="AC1208" s="360"/>
      <c r="AD1208" s="360"/>
      <c r="AE1208" s="360"/>
    </row>
    <row r="1209" spans="4:31" x14ac:dyDescent="0.2">
      <c r="D1209" s="360"/>
      <c r="E1209" s="360"/>
      <c r="F1209" s="360"/>
      <c r="G1209" s="360"/>
      <c r="H1209" s="361"/>
      <c r="I1209" s="361"/>
      <c r="J1209" s="361"/>
      <c r="K1209" s="361"/>
      <c r="L1209" s="361"/>
      <c r="M1209" s="360"/>
      <c r="N1209" s="360"/>
      <c r="O1209" s="360"/>
      <c r="P1209" s="360"/>
      <c r="Q1209" s="360"/>
      <c r="R1209" s="360"/>
      <c r="S1209" s="360"/>
      <c r="T1209" s="360"/>
      <c r="U1209" s="360"/>
      <c r="V1209" s="360"/>
      <c r="W1209" s="360"/>
      <c r="X1209" s="360"/>
      <c r="Y1209" s="360"/>
      <c r="Z1209" s="360"/>
      <c r="AA1209" s="360"/>
      <c r="AB1209" s="360"/>
      <c r="AC1209" s="360"/>
      <c r="AD1209" s="360"/>
      <c r="AE1209" s="360"/>
    </row>
    <row r="1210" spans="4:31" x14ac:dyDescent="0.2">
      <c r="D1210" s="360"/>
      <c r="E1210" s="360"/>
      <c r="F1210" s="360"/>
      <c r="G1210" s="360"/>
      <c r="H1210" s="361"/>
      <c r="I1210" s="361"/>
      <c r="J1210" s="361"/>
      <c r="K1210" s="361"/>
      <c r="L1210" s="361"/>
      <c r="M1210" s="360"/>
      <c r="N1210" s="360"/>
      <c r="O1210" s="360"/>
      <c r="P1210" s="360"/>
      <c r="Q1210" s="360"/>
      <c r="R1210" s="360"/>
      <c r="S1210" s="360"/>
      <c r="T1210" s="360"/>
      <c r="U1210" s="360"/>
      <c r="V1210" s="360"/>
      <c r="W1210" s="360"/>
      <c r="X1210" s="360"/>
      <c r="Y1210" s="360"/>
      <c r="Z1210" s="360"/>
      <c r="AA1210" s="360"/>
      <c r="AB1210" s="360"/>
      <c r="AC1210" s="360"/>
      <c r="AD1210" s="360"/>
      <c r="AE1210" s="360"/>
    </row>
    <row r="1211" spans="4:31" x14ac:dyDescent="0.2">
      <c r="D1211" s="360"/>
      <c r="E1211" s="360"/>
      <c r="F1211" s="360"/>
      <c r="G1211" s="360"/>
      <c r="H1211" s="361"/>
      <c r="I1211" s="361"/>
      <c r="J1211" s="361"/>
      <c r="K1211" s="361"/>
      <c r="L1211" s="361"/>
      <c r="M1211" s="360"/>
      <c r="N1211" s="360"/>
      <c r="O1211" s="360"/>
      <c r="P1211" s="360"/>
      <c r="Q1211" s="360"/>
      <c r="R1211" s="360"/>
      <c r="S1211" s="360"/>
      <c r="T1211" s="360"/>
      <c r="U1211" s="360"/>
      <c r="V1211" s="360"/>
      <c r="W1211" s="360"/>
      <c r="X1211" s="360"/>
      <c r="Y1211" s="360"/>
      <c r="Z1211" s="360"/>
      <c r="AA1211" s="360"/>
      <c r="AB1211" s="360"/>
      <c r="AC1211" s="360"/>
      <c r="AD1211" s="360"/>
      <c r="AE1211" s="360"/>
    </row>
    <row r="1212" spans="4:31" x14ac:dyDescent="0.2">
      <c r="D1212" s="360"/>
      <c r="E1212" s="360"/>
      <c r="F1212" s="360"/>
      <c r="G1212" s="360"/>
      <c r="H1212" s="361"/>
      <c r="I1212" s="361"/>
      <c r="J1212" s="361"/>
      <c r="K1212" s="361"/>
      <c r="L1212" s="361"/>
      <c r="M1212" s="360"/>
      <c r="N1212" s="360"/>
      <c r="O1212" s="360"/>
      <c r="P1212" s="360"/>
      <c r="Q1212" s="360"/>
      <c r="R1212" s="360"/>
      <c r="S1212" s="360"/>
      <c r="T1212" s="360"/>
      <c r="U1212" s="360"/>
      <c r="V1212" s="360"/>
      <c r="W1212" s="360"/>
      <c r="X1212" s="360"/>
      <c r="Y1212" s="360"/>
      <c r="Z1212" s="360"/>
      <c r="AA1212" s="360"/>
      <c r="AB1212" s="360"/>
      <c r="AC1212" s="360"/>
      <c r="AD1212" s="360"/>
      <c r="AE1212" s="360"/>
    </row>
    <row r="1213" spans="4:31" x14ac:dyDescent="0.2">
      <c r="D1213" s="360"/>
      <c r="E1213" s="360"/>
      <c r="F1213" s="360"/>
      <c r="G1213" s="360"/>
      <c r="H1213" s="361"/>
      <c r="I1213" s="361"/>
      <c r="J1213" s="361"/>
      <c r="K1213" s="361"/>
      <c r="L1213" s="361"/>
      <c r="M1213" s="360"/>
      <c r="N1213" s="360"/>
      <c r="O1213" s="360"/>
      <c r="P1213" s="360"/>
      <c r="Q1213" s="360"/>
      <c r="R1213" s="360"/>
      <c r="S1213" s="360"/>
      <c r="T1213" s="360"/>
      <c r="U1213" s="360"/>
      <c r="V1213" s="360"/>
      <c r="W1213" s="360"/>
      <c r="X1213" s="360"/>
      <c r="Y1213" s="360"/>
      <c r="Z1213" s="360"/>
      <c r="AA1213" s="360"/>
      <c r="AB1213" s="360"/>
      <c r="AC1213" s="360"/>
      <c r="AD1213" s="360"/>
      <c r="AE1213" s="360"/>
    </row>
    <row r="1214" spans="4:31" x14ac:dyDescent="0.2">
      <c r="D1214" s="360"/>
      <c r="E1214" s="360"/>
      <c r="F1214" s="360"/>
      <c r="G1214" s="360"/>
      <c r="H1214" s="361"/>
      <c r="I1214" s="361"/>
      <c r="J1214" s="361"/>
      <c r="K1214" s="361"/>
      <c r="L1214" s="361"/>
      <c r="M1214" s="360"/>
      <c r="N1214" s="360"/>
      <c r="O1214" s="360"/>
      <c r="P1214" s="360"/>
      <c r="Q1214" s="360"/>
      <c r="R1214" s="360"/>
      <c r="S1214" s="360"/>
      <c r="T1214" s="360"/>
      <c r="U1214" s="360"/>
      <c r="V1214" s="360"/>
      <c r="W1214" s="360"/>
      <c r="X1214" s="360"/>
      <c r="Y1214" s="360"/>
      <c r="Z1214" s="360"/>
      <c r="AA1214" s="360"/>
      <c r="AB1214" s="360"/>
      <c r="AC1214" s="360"/>
      <c r="AD1214" s="360"/>
      <c r="AE1214" s="360"/>
    </row>
    <row r="1215" spans="4:31" x14ac:dyDescent="0.2">
      <c r="D1215" s="360"/>
      <c r="E1215" s="360"/>
      <c r="F1215" s="360"/>
      <c r="G1215" s="360"/>
      <c r="H1215" s="361"/>
      <c r="I1215" s="361"/>
      <c r="J1215" s="361"/>
      <c r="K1215" s="361"/>
      <c r="L1215" s="361"/>
      <c r="M1215" s="360"/>
      <c r="N1215" s="360"/>
      <c r="O1215" s="360"/>
      <c r="P1215" s="360"/>
      <c r="Q1215" s="360"/>
      <c r="R1215" s="360"/>
      <c r="S1215" s="360"/>
      <c r="T1215" s="360"/>
      <c r="U1215" s="360"/>
      <c r="V1215" s="360"/>
      <c r="W1215" s="360"/>
      <c r="X1215" s="360"/>
      <c r="Y1215" s="360"/>
      <c r="Z1215" s="360"/>
      <c r="AA1215" s="360"/>
      <c r="AB1215" s="360"/>
      <c r="AC1215" s="360"/>
      <c r="AD1215" s="360"/>
      <c r="AE1215" s="360"/>
    </row>
    <row r="1216" spans="4:31" x14ac:dyDescent="0.2">
      <c r="D1216" s="360"/>
      <c r="E1216" s="360"/>
      <c r="F1216" s="360"/>
      <c r="G1216" s="360"/>
      <c r="H1216" s="361"/>
      <c r="I1216" s="361"/>
      <c r="J1216" s="361"/>
      <c r="K1216" s="361"/>
      <c r="L1216" s="361"/>
      <c r="M1216" s="360"/>
      <c r="N1216" s="360"/>
      <c r="O1216" s="360"/>
      <c r="P1216" s="360"/>
      <c r="Q1216" s="360"/>
      <c r="R1216" s="360"/>
      <c r="S1216" s="360"/>
      <c r="T1216" s="360"/>
      <c r="U1216" s="360"/>
      <c r="V1216" s="360"/>
      <c r="W1216" s="360"/>
      <c r="X1216" s="360"/>
      <c r="Y1216" s="360"/>
      <c r="Z1216" s="360"/>
      <c r="AA1216" s="360"/>
      <c r="AB1216" s="360"/>
      <c r="AC1216" s="360"/>
      <c r="AD1216" s="360"/>
      <c r="AE1216" s="360"/>
    </row>
    <row r="1217" spans="4:31" x14ac:dyDescent="0.2">
      <c r="D1217" s="360"/>
      <c r="E1217" s="360"/>
      <c r="F1217" s="360"/>
      <c r="G1217" s="360"/>
      <c r="H1217" s="361"/>
      <c r="I1217" s="361"/>
      <c r="J1217" s="361"/>
      <c r="K1217" s="361"/>
      <c r="L1217" s="361"/>
      <c r="M1217" s="360"/>
      <c r="N1217" s="360"/>
      <c r="O1217" s="360"/>
      <c r="P1217" s="360"/>
      <c r="Q1217" s="360"/>
      <c r="R1217" s="360"/>
      <c r="S1217" s="360"/>
      <c r="T1217" s="360"/>
      <c r="U1217" s="360"/>
      <c r="V1217" s="360"/>
      <c r="W1217" s="360"/>
      <c r="X1217" s="360"/>
      <c r="Y1217" s="360"/>
      <c r="Z1217" s="360"/>
      <c r="AA1217" s="360"/>
      <c r="AB1217" s="360"/>
      <c r="AC1217" s="360"/>
      <c r="AD1217" s="360"/>
      <c r="AE1217" s="360"/>
    </row>
    <row r="1218" spans="4:31" x14ac:dyDescent="0.2">
      <c r="D1218" s="360"/>
      <c r="E1218" s="360"/>
      <c r="F1218" s="360"/>
      <c r="G1218" s="360"/>
      <c r="H1218" s="361"/>
      <c r="I1218" s="361"/>
      <c r="J1218" s="361"/>
      <c r="K1218" s="361"/>
      <c r="L1218" s="361"/>
      <c r="M1218" s="360"/>
      <c r="N1218" s="360"/>
      <c r="O1218" s="360"/>
      <c r="P1218" s="360"/>
      <c r="Q1218" s="360"/>
      <c r="R1218" s="360"/>
      <c r="S1218" s="360"/>
      <c r="T1218" s="360"/>
      <c r="U1218" s="360"/>
      <c r="V1218" s="360"/>
      <c r="W1218" s="360"/>
      <c r="X1218" s="360"/>
      <c r="Y1218" s="360"/>
      <c r="Z1218" s="360"/>
      <c r="AA1218" s="360"/>
      <c r="AB1218" s="360"/>
      <c r="AC1218" s="360"/>
      <c r="AD1218" s="360"/>
      <c r="AE1218" s="360"/>
    </row>
    <row r="1219" spans="4:31" x14ac:dyDescent="0.2">
      <c r="D1219" s="360"/>
      <c r="E1219" s="360"/>
      <c r="F1219" s="360"/>
      <c r="G1219" s="360"/>
      <c r="H1219" s="361"/>
      <c r="I1219" s="361"/>
      <c r="J1219" s="361"/>
      <c r="K1219" s="361"/>
      <c r="L1219" s="361"/>
      <c r="M1219" s="360"/>
      <c r="N1219" s="360"/>
      <c r="O1219" s="360"/>
      <c r="P1219" s="360"/>
      <c r="Q1219" s="360"/>
      <c r="R1219" s="360"/>
      <c r="S1219" s="360"/>
      <c r="T1219" s="360"/>
      <c r="U1219" s="360"/>
      <c r="V1219" s="360"/>
      <c r="W1219" s="360"/>
      <c r="X1219" s="360"/>
      <c r="Y1219" s="360"/>
      <c r="Z1219" s="360"/>
      <c r="AA1219" s="360"/>
      <c r="AB1219" s="360"/>
      <c r="AC1219" s="360"/>
      <c r="AD1219" s="360"/>
      <c r="AE1219" s="360"/>
    </row>
    <row r="1220" spans="4:31" x14ac:dyDescent="0.2">
      <c r="D1220" s="360"/>
      <c r="E1220" s="360"/>
      <c r="F1220" s="360"/>
      <c r="G1220" s="360"/>
      <c r="H1220" s="361"/>
      <c r="I1220" s="361"/>
      <c r="J1220" s="361"/>
      <c r="K1220" s="361"/>
      <c r="L1220" s="361"/>
      <c r="M1220" s="360"/>
      <c r="N1220" s="360"/>
      <c r="O1220" s="360"/>
      <c r="P1220" s="360"/>
      <c r="Q1220" s="360"/>
      <c r="R1220" s="360"/>
      <c r="S1220" s="360"/>
      <c r="T1220" s="360"/>
      <c r="U1220" s="360"/>
      <c r="V1220" s="360"/>
      <c r="W1220" s="360"/>
      <c r="X1220" s="360"/>
      <c r="Y1220" s="360"/>
      <c r="Z1220" s="360"/>
      <c r="AA1220" s="360"/>
      <c r="AB1220" s="360"/>
      <c r="AC1220" s="360"/>
      <c r="AD1220" s="360"/>
      <c r="AE1220" s="360"/>
    </row>
    <row r="1221" spans="4:31" x14ac:dyDescent="0.2">
      <c r="D1221" s="360"/>
      <c r="E1221" s="360"/>
      <c r="F1221" s="360"/>
      <c r="G1221" s="360"/>
      <c r="H1221" s="361"/>
      <c r="I1221" s="361"/>
      <c r="J1221" s="361"/>
      <c r="K1221" s="361"/>
      <c r="L1221" s="361"/>
      <c r="M1221" s="360"/>
      <c r="N1221" s="360"/>
      <c r="O1221" s="360"/>
      <c r="P1221" s="360"/>
      <c r="Q1221" s="360"/>
      <c r="R1221" s="360"/>
      <c r="S1221" s="360"/>
      <c r="T1221" s="360"/>
      <c r="U1221" s="360"/>
      <c r="V1221" s="360"/>
      <c r="W1221" s="360"/>
      <c r="X1221" s="360"/>
      <c r="Y1221" s="360"/>
      <c r="Z1221" s="360"/>
      <c r="AA1221" s="360"/>
      <c r="AB1221" s="360"/>
      <c r="AC1221" s="360"/>
      <c r="AD1221" s="360"/>
      <c r="AE1221" s="360"/>
    </row>
    <row r="1222" spans="4:31" x14ac:dyDescent="0.2">
      <c r="D1222" s="360"/>
      <c r="E1222" s="360"/>
      <c r="F1222" s="360"/>
      <c r="G1222" s="360"/>
      <c r="H1222" s="361"/>
      <c r="I1222" s="361"/>
      <c r="J1222" s="361"/>
      <c r="K1222" s="361"/>
      <c r="L1222" s="361"/>
      <c r="M1222" s="360"/>
      <c r="N1222" s="360"/>
      <c r="O1222" s="360"/>
      <c r="P1222" s="360"/>
      <c r="Q1222" s="360"/>
      <c r="R1222" s="360"/>
      <c r="S1222" s="360"/>
      <c r="T1222" s="360"/>
      <c r="U1222" s="360"/>
      <c r="V1222" s="360"/>
      <c r="W1222" s="360"/>
      <c r="X1222" s="360"/>
      <c r="Y1222" s="360"/>
      <c r="Z1222" s="360"/>
      <c r="AA1222" s="360"/>
      <c r="AB1222" s="360"/>
      <c r="AC1222" s="360"/>
      <c r="AD1222" s="360"/>
      <c r="AE1222" s="360"/>
    </row>
    <row r="1223" spans="4:31" x14ac:dyDescent="0.2">
      <c r="D1223" s="360"/>
      <c r="E1223" s="360"/>
      <c r="F1223" s="360"/>
      <c r="G1223" s="360"/>
      <c r="H1223" s="361"/>
      <c r="I1223" s="361"/>
      <c r="J1223" s="361"/>
      <c r="K1223" s="361"/>
      <c r="L1223" s="361"/>
      <c r="M1223" s="360"/>
      <c r="N1223" s="360"/>
      <c r="O1223" s="360"/>
      <c r="P1223" s="360"/>
      <c r="Q1223" s="360"/>
      <c r="R1223" s="360"/>
      <c r="S1223" s="360"/>
      <c r="T1223" s="360"/>
      <c r="U1223" s="360"/>
      <c r="V1223" s="360"/>
      <c r="W1223" s="360"/>
      <c r="X1223" s="360"/>
      <c r="Y1223" s="360"/>
      <c r="Z1223" s="360"/>
      <c r="AA1223" s="360"/>
      <c r="AB1223" s="360"/>
      <c r="AC1223" s="360"/>
      <c r="AD1223" s="360"/>
      <c r="AE1223" s="360"/>
    </row>
    <row r="1224" spans="4:31" x14ac:dyDescent="0.2">
      <c r="D1224" s="360"/>
      <c r="E1224" s="360"/>
      <c r="F1224" s="360"/>
      <c r="G1224" s="360"/>
      <c r="H1224" s="361"/>
      <c r="I1224" s="361"/>
      <c r="J1224" s="361"/>
      <c r="K1224" s="361"/>
      <c r="L1224" s="361"/>
      <c r="M1224" s="360"/>
      <c r="N1224" s="360"/>
      <c r="O1224" s="360"/>
      <c r="P1224" s="360"/>
      <c r="Q1224" s="360"/>
      <c r="R1224" s="360"/>
      <c r="S1224" s="360"/>
      <c r="T1224" s="360"/>
      <c r="U1224" s="360"/>
      <c r="V1224" s="360"/>
      <c r="W1224" s="360"/>
      <c r="X1224" s="360"/>
      <c r="Y1224" s="360"/>
      <c r="Z1224" s="360"/>
      <c r="AA1224" s="360"/>
      <c r="AB1224" s="360"/>
      <c r="AC1224" s="360"/>
      <c r="AD1224" s="360"/>
      <c r="AE1224" s="360"/>
    </row>
    <row r="1225" spans="4:31" x14ac:dyDescent="0.2">
      <c r="D1225" s="360"/>
      <c r="E1225" s="360"/>
      <c r="F1225" s="360"/>
      <c r="G1225" s="360"/>
      <c r="H1225" s="361"/>
      <c r="I1225" s="361"/>
      <c r="J1225" s="361"/>
      <c r="K1225" s="361"/>
      <c r="L1225" s="361"/>
      <c r="M1225" s="360"/>
      <c r="N1225" s="360"/>
      <c r="O1225" s="360"/>
      <c r="P1225" s="360"/>
      <c r="Q1225" s="360"/>
      <c r="R1225" s="360"/>
      <c r="S1225" s="360"/>
      <c r="T1225" s="360"/>
      <c r="U1225" s="360"/>
      <c r="V1225" s="360"/>
      <c r="W1225" s="360"/>
      <c r="X1225" s="360"/>
      <c r="Y1225" s="360"/>
      <c r="Z1225" s="360"/>
      <c r="AA1225" s="360"/>
      <c r="AB1225" s="360"/>
      <c r="AC1225" s="360"/>
      <c r="AD1225" s="360"/>
      <c r="AE1225" s="360"/>
    </row>
    <row r="1226" spans="4:31" x14ac:dyDescent="0.2">
      <c r="D1226" s="360"/>
      <c r="E1226" s="360"/>
      <c r="F1226" s="360"/>
      <c r="G1226" s="360"/>
      <c r="H1226" s="361"/>
      <c r="I1226" s="361"/>
      <c r="J1226" s="361"/>
      <c r="K1226" s="361"/>
      <c r="L1226" s="361"/>
      <c r="M1226" s="360"/>
      <c r="N1226" s="360"/>
      <c r="O1226" s="360"/>
      <c r="P1226" s="360"/>
      <c r="Q1226" s="360"/>
      <c r="R1226" s="360"/>
      <c r="S1226" s="360"/>
      <c r="T1226" s="360"/>
      <c r="U1226" s="360"/>
      <c r="V1226" s="360"/>
      <c r="W1226" s="360"/>
      <c r="X1226" s="360"/>
      <c r="Y1226" s="360"/>
      <c r="Z1226" s="360"/>
      <c r="AA1226" s="360"/>
      <c r="AB1226" s="360"/>
      <c r="AC1226" s="360"/>
      <c r="AD1226" s="360"/>
      <c r="AE1226" s="360"/>
    </row>
    <row r="1227" spans="4:31" x14ac:dyDescent="0.2">
      <c r="D1227" s="360"/>
      <c r="E1227" s="360"/>
      <c r="F1227" s="360"/>
      <c r="G1227" s="360"/>
      <c r="H1227" s="361"/>
      <c r="I1227" s="361"/>
      <c r="J1227" s="361"/>
      <c r="K1227" s="361"/>
      <c r="L1227" s="361"/>
      <c r="M1227" s="360"/>
      <c r="N1227" s="360"/>
      <c r="O1227" s="360"/>
      <c r="P1227" s="360"/>
      <c r="Q1227" s="360"/>
      <c r="R1227" s="360"/>
      <c r="S1227" s="360"/>
      <c r="T1227" s="360"/>
      <c r="U1227" s="360"/>
      <c r="V1227" s="360"/>
      <c r="W1227" s="360"/>
      <c r="X1227" s="360"/>
      <c r="Y1227" s="360"/>
      <c r="Z1227" s="360"/>
      <c r="AA1227" s="360"/>
      <c r="AB1227" s="360"/>
      <c r="AC1227" s="360"/>
      <c r="AD1227" s="360"/>
      <c r="AE1227" s="360"/>
    </row>
    <row r="1228" spans="4:31" x14ac:dyDescent="0.2">
      <c r="D1228" s="360"/>
      <c r="E1228" s="360"/>
      <c r="F1228" s="360"/>
      <c r="G1228" s="360"/>
      <c r="H1228" s="361"/>
      <c r="I1228" s="361"/>
      <c r="J1228" s="361"/>
      <c r="K1228" s="361"/>
      <c r="L1228" s="361"/>
      <c r="M1228" s="360"/>
      <c r="N1228" s="360"/>
      <c r="O1228" s="360"/>
      <c r="P1228" s="360"/>
      <c r="Q1228" s="360"/>
      <c r="R1228" s="360"/>
      <c r="S1228" s="360"/>
      <c r="T1228" s="360"/>
      <c r="U1228" s="360"/>
      <c r="V1228" s="360"/>
      <c r="W1228" s="360"/>
      <c r="X1228" s="360"/>
      <c r="Y1228" s="360"/>
      <c r="Z1228" s="360"/>
      <c r="AA1228" s="360"/>
      <c r="AB1228" s="360"/>
      <c r="AC1228" s="360"/>
      <c r="AD1228" s="360"/>
      <c r="AE1228" s="360"/>
    </row>
    <row r="1229" spans="4:31" x14ac:dyDescent="0.2">
      <c r="D1229" s="360"/>
      <c r="E1229" s="360"/>
      <c r="F1229" s="360"/>
      <c r="G1229" s="360"/>
      <c r="H1229" s="361"/>
      <c r="I1229" s="361"/>
      <c r="J1229" s="361"/>
      <c r="K1229" s="361"/>
      <c r="L1229" s="361"/>
      <c r="M1229" s="360"/>
      <c r="N1229" s="360"/>
      <c r="O1229" s="360"/>
      <c r="P1229" s="360"/>
      <c r="Q1229" s="360"/>
      <c r="R1229" s="360"/>
      <c r="S1229" s="360"/>
      <c r="T1229" s="360"/>
      <c r="U1229" s="360"/>
      <c r="V1229" s="360"/>
      <c r="W1229" s="360"/>
      <c r="X1229" s="360"/>
      <c r="Y1229" s="360"/>
      <c r="Z1229" s="360"/>
      <c r="AA1229" s="360"/>
      <c r="AB1229" s="360"/>
      <c r="AC1229" s="360"/>
      <c r="AD1229" s="360"/>
      <c r="AE1229" s="360"/>
    </row>
    <row r="1230" spans="4:31" x14ac:dyDescent="0.2">
      <c r="D1230" s="360"/>
      <c r="E1230" s="360"/>
      <c r="F1230" s="360"/>
      <c r="G1230" s="360"/>
      <c r="H1230" s="361"/>
      <c r="I1230" s="361"/>
      <c r="J1230" s="361"/>
      <c r="K1230" s="361"/>
      <c r="L1230" s="361"/>
      <c r="M1230" s="360"/>
      <c r="N1230" s="360"/>
      <c r="O1230" s="360"/>
      <c r="P1230" s="360"/>
      <c r="Q1230" s="360"/>
      <c r="R1230" s="360"/>
      <c r="S1230" s="360"/>
      <c r="T1230" s="360"/>
      <c r="U1230" s="360"/>
      <c r="V1230" s="360"/>
      <c r="W1230" s="360"/>
      <c r="X1230" s="360"/>
      <c r="Y1230" s="360"/>
      <c r="Z1230" s="360"/>
      <c r="AA1230" s="360"/>
      <c r="AB1230" s="360"/>
      <c r="AC1230" s="360"/>
      <c r="AD1230" s="360"/>
      <c r="AE1230" s="360"/>
    </row>
    <row r="1231" spans="4:31" x14ac:dyDescent="0.2">
      <c r="D1231" s="360"/>
      <c r="E1231" s="360"/>
      <c r="F1231" s="360"/>
      <c r="G1231" s="360"/>
      <c r="H1231" s="361"/>
      <c r="I1231" s="361"/>
      <c r="J1231" s="361"/>
      <c r="K1231" s="361"/>
      <c r="L1231" s="361"/>
      <c r="M1231" s="360"/>
      <c r="N1231" s="360"/>
      <c r="O1231" s="360"/>
      <c r="P1231" s="360"/>
      <c r="Q1231" s="360"/>
      <c r="R1231" s="360"/>
      <c r="S1231" s="360"/>
      <c r="T1231" s="360"/>
      <c r="U1231" s="360"/>
      <c r="V1231" s="360"/>
      <c r="W1231" s="360"/>
      <c r="X1231" s="360"/>
      <c r="Y1231" s="360"/>
      <c r="Z1231" s="360"/>
      <c r="AA1231" s="360"/>
      <c r="AB1231" s="360"/>
      <c r="AC1231" s="360"/>
      <c r="AD1231" s="360"/>
      <c r="AE1231" s="360"/>
    </row>
    <row r="1232" spans="4:31" x14ac:dyDescent="0.2">
      <c r="D1232" s="360"/>
      <c r="E1232" s="360"/>
      <c r="F1232" s="360"/>
      <c r="G1232" s="360"/>
      <c r="H1232" s="361"/>
      <c r="I1232" s="361"/>
      <c r="J1232" s="361"/>
      <c r="K1232" s="361"/>
      <c r="L1232" s="361"/>
      <c r="M1232" s="360"/>
      <c r="N1232" s="360"/>
      <c r="O1232" s="360"/>
      <c r="P1232" s="360"/>
      <c r="Q1232" s="360"/>
      <c r="R1232" s="360"/>
      <c r="S1232" s="360"/>
      <c r="T1232" s="360"/>
      <c r="U1232" s="360"/>
      <c r="V1232" s="360"/>
      <c r="W1232" s="360"/>
      <c r="X1232" s="360"/>
      <c r="Y1232" s="360"/>
      <c r="Z1232" s="360"/>
      <c r="AA1232" s="360"/>
      <c r="AB1232" s="360"/>
      <c r="AC1232" s="360"/>
      <c r="AD1232" s="360"/>
      <c r="AE1232" s="360"/>
    </row>
    <row r="1233" spans="4:31" x14ac:dyDescent="0.2">
      <c r="D1233" s="360"/>
      <c r="E1233" s="360"/>
      <c r="F1233" s="360"/>
      <c r="G1233" s="360"/>
      <c r="H1233" s="361"/>
      <c r="I1233" s="361"/>
      <c r="J1233" s="361"/>
      <c r="K1233" s="361"/>
      <c r="L1233" s="361"/>
      <c r="M1233" s="360"/>
      <c r="N1233" s="360"/>
      <c r="O1233" s="360"/>
      <c r="P1233" s="360"/>
      <c r="Q1233" s="360"/>
      <c r="R1233" s="360"/>
      <c r="S1233" s="360"/>
      <c r="T1233" s="360"/>
      <c r="U1233" s="360"/>
      <c r="V1233" s="360"/>
      <c r="W1233" s="360"/>
      <c r="X1233" s="360"/>
      <c r="Y1233" s="360"/>
      <c r="Z1233" s="360"/>
      <c r="AA1233" s="360"/>
      <c r="AB1233" s="360"/>
      <c r="AC1233" s="360"/>
      <c r="AD1233" s="360"/>
      <c r="AE1233" s="360"/>
    </row>
    <row r="1234" spans="4:31" x14ac:dyDescent="0.2">
      <c r="D1234" s="360"/>
      <c r="E1234" s="360"/>
      <c r="F1234" s="360"/>
      <c r="G1234" s="360"/>
      <c r="H1234" s="361"/>
      <c r="I1234" s="361"/>
      <c r="J1234" s="361"/>
      <c r="K1234" s="361"/>
      <c r="L1234" s="361"/>
      <c r="M1234" s="360"/>
      <c r="N1234" s="360"/>
      <c r="O1234" s="360"/>
      <c r="P1234" s="360"/>
      <c r="Q1234" s="360"/>
      <c r="R1234" s="360"/>
      <c r="S1234" s="360"/>
      <c r="T1234" s="360"/>
      <c r="U1234" s="360"/>
      <c r="V1234" s="360"/>
      <c r="W1234" s="360"/>
      <c r="X1234" s="360"/>
      <c r="Y1234" s="360"/>
      <c r="Z1234" s="360"/>
      <c r="AA1234" s="360"/>
      <c r="AB1234" s="360"/>
      <c r="AC1234" s="360"/>
      <c r="AD1234" s="360"/>
      <c r="AE1234" s="360"/>
    </row>
    <row r="1235" spans="4:31" x14ac:dyDescent="0.2">
      <c r="D1235" s="360"/>
      <c r="E1235" s="360"/>
      <c r="F1235" s="360"/>
      <c r="G1235" s="360"/>
      <c r="H1235" s="361"/>
      <c r="I1235" s="361"/>
      <c r="J1235" s="361"/>
      <c r="K1235" s="361"/>
      <c r="L1235" s="361"/>
      <c r="M1235" s="360"/>
      <c r="N1235" s="360"/>
      <c r="O1235" s="360"/>
      <c r="P1235" s="360"/>
      <c r="Q1235" s="360"/>
      <c r="R1235" s="360"/>
      <c r="S1235" s="360"/>
      <c r="T1235" s="360"/>
      <c r="U1235" s="360"/>
      <c r="V1235" s="360"/>
      <c r="W1235" s="360"/>
      <c r="X1235" s="360"/>
      <c r="Y1235" s="360"/>
      <c r="Z1235" s="360"/>
      <c r="AA1235" s="360"/>
      <c r="AB1235" s="360"/>
      <c r="AC1235" s="360"/>
      <c r="AD1235" s="360"/>
      <c r="AE1235" s="360"/>
    </row>
    <row r="1236" spans="4:31" x14ac:dyDescent="0.2">
      <c r="D1236" s="360"/>
      <c r="E1236" s="360"/>
      <c r="F1236" s="360"/>
      <c r="G1236" s="360"/>
      <c r="H1236" s="361"/>
      <c r="I1236" s="361"/>
      <c r="J1236" s="361"/>
      <c r="K1236" s="361"/>
      <c r="L1236" s="361"/>
      <c r="M1236" s="360"/>
      <c r="N1236" s="360"/>
      <c r="O1236" s="360"/>
      <c r="P1236" s="360"/>
      <c r="Q1236" s="360"/>
      <c r="R1236" s="360"/>
      <c r="S1236" s="360"/>
      <c r="T1236" s="360"/>
      <c r="U1236" s="360"/>
      <c r="V1236" s="360"/>
      <c r="W1236" s="360"/>
      <c r="X1236" s="360"/>
      <c r="Y1236" s="360"/>
      <c r="Z1236" s="360"/>
      <c r="AA1236" s="360"/>
      <c r="AB1236" s="360"/>
      <c r="AC1236" s="360"/>
      <c r="AD1236" s="360"/>
      <c r="AE1236" s="360"/>
    </row>
    <row r="1237" spans="4:31" x14ac:dyDescent="0.2">
      <c r="D1237" s="360"/>
      <c r="E1237" s="360"/>
      <c r="F1237" s="360"/>
      <c r="G1237" s="360"/>
      <c r="H1237" s="361"/>
      <c r="I1237" s="361"/>
      <c r="J1237" s="361"/>
      <c r="K1237" s="361"/>
      <c r="L1237" s="361"/>
      <c r="M1237" s="360"/>
      <c r="N1237" s="360"/>
      <c r="O1237" s="360"/>
      <c r="P1237" s="360"/>
      <c r="Q1237" s="360"/>
      <c r="R1237" s="360"/>
      <c r="S1237" s="360"/>
      <c r="T1237" s="360"/>
      <c r="U1237" s="360"/>
      <c r="V1237" s="360"/>
      <c r="W1237" s="360"/>
      <c r="X1237" s="360"/>
      <c r="Y1237" s="360"/>
      <c r="Z1237" s="360"/>
      <c r="AA1237" s="360"/>
      <c r="AB1237" s="360"/>
      <c r="AC1237" s="360"/>
      <c r="AD1237" s="360"/>
      <c r="AE1237" s="360"/>
    </row>
    <row r="1238" spans="4:31" x14ac:dyDescent="0.2">
      <c r="D1238" s="360"/>
      <c r="E1238" s="360"/>
      <c r="F1238" s="360"/>
      <c r="G1238" s="360"/>
      <c r="H1238" s="361"/>
      <c r="I1238" s="361"/>
      <c r="J1238" s="361"/>
      <c r="K1238" s="361"/>
      <c r="L1238" s="361"/>
      <c r="M1238" s="360"/>
      <c r="N1238" s="360"/>
      <c r="O1238" s="360"/>
      <c r="P1238" s="360"/>
      <c r="Q1238" s="360"/>
      <c r="R1238" s="360"/>
      <c r="S1238" s="360"/>
      <c r="T1238" s="360"/>
      <c r="U1238" s="360"/>
      <c r="V1238" s="360"/>
      <c r="W1238" s="360"/>
      <c r="X1238" s="360"/>
      <c r="Y1238" s="360"/>
      <c r="Z1238" s="360"/>
      <c r="AA1238" s="360"/>
      <c r="AB1238" s="360"/>
      <c r="AC1238" s="360"/>
      <c r="AD1238" s="360"/>
      <c r="AE1238" s="360"/>
    </row>
    <row r="1239" spans="4:31" x14ac:dyDescent="0.2">
      <c r="D1239" s="360"/>
      <c r="E1239" s="360"/>
      <c r="F1239" s="360"/>
      <c r="G1239" s="360"/>
      <c r="H1239" s="361"/>
      <c r="I1239" s="361"/>
      <c r="J1239" s="361"/>
      <c r="K1239" s="361"/>
      <c r="L1239" s="361"/>
      <c r="M1239" s="360"/>
      <c r="N1239" s="360"/>
      <c r="O1239" s="360"/>
      <c r="P1239" s="360"/>
      <c r="Q1239" s="360"/>
      <c r="R1239" s="360"/>
      <c r="S1239" s="360"/>
      <c r="T1239" s="360"/>
      <c r="U1239" s="360"/>
      <c r="V1239" s="360"/>
      <c r="W1239" s="360"/>
      <c r="X1239" s="360"/>
      <c r="Y1239" s="360"/>
      <c r="Z1239" s="360"/>
      <c r="AA1239" s="360"/>
      <c r="AB1239" s="360"/>
      <c r="AC1239" s="360"/>
      <c r="AD1239" s="360"/>
      <c r="AE1239" s="360"/>
    </row>
    <row r="1240" spans="4:31" x14ac:dyDescent="0.2">
      <c r="D1240" s="360"/>
      <c r="E1240" s="360"/>
      <c r="F1240" s="360"/>
      <c r="G1240" s="360"/>
      <c r="H1240" s="361"/>
      <c r="I1240" s="361"/>
      <c r="J1240" s="361"/>
      <c r="K1240" s="361"/>
      <c r="L1240" s="361"/>
      <c r="M1240" s="360"/>
      <c r="N1240" s="360"/>
      <c r="O1240" s="360"/>
      <c r="P1240" s="360"/>
      <c r="Q1240" s="360"/>
      <c r="R1240" s="360"/>
      <c r="S1240" s="360"/>
      <c r="T1240" s="360"/>
      <c r="U1240" s="360"/>
      <c r="V1240" s="360"/>
      <c r="W1240" s="360"/>
      <c r="X1240" s="360"/>
      <c r="Y1240" s="360"/>
      <c r="Z1240" s="360"/>
      <c r="AA1240" s="360"/>
      <c r="AB1240" s="360"/>
      <c r="AC1240" s="360"/>
      <c r="AD1240" s="360"/>
      <c r="AE1240" s="360"/>
    </row>
    <row r="1241" spans="4:31" x14ac:dyDescent="0.2">
      <c r="D1241" s="360"/>
      <c r="E1241" s="360"/>
      <c r="F1241" s="360"/>
      <c r="G1241" s="360"/>
      <c r="H1241" s="361"/>
      <c r="I1241" s="361"/>
      <c r="J1241" s="361"/>
      <c r="K1241" s="361"/>
      <c r="L1241" s="361"/>
      <c r="M1241" s="360"/>
      <c r="N1241" s="360"/>
      <c r="O1241" s="360"/>
      <c r="P1241" s="360"/>
      <c r="Q1241" s="360"/>
      <c r="R1241" s="360"/>
      <c r="S1241" s="360"/>
      <c r="T1241" s="360"/>
      <c r="U1241" s="360"/>
      <c r="V1241" s="360"/>
      <c r="W1241" s="360"/>
      <c r="X1241" s="360"/>
      <c r="Y1241" s="360"/>
      <c r="Z1241" s="360"/>
      <c r="AA1241" s="360"/>
      <c r="AB1241" s="360"/>
      <c r="AC1241" s="360"/>
      <c r="AD1241" s="360"/>
      <c r="AE1241" s="360"/>
    </row>
    <row r="1242" spans="4:31" x14ac:dyDescent="0.2">
      <c r="D1242" s="360"/>
      <c r="E1242" s="360"/>
      <c r="F1242" s="360"/>
      <c r="G1242" s="360"/>
      <c r="H1242" s="361"/>
      <c r="I1242" s="361"/>
      <c r="J1242" s="361"/>
      <c r="K1242" s="361"/>
      <c r="L1242" s="361"/>
      <c r="M1242" s="360"/>
      <c r="N1242" s="360"/>
      <c r="O1242" s="360"/>
      <c r="P1242" s="360"/>
      <c r="Q1242" s="360"/>
      <c r="R1242" s="360"/>
      <c r="S1242" s="360"/>
      <c r="T1242" s="360"/>
      <c r="U1242" s="360"/>
      <c r="V1242" s="360"/>
      <c r="W1242" s="360"/>
      <c r="X1242" s="360"/>
      <c r="Y1242" s="360"/>
      <c r="Z1242" s="360"/>
      <c r="AA1242" s="360"/>
      <c r="AB1242" s="360"/>
      <c r="AC1242" s="360"/>
      <c r="AD1242" s="360"/>
      <c r="AE1242" s="360"/>
    </row>
    <row r="1243" spans="4:31" x14ac:dyDescent="0.2">
      <c r="D1243" s="360"/>
      <c r="E1243" s="360"/>
      <c r="F1243" s="360"/>
      <c r="G1243" s="360"/>
      <c r="H1243" s="361"/>
      <c r="I1243" s="361"/>
      <c r="J1243" s="361"/>
      <c r="K1243" s="361"/>
      <c r="L1243" s="361"/>
      <c r="M1243" s="360"/>
      <c r="N1243" s="360"/>
      <c r="O1243" s="360"/>
      <c r="P1243" s="360"/>
      <c r="Q1243" s="360"/>
      <c r="R1243" s="360"/>
      <c r="S1243" s="360"/>
      <c r="T1243" s="360"/>
      <c r="U1243" s="360"/>
      <c r="V1243" s="360"/>
      <c r="W1243" s="360"/>
      <c r="X1243" s="360"/>
      <c r="Y1243" s="360"/>
      <c r="Z1243" s="360"/>
      <c r="AA1243" s="360"/>
      <c r="AB1243" s="360"/>
      <c r="AC1243" s="360"/>
      <c r="AD1243" s="360"/>
      <c r="AE1243" s="360"/>
    </row>
    <row r="1244" spans="4:31" x14ac:dyDescent="0.2">
      <c r="D1244" s="360"/>
      <c r="E1244" s="360"/>
      <c r="F1244" s="360"/>
      <c r="G1244" s="360"/>
      <c r="H1244" s="361"/>
      <c r="I1244" s="361"/>
      <c r="J1244" s="361"/>
      <c r="K1244" s="361"/>
      <c r="L1244" s="361"/>
      <c r="M1244" s="360"/>
      <c r="N1244" s="360"/>
      <c r="O1244" s="360"/>
      <c r="P1244" s="360"/>
      <c r="Q1244" s="360"/>
      <c r="R1244" s="360"/>
      <c r="S1244" s="360"/>
      <c r="T1244" s="360"/>
      <c r="U1244" s="360"/>
      <c r="V1244" s="360"/>
      <c r="W1244" s="360"/>
      <c r="X1244" s="360"/>
      <c r="Y1244" s="360"/>
      <c r="Z1244" s="360"/>
      <c r="AA1244" s="360"/>
      <c r="AB1244" s="360"/>
      <c r="AC1244" s="360"/>
      <c r="AD1244" s="360"/>
      <c r="AE1244" s="360"/>
    </row>
    <row r="1245" spans="4:31" x14ac:dyDescent="0.2">
      <c r="D1245" s="360"/>
      <c r="E1245" s="360"/>
      <c r="F1245" s="360"/>
      <c r="G1245" s="360"/>
      <c r="H1245" s="361"/>
      <c r="I1245" s="361"/>
      <c r="J1245" s="361"/>
      <c r="K1245" s="361"/>
      <c r="L1245" s="361"/>
      <c r="M1245" s="360"/>
      <c r="N1245" s="360"/>
      <c r="O1245" s="360"/>
      <c r="P1245" s="360"/>
      <c r="Q1245" s="360"/>
      <c r="R1245" s="360"/>
      <c r="S1245" s="360"/>
      <c r="T1245" s="360"/>
      <c r="U1245" s="360"/>
      <c r="V1245" s="360"/>
      <c r="W1245" s="360"/>
      <c r="X1245" s="360"/>
      <c r="Y1245" s="360"/>
      <c r="Z1245" s="360"/>
      <c r="AA1245" s="360"/>
      <c r="AB1245" s="360"/>
      <c r="AC1245" s="360"/>
      <c r="AD1245" s="360"/>
      <c r="AE1245" s="360"/>
    </row>
    <row r="1246" spans="4:31" x14ac:dyDescent="0.2">
      <c r="D1246" s="360"/>
      <c r="E1246" s="360"/>
      <c r="F1246" s="360"/>
      <c r="G1246" s="360"/>
      <c r="H1246" s="361"/>
      <c r="I1246" s="361"/>
      <c r="J1246" s="361"/>
      <c r="K1246" s="361"/>
      <c r="L1246" s="361"/>
      <c r="M1246" s="360"/>
      <c r="N1246" s="360"/>
      <c r="O1246" s="360"/>
      <c r="P1246" s="360"/>
      <c r="Q1246" s="360"/>
      <c r="R1246" s="360"/>
      <c r="S1246" s="360"/>
      <c r="T1246" s="360"/>
      <c r="U1246" s="360"/>
      <c r="V1246" s="360"/>
      <c r="W1246" s="360"/>
      <c r="X1246" s="360"/>
      <c r="Y1246" s="360"/>
      <c r="Z1246" s="360"/>
      <c r="AA1246" s="360"/>
      <c r="AB1246" s="360"/>
      <c r="AC1246" s="360"/>
      <c r="AD1246" s="360"/>
      <c r="AE1246" s="360"/>
    </row>
    <row r="1247" spans="4:31" x14ac:dyDescent="0.2">
      <c r="D1247" s="360"/>
      <c r="E1247" s="360"/>
      <c r="F1247" s="360"/>
      <c r="G1247" s="360"/>
      <c r="H1247" s="361"/>
      <c r="I1247" s="361"/>
      <c r="J1247" s="361"/>
      <c r="K1247" s="361"/>
      <c r="L1247" s="361"/>
      <c r="M1247" s="360"/>
      <c r="N1247" s="360"/>
      <c r="O1247" s="360"/>
      <c r="P1247" s="360"/>
      <c r="Q1247" s="360"/>
      <c r="R1247" s="360"/>
      <c r="S1247" s="360"/>
      <c r="T1247" s="360"/>
      <c r="U1247" s="360"/>
      <c r="V1247" s="360"/>
      <c r="W1247" s="360"/>
      <c r="X1247" s="360"/>
      <c r="Y1247" s="360"/>
      <c r="Z1247" s="360"/>
      <c r="AA1247" s="360"/>
      <c r="AB1247" s="360"/>
      <c r="AC1247" s="360"/>
      <c r="AD1247" s="360"/>
      <c r="AE1247" s="360"/>
    </row>
    <row r="1248" spans="4:31" x14ac:dyDescent="0.2">
      <c r="D1248" s="360"/>
      <c r="E1248" s="360"/>
      <c r="F1248" s="360"/>
      <c r="G1248" s="360"/>
      <c r="H1248" s="361"/>
      <c r="I1248" s="361"/>
      <c r="J1248" s="361"/>
      <c r="K1248" s="361"/>
      <c r="L1248" s="361"/>
      <c r="M1248" s="360"/>
      <c r="N1248" s="360"/>
      <c r="O1248" s="360"/>
      <c r="P1248" s="360"/>
      <c r="Q1248" s="360"/>
      <c r="R1248" s="360"/>
      <c r="S1248" s="360"/>
      <c r="T1248" s="360"/>
      <c r="U1248" s="360"/>
      <c r="V1248" s="360"/>
      <c r="W1248" s="360"/>
      <c r="X1248" s="360"/>
      <c r="Y1248" s="360"/>
      <c r="Z1248" s="360"/>
      <c r="AA1248" s="360"/>
      <c r="AB1248" s="360"/>
      <c r="AC1248" s="360"/>
      <c r="AD1248" s="360"/>
      <c r="AE1248" s="360"/>
    </row>
    <row r="1249" spans="4:31" x14ac:dyDescent="0.2">
      <c r="D1249" s="360"/>
      <c r="E1249" s="360"/>
      <c r="F1249" s="360"/>
      <c r="G1249" s="360"/>
      <c r="H1249" s="361"/>
      <c r="I1249" s="361"/>
      <c r="J1249" s="361"/>
      <c r="K1249" s="361"/>
      <c r="L1249" s="361"/>
      <c r="M1249" s="360"/>
      <c r="N1249" s="360"/>
      <c r="O1249" s="360"/>
      <c r="P1249" s="360"/>
      <c r="Q1249" s="360"/>
      <c r="R1249" s="360"/>
      <c r="S1249" s="360"/>
      <c r="T1249" s="360"/>
      <c r="U1249" s="360"/>
      <c r="V1249" s="360"/>
      <c r="W1249" s="360"/>
      <c r="X1249" s="360"/>
      <c r="Y1249" s="360"/>
      <c r="Z1249" s="360"/>
      <c r="AA1249" s="360"/>
      <c r="AB1249" s="360"/>
      <c r="AC1249" s="360"/>
      <c r="AD1249" s="360"/>
      <c r="AE1249" s="360"/>
    </row>
    <row r="1250" spans="4:31" x14ac:dyDescent="0.2">
      <c r="D1250" s="360"/>
      <c r="E1250" s="360"/>
      <c r="F1250" s="360"/>
      <c r="G1250" s="360"/>
      <c r="H1250" s="361"/>
      <c r="I1250" s="361"/>
      <c r="J1250" s="361"/>
      <c r="K1250" s="361"/>
      <c r="L1250" s="361"/>
      <c r="M1250" s="360"/>
      <c r="N1250" s="360"/>
      <c r="O1250" s="360"/>
      <c r="P1250" s="360"/>
      <c r="Q1250" s="360"/>
      <c r="R1250" s="360"/>
      <c r="S1250" s="360"/>
      <c r="T1250" s="360"/>
      <c r="U1250" s="360"/>
      <c r="V1250" s="360"/>
      <c r="W1250" s="360"/>
      <c r="X1250" s="360"/>
      <c r="Y1250" s="360"/>
      <c r="Z1250" s="360"/>
      <c r="AA1250" s="360"/>
      <c r="AB1250" s="360"/>
      <c r="AC1250" s="360"/>
      <c r="AD1250" s="360"/>
      <c r="AE1250" s="360"/>
    </row>
    <row r="1251" spans="4:31" x14ac:dyDescent="0.2">
      <c r="D1251" s="360"/>
      <c r="E1251" s="360"/>
      <c r="F1251" s="360"/>
      <c r="G1251" s="360"/>
      <c r="H1251" s="361"/>
      <c r="I1251" s="361"/>
      <c r="J1251" s="361"/>
      <c r="K1251" s="361"/>
      <c r="L1251" s="361"/>
      <c r="M1251" s="360"/>
      <c r="N1251" s="360"/>
      <c r="O1251" s="360"/>
      <c r="P1251" s="360"/>
      <c r="Q1251" s="360"/>
      <c r="R1251" s="360"/>
      <c r="S1251" s="360"/>
      <c r="T1251" s="360"/>
      <c r="U1251" s="360"/>
      <c r="V1251" s="360"/>
      <c r="W1251" s="360"/>
      <c r="X1251" s="360"/>
      <c r="Y1251" s="360"/>
      <c r="Z1251" s="360"/>
      <c r="AA1251" s="360"/>
      <c r="AB1251" s="360"/>
      <c r="AC1251" s="360"/>
      <c r="AD1251" s="360"/>
      <c r="AE1251" s="360"/>
    </row>
    <row r="1252" spans="4:31" x14ac:dyDescent="0.2">
      <c r="D1252" s="360"/>
      <c r="E1252" s="360"/>
      <c r="F1252" s="360"/>
      <c r="G1252" s="360"/>
      <c r="H1252" s="361"/>
      <c r="I1252" s="361"/>
      <c r="J1252" s="361"/>
      <c r="K1252" s="361"/>
      <c r="L1252" s="361"/>
      <c r="M1252" s="360"/>
      <c r="N1252" s="360"/>
      <c r="O1252" s="360"/>
      <c r="P1252" s="360"/>
      <c r="Q1252" s="360"/>
      <c r="R1252" s="360"/>
      <c r="S1252" s="360"/>
      <c r="T1252" s="360"/>
      <c r="U1252" s="360"/>
      <c r="V1252" s="360"/>
      <c r="W1252" s="360"/>
      <c r="X1252" s="360"/>
      <c r="Y1252" s="360"/>
      <c r="Z1252" s="360"/>
      <c r="AA1252" s="360"/>
      <c r="AB1252" s="360"/>
      <c r="AC1252" s="360"/>
      <c r="AD1252" s="360"/>
      <c r="AE1252" s="360"/>
    </row>
    <row r="1253" spans="4:31" x14ac:dyDescent="0.2">
      <c r="D1253" s="360"/>
      <c r="E1253" s="360"/>
      <c r="F1253" s="360"/>
      <c r="G1253" s="360"/>
      <c r="H1253" s="361"/>
      <c r="I1253" s="361"/>
      <c r="J1253" s="361"/>
      <c r="K1253" s="361"/>
      <c r="L1253" s="361"/>
      <c r="M1253" s="360"/>
      <c r="N1253" s="360"/>
      <c r="O1253" s="360"/>
      <c r="P1253" s="360"/>
      <c r="Q1253" s="360"/>
      <c r="R1253" s="360"/>
      <c r="S1253" s="360"/>
      <c r="T1253" s="360"/>
      <c r="U1253" s="360"/>
      <c r="V1253" s="360"/>
      <c r="W1253" s="360"/>
      <c r="X1253" s="360"/>
      <c r="Y1253" s="360"/>
      <c r="Z1253" s="360"/>
      <c r="AA1253" s="360"/>
      <c r="AB1253" s="360"/>
      <c r="AC1253" s="360"/>
      <c r="AD1253" s="360"/>
      <c r="AE1253" s="360"/>
    </row>
    <row r="1254" spans="4:31" x14ac:dyDescent="0.2">
      <c r="D1254" s="360"/>
      <c r="E1254" s="360"/>
      <c r="F1254" s="360"/>
      <c r="G1254" s="360"/>
      <c r="H1254" s="361"/>
      <c r="I1254" s="361"/>
      <c r="J1254" s="361"/>
      <c r="K1254" s="361"/>
      <c r="L1254" s="361"/>
      <c r="M1254" s="360"/>
      <c r="N1254" s="360"/>
      <c r="O1254" s="360"/>
      <c r="P1254" s="360"/>
      <c r="Q1254" s="360"/>
      <c r="R1254" s="360"/>
      <c r="S1254" s="360"/>
      <c r="T1254" s="360"/>
      <c r="U1254" s="360"/>
      <c r="V1254" s="360"/>
      <c r="W1254" s="360"/>
      <c r="X1254" s="360"/>
      <c r="Y1254" s="360"/>
      <c r="Z1254" s="360"/>
      <c r="AA1254" s="360"/>
      <c r="AB1254" s="360"/>
      <c r="AC1254" s="360"/>
      <c r="AD1254" s="360"/>
      <c r="AE1254" s="360"/>
    </row>
    <row r="1255" spans="4:31" x14ac:dyDescent="0.2">
      <c r="D1255" s="360"/>
      <c r="E1255" s="360"/>
      <c r="F1255" s="360"/>
      <c r="G1255" s="360"/>
      <c r="H1255" s="361"/>
      <c r="I1255" s="361"/>
      <c r="J1255" s="361"/>
      <c r="K1255" s="361"/>
      <c r="L1255" s="361"/>
      <c r="M1255" s="360"/>
      <c r="N1255" s="360"/>
      <c r="O1255" s="360"/>
      <c r="P1255" s="360"/>
      <c r="Q1255" s="360"/>
      <c r="R1255" s="360"/>
      <c r="S1255" s="360"/>
      <c r="T1255" s="360"/>
      <c r="U1255" s="360"/>
      <c r="V1255" s="360"/>
      <c r="W1255" s="360"/>
      <c r="X1255" s="360"/>
      <c r="Y1255" s="360"/>
      <c r="Z1255" s="360"/>
      <c r="AA1255" s="360"/>
      <c r="AB1255" s="360"/>
      <c r="AC1255" s="360"/>
      <c r="AD1255" s="360"/>
      <c r="AE1255" s="360"/>
    </row>
    <row r="1256" spans="4:31" x14ac:dyDescent="0.2">
      <c r="D1256" s="360"/>
      <c r="E1256" s="360"/>
      <c r="F1256" s="360"/>
      <c r="G1256" s="360"/>
      <c r="H1256" s="361"/>
      <c r="I1256" s="361"/>
      <c r="J1256" s="361"/>
      <c r="K1256" s="361"/>
      <c r="L1256" s="361"/>
      <c r="M1256" s="360"/>
      <c r="N1256" s="360"/>
      <c r="O1256" s="360"/>
      <c r="P1256" s="360"/>
      <c r="Q1256" s="360"/>
      <c r="R1256" s="360"/>
      <c r="S1256" s="360"/>
      <c r="T1256" s="360"/>
      <c r="U1256" s="360"/>
      <c r="V1256" s="360"/>
      <c r="W1256" s="360"/>
      <c r="X1256" s="360"/>
      <c r="Y1256" s="360"/>
      <c r="Z1256" s="360"/>
      <c r="AA1256" s="360"/>
      <c r="AB1256" s="360"/>
      <c r="AC1256" s="360"/>
      <c r="AD1256" s="360"/>
      <c r="AE1256" s="360"/>
    </row>
    <row r="1257" spans="4:31" x14ac:dyDescent="0.2">
      <c r="D1257" s="360"/>
      <c r="E1257" s="360"/>
      <c r="F1257" s="360"/>
      <c r="G1257" s="360"/>
      <c r="H1257" s="361"/>
      <c r="I1257" s="361"/>
      <c r="J1257" s="361"/>
      <c r="K1257" s="361"/>
      <c r="L1257" s="361"/>
      <c r="M1257" s="360"/>
      <c r="N1257" s="360"/>
      <c r="O1257" s="360"/>
      <c r="P1257" s="360"/>
      <c r="Q1257" s="360"/>
      <c r="R1257" s="360"/>
      <c r="S1257" s="360"/>
      <c r="T1257" s="360"/>
      <c r="U1257" s="360"/>
      <c r="V1257" s="360"/>
      <c r="W1257" s="360"/>
      <c r="X1257" s="360"/>
      <c r="Y1257" s="360"/>
      <c r="Z1257" s="360"/>
      <c r="AA1257" s="360"/>
      <c r="AB1257" s="360"/>
      <c r="AC1257" s="360"/>
      <c r="AD1257" s="360"/>
      <c r="AE1257" s="360"/>
    </row>
    <row r="1258" spans="4:31" x14ac:dyDescent="0.2">
      <c r="D1258" s="360"/>
      <c r="E1258" s="360"/>
      <c r="F1258" s="360"/>
      <c r="G1258" s="360"/>
      <c r="H1258" s="361"/>
      <c r="I1258" s="361"/>
      <c r="J1258" s="361"/>
      <c r="K1258" s="361"/>
      <c r="L1258" s="361"/>
      <c r="M1258" s="360"/>
      <c r="N1258" s="360"/>
      <c r="O1258" s="360"/>
      <c r="P1258" s="360"/>
      <c r="Q1258" s="360"/>
      <c r="R1258" s="360"/>
      <c r="S1258" s="360"/>
      <c r="T1258" s="360"/>
      <c r="U1258" s="360"/>
      <c r="V1258" s="360"/>
      <c r="W1258" s="360"/>
      <c r="X1258" s="360"/>
      <c r="Y1258" s="360"/>
      <c r="Z1258" s="360"/>
      <c r="AA1258" s="360"/>
      <c r="AB1258" s="360"/>
      <c r="AC1258" s="360"/>
      <c r="AD1258" s="360"/>
      <c r="AE1258" s="360"/>
    </row>
    <row r="1259" spans="4:31" x14ac:dyDescent="0.2">
      <c r="D1259" s="360"/>
      <c r="E1259" s="360"/>
      <c r="F1259" s="360"/>
      <c r="G1259" s="360"/>
      <c r="H1259" s="361"/>
      <c r="I1259" s="361"/>
      <c r="J1259" s="361"/>
      <c r="K1259" s="361"/>
      <c r="L1259" s="361"/>
      <c r="M1259" s="360"/>
      <c r="N1259" s="360"/>
      <c r="O1259" s="360"/>
      <c r="P1259" s="360"/>
      <c r="Q1259" s="360"/>
      <c r="R1259" s="360"/>
      <c r="S1259" s="360"/>
      <c r="T1259" s="360"/>
      <c r="U1259" s="360"/>
      <c r="V1259" s="360"/>
      <c r="W1259" s="360"/>
      <c r="X1259" s="360"/>
      <c r="Y1259" s="360"/>
      <c r="Z1259" s="360"/>
      <c r="AA1259" s="360"/>
      <c r="AB1259" s="360"/>
      <c r="AC1259" s="360"/>
      <c r="AD1259" s="360"/>
      <c r="AE1259" s="360"/>
    </row>
    <row r="1260" spans="4:31" x14ac:dyDescent="0.2">
      <c r="D1260" s="360"/>
      <c r="E1260" s="360"/>
      <c r="F1260" s="360"/>
      <c r="G1260" s="360"/>
      <c r="H1260" s="361"/>
      <c r="I1260" s="361"/>
      <c r="J1260" s="361"/>
      <c r="K1260" s="361"/>
      <c r="L1260" s="361"/>
      <c r="M1260" s="360"/>
      <c r="N1260" s="360"/>
      <c r="O1260" s="360"/>
      <c r="P1260" s="360"/>
      <c r="Q1260" s="360"/>
      <c r="R1260" s="360"/>
      <c r="S1260" s="360"/>
      <c r="T1260" s="360"/>
      <c r="U1260" s="360"/>
      <c r="V1260" s="360"/>
      <c r="W1260" s="360"/>
      <c r="X1260" s="360"/>
      <c r="Y1260" s="360"/>
      <c r="Z1260" s="360"/>
      <c r="AA1260" s="360"/>
      <c r="AB1260" s="360"/>
      <c r="AC1260" s="360"/>
      <c r="AD1260" s="360"/>
      <c r="AE1260" s="360"/>
    </row>
    <row r="1261" spans="4:31" x14ac:dyDescent="0.2">
      <c r="D1261" s="360"/>
      <c r="E1261" s="360"/>
      <c r="F1261" s="360"/>
      <c r="G1261" s="360"/>
      <c r="H1261" s="361"/>
      <c r="I1261" s="361"/>
      <c r="J1261" s="361"/>
      <c r="K1261" s="361"/>
      <c r="L1261" s="361"/>
      <c r="M1261" s="360"/>
      <c r="N1261" s="360"/>
      <c r="O1261" s="360"/>
      <c r="P1261" s="360"/>
      <c r="Q1261" s="360"/>
      <c r="R1261" s="360"/>
      <c r="S1261" s="360"/>
      <c r="T1261" s="360"/>
      <c r="U1261" s="360"/>
      <c r="V1261" s="360"/>
      <c r="W1261" s="360"/>
      <c r="X1261" s="360"/>
      <c r="Y1261" s="360"/>
      <c r="Z1261" s="360"/>
      <c r="AA1261" s="360"/>
      <c r="AB1261" s="360"/>
      <c r="AC1261" s="360"/>
      <c r="AD1261" s="360"/>
      <c r="AE1261" s="360"/>
    </row>
    <row r="1262" spans="4:31" x14ac:dyDescent="0.2">
      <c r="D1262" s="360"/>
      <c r="E1262" s="360"/>
      <c r="F1262" s="360"/>
      <c r="G1262" s="360"/>
      <c r="H1262" s="361"/>
      <c r="I1262" s="361"/>
      <c r="J1262" s="361"/>
      <c r="K1262" s="361"/>
      <c r="L1262" s="361"/>
      <c r="M1262" s="360"/>
      <c r="N1262" s="360"/>
      <c r="O1262" s="360"/>
      <c r="P1262" s="360"/>
      <c r="Q1262" s="360"/>
      <c r="R1262" s="360"/>
      <c r="S1262" s="360"/>
      <c r="T1262" s="360"/>
      <c r="U1262" s="360"/>
      <c r="V1262" s="360"/>
      <c r="W1262" s="360"/>
      <c r="X1262" s="360"/>
      <c r="Y1262" s="360"/>
      <c r="Z1262" s="360"/>
      <c r="AA1262" s="360"/>
      <c r="AB1262" s="360"/>
      <c r="AC1262" s="360"/>
      <c r="AD1262" s="360"/>
      <c r="AE1262" s="360"/>
    </row>
    <row r="1263" spans="4:31" x14ac:dyDescent="0.2">
      <c r="D1263" s="360"/>
      <c r="E1263" s="360"/>
      <c r="F1263" s="360"/>
      <c r="G1263" s="360"/>
      <c r="H1263" s="361"/>
      <c r="I1263" s="361"/>
      <c r="J1263" s="361"/>
      <c r="K1263" s="361"/>
      <c r="L1263" s="361"/>
      <c r="M1263" s="360"/>
      <c r="N1263" s="360"/>
      <c r="O1263" s="360"/>
      <c r="P1263" s="360"/>
      <c r="Q1263" s="360"/>
      <c r="R1263" s="360"/>
      <c r="S1263" s="360"/>
      <c r="T1263" s="360"/>
      <c r="U1263" s="360"/>
      <c r="V1263" s="360"/>
      <c r="W1263" s="360"/>
      <c r="X1263" s="360"/>
      <c r="Y1263" s="360"/>
      <c r="Z1263" s="360"/>
      <c r="AA1263" s="360"/>
      <c r="AB1263" s="360"/>
      <c r="AC1263" s="360"/>
      <c r="AD1263" s="360"/>
      <c r="AE1263" s="360"/>
    </row>
    <row r="1264" spans="4:31" x14ac:dyDescent="0.2">
      <c r="D1264" s="360"/>
      <c r="E1264" s="360"/>
      <c r="F1264" s="360"/>
      <c r="G1264" s="360"/>
      <c r="H1264" s="361"/>
      <c r="I1264" s="361"/>
      <c r="J1264" s="361"/>
      <c r="K1264" s="361"/>
      <c r="L1264" s="361"/>
      <c r="M1264" s="360"/>
      <c r="N1264" s="360"/>
      <c r="O1264" s="360"/>
      <c r="P1264" s="360"/>
      <c r="Q1264" s="360"/>
      <c r="R1264" s="360"/>
      <c r="S1264" s="360"/>
      <c r="T1264" s="360"/>
      <c r="U1264" s="360"/>
      <c r="V1264" s="360"/>
      <c r="W1264" s="360"/>
      <c r="X1264" s="360"/>
      <c r="Y1264" s="360"/>
      <c r="Z1264" s="360"/>
      <c r="AA1264" s="360"/>
      <c r="AB1264" s="360"/>
      <c r="AC1264" s="360"/>
      <c r="AD1264" s="360"/>
      <c r="AE1264" s="360"/>
    </row>
    <row r="1265" spans="4:31" x14ac:dyDescent="0.2">
      <c r="D1265" s="360"/>
      <c r="E1265" s="360"/>
      <c r="F1265" s="360"/>
      <c r="G1265" s="360"/>
      <c r="H1265" s="361"/>
      <c r="I1265" s="361"/>
      <c r="J1265" s="361"/>
      <c r="K1265" s="361"/>
      <c r="L1265" s="361"/>
      <c r="M1265" s="360"/>
      <c r="N1265" s="360"/>
      <c r="O1265" s="360"/>
      <c r="P1265" s="360"/>
      <c r="Q1265" s="360"/>
      <c r="R1265" s="360"/>
      <c r="S1265" s="360"/>
      <c r="T1265" s="360"/>
      <c r="U1265" s="360"/>
      <c r="V1265" s="360"/>
      <c r="W1265" s="360"/>
      <c r="X1265" s="360"/>
      <c r="Y1265" s="360"/>
      <c r="Z1265" s="360"/>
      <c r="AA1265" s="360"/>
      <c r="AB1265" s="360"/>
      <c r="AC1265" s="360"/>
      <c r="AD1265" s="360"/>
      <c r="AE1265" s="360"/>
    </row>
    <row r="1266" spans="4:31" x14ac:dyDescent="0.2">
      <c r="D1266" s="360"/>
      <c r="E1266" s="360"/>
      <c r="F1266" s="360"/>
      <c r="G1266" s="360"/>
      <c r="H1266" s="361"/>
      <c r="I1266" s="361"/>
      <c r="J1266" s="361"/>
      <c r="K1266" s="361"/>
      <c r="L1266" s="361"/>
      <c r="M1266" s="360"/>
      <c r="N1266" s="360"/>
      <c r="O1266" s="360"/>
      <c r="P1266" s="360"/>
      <c r="Q1266" s="360"/>
      <c r="R1266" s="360"/>
      <c r="S1266" s="360"/>
      <c r="T1266" s="360"/>
      <c r="U1266" s="360"/>
      <c r="V1266" s="360"/>
      <c r="W1266" s="360"/>
      <c r="X1266" s="360"/>
      <c r="Y1266" s="360"/>
      <c r="Z1266" s="360"/>
      <c r="AA1266" s="360"/>
      <c r="AB1266" s="360"/>
      <c r="AC1266" s="360"/>
      <c r="AD1266" s="360"/>
      <c r="AE1266" s="360"/>
    </row>
    <row r="1267" spans="4:31" x14ac:dyDescent="0.2">
      <c r="D1267" s="360"/>
      <c r="E1267" s="360"/>
      <c r="F1267" s="360"/>
      <c r="G1267" s="360"/>
      <c r="H1267" s="361"/>
      <c r="I1267" s="361"/>
      <c r="J1267" s="361"/>
      <c r="K1267" s="361"/>
      <c r="L1267" s="361"/>
      <c r="M1267" s="360"/>
      <c r="N1267" s="360"/>
      <c r="O1267" s="360"/>
      <c r="P1267" s="360"/>
      <c r="Q1267" s="360"/>
      <c r="R1267" s="360"/>
      <c r="S1267" s="360"/>
      <c r="T1267" s="360"/>
      <c r="U1267" s="360"/>
      <c r="V1267" s="360"/>
      <c r="W1267" s="360"/>
      <c r="X1267" s="360"/>
      <c r="Y1267" s="360"/>
      <c r="Z1267" s="360"/>
      <c r="AA1267" s="360"/>
      <c r="AB1267" s="360"/>
      <c r="AC1267" s="360"/>
      <c r="AD1267" s="360"/>
      <c r="AE1267" s="360"/>
    </row>
    <row r="1268" spans="4:31" x14ac:dyDescent="0.2">
      <c r="D1268" s="360"/>
      <c r="E1268" s="360"/>
      <c r="F1268" s="360"/>
      <c r="G1268" s="360"/>
      <c r="H1268" s="361"/>
      <c r="I1268" s="361"/>
      <c r="J1268" s="361"/>
      <c r="K1268" s="361"/>
      <c r="L1268" s="361"/>
      <c r="M1268" s="360"/>
      <c r="N1268" s="360"/>
      <c r="O1268" s="360"/>
      <c r="P1268" s="360"/>
      <c r="Q1268" s="360"/>
      <c r="R1268" s="360"/>
      <c r="S1268" s="360"/>
      <c r="T1268" s="360"/>
      <c r="U1268" s="360"/>
      <c r="V1268" s="360"/>
      <c r="W1268" s="360"/>
      <c r="X1268" s="360"/>
      <c r="Y1268" s="360"/>
      <c r="Z1268" s="360"/>
      <c r="AA1268" s="360"/>
      <c r="AB1268" s="360"/>
      <c r="AC1268" s="360"/>
      <c r="AD1268" s="360"/>
      <c r="AE1268" s="360"/>
    </row>
    <row r="1269" spans="4:31" x14ac:dyDescent="0.2">
      <c r="D1269" s="360"/>
      <c r="E1269" s="360"/>
      <c r="F1269" s="360"/>
      <c r="G1269" s="360"/>
      <c r="H1269" s="361"/>
      <c r="I1269" s="361"/>
      <c r="J1269" s="361"/>
      <c r="K1269" s="361"/>
      <c r="L1269" s="361"/>
      <c r="M1269" s="360"/>
      <c r="N1269" s="360"/>
      <c r="O1269" s="360"/>
      <c r="P1269" s="360"/>
      <c r="Q1269" s="360"/>
      <c r="R1269" s="360"/>
      <c r="S1269" s="360"/>
      <c r="T1269" s="360"/>
      <c r="U1269" s="360"/>
      <c r="V1269" s="360"/>
      <c r="W1269" s="360"/>
      <c r="X1269" s="360"/>
      <c r="Y1269" s="360"/>
      <c r="Z1269" s="360"/>
      <c r="AA1269" s="360"/>
      <c r="AB1269" s="360"/>
      <c r="AC1269" s="360"/>
      <c r="AD1269" s="360"/>
      <c r="AE1269" s="360"/>
    </row>
    <row r="1270" spans="4:31" x14ac:dyDescent="0.2">
      <c r="D1270" s="360"/>
      <c r="E1270" s="360"/>
      <c r="F1270" s="360"/>
      <c r="G1270" s="360"/>
      <c r="H1270" s="361"/>
      <c r="I1270" s="361"/>
      <c r="J1270" s="361"/>
      <c r="K1270" s="361"/>
      <c r="L1270" s="361"/>
      <c r="M1270" s="360"/>
      <c r="N1270" s="360"/>
      <c r="O1270" s="360"/>
      <c r="P1270" s="360"/>
      <c r="Q1270" s="360"/>
      <c r="R1270" s="360"/>
      <c r="S1270" s="360"/>
      <c r="T1270" s="360"/>
      <c r="U1270" s="360"/>
      <c r="V1270" s="360"/>
      <c r="W1270" s="360"/>
      <c r="X1270" s="360"/>
      <c r="Y1270" s="360"/>
      <c r="Z1270" s="360"/>
      <c r="AA1270" s="360"/>
      <c r="AB1270" s="360"/>
      <c r="AC1270" s="360"/>
      <c r="AD1270" s="360"/>
      <c r="AE1270" s="360"/>
    </row>
    <row r="1271" spans="4:31" x14ac:dyDescent="0.2">
      <c r="D1271" s="360"/>
      <c r="E1271" s="360"/>
      <c r="F1271" s="360"/>
      <c r="G1271" s="360"/>
      <c r="H1271" s="361"/>
      <c r="I1271" s="361"/>
      <c r="J1271" s="361"/>
      <c r="K1271" s="361"/>
      <c r="L1271" s="361"/>
      <c r="M1271" s="360"/>
      <c r="N1271" s="360"/>
      <c r="O1271" s="360"/>
      <c r="P1271" s="360"/>
      <c r="Q1271" s="360"/>
      <c r="R1271" s="360"/>
      <c r="S1271" s="360"/>
      <c r="T1271" s="360"/>
      <c r="U1271" s="360"/>
      <c r="V1271" s="360"/>
      <c r="W1271" s="360"/>
      <c r="X1271" s="360"/>
      <c r="Y1271" s="360"/>
      <c r="Z1271" s="360"/>
      <c r="AA1271" s="360"/>
      <c r="AB1271" s="360"/>
      <c r="AC1271" s="360"/>
      <c r="AD1271" s="360"/>
      <c r="AE1271" s="360"/>
    </row>
    <row r="1272" spans="4:31" x14ac:dyDescent="0.2">
      <c r="D1272" s="360"/>
      <c r="E1272" s="360"/>
      <c r="F1272" s="360"/>
      <c r="G1272" s="360"/>
      <c r="H1272" s="361"/>
      <c r="I1272" s="361"/>
      <c r="J1272" s="361"/>
      <c r="K1272" s="361"/>
      <c r="L1272" s="361"/>
      <c r="M1272" s="360"/>
      <c r="N1272" s="360"/>
      <c r="O1272" s="360"/>
      <c r="P1272" s="360"/>
      <c r="Q1272" s="360"/>
      <c r="R1272" s="360"/>
      <c r="S1272" s="360"/>
      <c r="T1272" s="360"/>
      <c r="U1272" s="360"/>
      <c r="V1272" s="360"/>
      <c r="W1272" s="360"/>
      <c r="X1272" s="360"/>
      <c r="Y1272" s="360"/>
      <c r="Z1272" s="360"/>
      <c r="AA1272" s="360"/>
      <c r="AB1272" s="360"/>
      <c r="AC1272" s="360"/>
      <c r="AD1272" s="360"/>
      <c r="AE1272" s="360"/>
    </row>
    <row r="1273" spans="4:31" x14ac:dyDescent="0.2">
      <c r="D1273" s="360"/>
      <c r="E1273" s="360"/>
      <c r="F1273" s="360"/>
      <c r="G1273" s="360"/>
      <c r="H1273" s="361"/>
      <c r="I1273" s="361"/>
      <c r="J1273" s="361"/>
      <c r="K1273" s="361"/>
      <c r="L1273" s="361"/>
      <c r="M1273" s="360"/>
      <c r="N1273" s="360"/>
      <c r="O1273" s="360"/>
      <c r="P1273" s="360"/>
      <c r="Q1273" s="360"/>
      <c r="R1273" s="360"/>
      <c r="S1273" s="360"/>
      <c r="T1273" s="360"/>
      <c r="U1273" s="360"/>
      <c r="V1273" s="360"/>
      <c r="W1273" s="360"/>
      <c r="X1273" s="360"/>
      <c r="Y1273" s="360"/>
      <c r="Z1273" s="360"/>
      <c r="AA1273" s="360"/>
      <c r="AB1273" s="360"/>
      <c r="AC1273" s="360"/>
      <c r="AD1273" s="360"/>
      <c r="AE1273" s="360"/>
    </row>
    <row r="1274" spans="4:31" x14ac:dyDescent="0.2">
      <c r="D1274" s="360"/>
      <c r="E1274" s="360"/>
      <c r="F1274" s="360"/>
      <c r="G1274" s="360"/>
      <c r="H1274" s="361"/>
      <c r="I1274" s="361"/>
      <c r="J1274" s="361"/>
      <c r="K1274" s="361"/>
      <c r="L1274" s="361"/>
      <c r="M1274" s="360"/>
      <c r="N1274" s="360"/>
      <c r="O1274" s="360"/>
      <c r="P1274" s="360"/>
      <c r="Q1274" s="360"/>
      <c r="R1274" s="360"/>
      <c r="S1274" s="360"/>
      <c r="T1274" s="360"/>
      <c r="U1274" s="360"/>
      <c r="V1274" s="360"/>
      <c r="W1274" s="360"/>
      <c r="X1274" s="360"/>
      <c r="Y1274" s="360"/>
      <c r="Z1274" s="360"/>
      <c r="AA1274" s="360"/>
      <c r="AB1274" s="360"/>
      <c r="AC1274" s="360"/>
      <c r="AD1274" s="360"/>
      <c r="AE1274" s="360"/>
    </row>
    <row r="1275" spans="4:31" x14ac:dyDescent="0.2">
      <c r="D1275" s="360"/>
      <c r="E1275" s="360"/>
      <c r="F1275" s="360"/>
      <c r="G1275" s="360"/>
      <c r="H1275" s="361"/>
      <c r="I1275" s="361"/>
      <c r="J1275" s="361"/>
      <c r="K1275" s="361"/>
      <c r="L1275" s="361"/>
      <c r="M1275" s="360"/>
      <c r="N1275" s="360"/>
      <c r="O1275" s="360"/>
      <c r="P1275" s="360"/>
      <c r="Q1275" s="360"/>
      <c r="R1275" s="360"/>
      <c r="S1275" s="360"/>
      <c r="T1275" s="360"/>
      <c r="U1275" s="360"/>
      <c r="V1275" s="360"/>
      <c r="W1275" s="360"/>
      <c r="X1275" s="360"/>
      <c r="Y1275" s="360"/>
      <c r="Z1275" s="360"/>
      <c r="AA1275" s="360"/>
      <c r="AB1275" s="360"/>
      <c r="AC1275" s="360"/>
      <c r="AD1275" s="360"/>
      <c r="AE1275" s="360"/>
    </row>
    <row r="1276" spans="4:31" x14ac:dyDescent="0.2">
      <c r="D1276" s="360"/>
      <c r="E1276" s="360"/>
      <c r="F1276" s="360"/>
      <c r="G1276" s="360"/>
      <c r="H1276" s="361"/>
      <c r="I1276" s="361"/>
      <c r="J1276" s="361"/>
      <c r="K1276" s="361"/>
      <c r="L1276" s="361"/>
      <c r="M1276" s="360"/>
      <c r="N1276" s="360"/>
      <c r="O1276" s="360"/>
      <c r="P1276" s="360"/>
      <c r="Q1276" s="360"/>
      <c r="R1276" s="360"/>
      <c r="S1276" s="360"/>
      <c r="T1276" s="360"/>
      <c r="U1276" s="360"/>
      <c r="V1276" s="360"/>
      <c r="W1276" s="360"/>
      <c r="X1276" s="360"/>
      <c r="Y1276" s="360"/>
      <c r="Z1276" s="360"/>
      <c r="AA1276" s="360"/>
      <c r="AB1276" s="360"/>
      <c r="AC1276" s="360"/>
      <c r="AD1276" s="360"/>
      <c r="AE1276" s="360"/>
    </row>
    <row r="1277" spans="4:31" x14ac:dyDescent="0.2">
      <c r="D1277" s="360"/>
      <c r="E1277" s="360"/>
      <c r="F1277" s="360"/>
      <c r="G1277" s="360"/>
      <c r="H1277" s="361"/>
      <c r="I1277" s="361"/>
      <c r="J1277" s="361"/>
      <c r="K1277" s="361"/>
      <c r="L1277" s="361"/>
      <c r="M1277" s="360"/>
      <c r="N1277" s="360"/>
      <c r="O1277" s="360"/>
      <c r="P1277" s="360"/>
      <c r="Q1277" s="360"/>
      <c r="R1277" s="360"/>
      <c r="S1277" s="360"/>
      <c r="T1277" s="360"/>
      <c r="U1277" s="360"/>
      <c r="V1277" s="360"/>
      <c r="W1277" s="360"/>
      <c r="X1277" s="360"/>
      <c r="Y1277" s="360"/>
      <c r="Z1277" s="360"/>
      <c r="AA1277" s="360"/>
      <c r="AB1277" s="360"/>
      <c r="AC1277" s="360"/>
      <c r="AD1277" s="360"/>
      <c r="AE1277" s="360"/>
    </row>
    <row r="1278" spans="4:31" x14ac:dyDescent="0.2">
      <c r="D1278" s="360"/>
      <c r="E1278" s="360"/>
      <c r="F1278" s="360"/>
      <c r="G1278" s="360"/>
      <c r="H1278" s="361"/>
      <c r="I1278" s="361"/>
      <c r="J1278" s="361"/>
      <c r="K1278" s="361"/>
      <c r="L1278" s="361"/>
      <c r="M1278" s="360"/>
      <c r="N1278" s="360"/>
      <c r="O1278" s="360"/>
      <c r="P1278" s="360"/>
      <c r="Q1278" s="360"/>
      <c r="R1278" s="360"/>
      <c r="S1278" s="360"/>
      <c r="T1278" s="360"/>
      <c r="U1278" s="360"/>
      <c r="V1278" s="360"/>
      <c r="W1278" s="360"/>
      <c r="X1278" s="360"/>
      <c r="Y1278" s="360"/>
      <c r="Z1278" s="360"/>
      <c r="AA1278" s="360"/>
      <c r="AB1278" s="360"/>
      <c r="AC1278" s="360"/>
      <c r="AD1278" s="360"/>
      <c r="AE1278" s="360"/>
    </row>
    <row r="1279" spans="4:31" x14ac:dyDescent="0.2">
      <c r="D1279" s="360"/>
      <c r="E1279" s="360"/>
      <c r="F1279" s="360"/>
      <c r="G1279" s="360"/>
      <c r="H1279" s="361"/>
      <c r="I1279" s="361"/>
      <c r="J1279" s="361"/>
      <c r="K1279" s="361"/>
      <c r="L1279" s="361"/>
      <c r="M1279" s="360"/>
      <c r="N1279" s="360"/>
      <c r="O1279" s="360"/>
      <c r="P1279" s="360"/>
      <c r="Q1279" s="360"/>
      <c r="R1279" s="360"/>
      <c r="S1279" s="360"/>
      <c r="T1279" s="360"/>
      <c r="U1279" s="360"/>
      <c r="V1279" s="360"/>
      <c r="W1279" s="360"/>
      <c r="X1279" s="360"/>
      <c r="Y1279" s="360"/>
      <c r="Z1279" s="360"/>
      <c r="AA1279" s="360"/>
      <c r="AB1279" s="360"/>
      <c r="AC1279" s="360"/>
      <c r="AD1279" s="360"/>
      <c r="AE1279" s="360"/>
    </row>
    <row r="1280" spans="4:31" x14ac:dyDescent="0.2">
      <c r="D1280" s="360"/>
      <c r="E1280" s="360"/>
      <c r="F1280" s="360"/>
      <c r="G1280" s="360"/>
      <c r="H1280" s="361"/>
      <c r="I1280" s="361"/>
      <c r="J1280" s="361"/>
      <c r="K1280" s="361"/>
      <c r="L1280" s="361"/>
      <c r="M1280" s="360"/>
      <c r="N1280" s="360"/>
      <c r="O1280" s="360"/>
      <c r="P1280" s="360"/>
      <c r="Q1280" s="360"/>
      <c r="R1280" s="360"/>
      <c r="S1280" s="360"/>
      <c r="T1280" s="360"/>
      <c r="U1280" s="360"/>
      <c r="V1280" s="360"/>
      <c r="W1280" s="360"/>
      <c r="X1280" s="360"/>
      <c r="Y1280" s="360"/>
      <c r="Z1280" s="360"/>
      <c r="AA1280" s="360"/>
      <c r="AB1280" s="360"/>
      <c r="AC1280" s="360"/>
      <c r="AD1280" s="360"/>
      <c r="AE1280" s="360"/>
    </row>
    <row r="1281" spans="4:31" x14ac:dyDescent="0.2">
      <c r="D1281" s="360"/>
      <c r="E1281" s="360"/>
      <c r="F1281" s="360"/>
      <c r="G1281" s="360"/>
      <c r="H1281" s="361"/>
      <c r="I1281" s="361"/>
      <c r="J1281" s="361"/>
      <c r="K1281" s="361"/>
      <c r="L1281" s="361"/>
      <c r="M1281" s="360"/>
      <c r="N1281" s="360"/>
      <c r="O1281" s="360"/>
      <c r="P1281" s="360"/>
      <c r="Q1281" s="360"/>
      <c r="R1281" s="360"/>
      <c r="S1281" s="360"/>
      <c r="T1281" s="360"/>
      <c r="U1281" s="360"/>
      <c r="V1281" s="360"/>
      <c r="W1281" s="360"/>
      <c r="X1281" s="360"/>
      <c r="Y1281" s="360"/>
      <c r="Z1281" s="360"/>
      <c r="AA1281" s="360"/>
      <c r="AB1281" s="360"/>
      <c r="AC1281" s="360"/>
      <c r="AD1281" s="360"/>
      <c r="AE1281" s="360"/>
    </row>
    <row r="1282" spans="4:31" x14ac:dyDescent="0.2">
      <c r="D1282" s="360"/>
      <c r="E1282" s="360"/>
      <c r="F1282" s="360"/>
      <c r="G1282" s="360"/>
      <c r="H1282" s="361"/>
      <c r="I1282" s="361"/>
      <c r="J1282" s="361"/>
      <c r="K1282" s="361"/>
      <c r="L1282" s="361"/>
      <c r="M1282" s="360"/>
      <c r="N1282" s="360"/>
      <c r="O1282" s="360"/>
      <c r="P1282" s="360"/>
      <c r="Q1282" s="360"/>
      <c r="R1282" s="360"/>
      <c r="S1282" s="360"/>
      <c r="T1282" s="360"/>
      <c r="U1282" s="360"/>
      <c r="V1282" s="360"/>
      <c r="W1282" s="360"/>
      <c r="X1282" s="360"/>
      <c r="Y1282" s="360"/>
      <c r="Z1282" s="360"/>
      <c r="AA1282" s="360"/>
      <c r="AB1282" s="360"/>
      <c r="AC1282" s="360"/>
      <c r="AD1282" s="360"/>
      <c r="AE1282" s="360"/>
    </row>
    <row r="1283" spans="4:31" x14ac:dyDescent="0.2">
      <c r="D1283" s="360"/>
      <c r="E1283" s="360"/>
      <c r="F1283" s="360"/>
      <c r="G1283" s="360"/>
      <c r="H1283" s="361"/>
      <c r="I1283" s="361"/>
      <c r="J1283" s="361"/>
      <c r="K1283" s="361"/>
      <c r="L1283" s="361"/>
      <c r="M1283" s="360"/>
      <c r="N1283" s="360"/>
      <c r="O1283" s="360"/>
      <c r="P1283" s="360"/>
      <c r="Q1283" s="360"/>
      <c r="R1283" s="360"/>
      <c r="S1283" s="360"/>
      <c r="T1283" s="360"/>
      <c r="U1283" s="360"/>
      <c r="V1283" s="360"/>
      <c r="W1283" s="360"/>
      <c r="X1283" s="360"/>
      <c r="Y1283" s="360"/>
      <c r="Z1283" s="360"/>
      <c r="AA1283" s="360"/>
      <c r="AB1283" s="360"/>
      <c r="AC1283" s="360"/>
      <c r="AD1283" s="360"/>
      <c r="AE1283" s="360"/>
    </row>
    <row r="1284" spans="4:31" x14ac:dyDescent="0.2">
      <c r="D1284" s="360"/>
      <c r="E1284" s="360"/>
      <c r="F1284" s="360"/>
      <c r="G1284" s="360"/>
      <c r="H1284" s="361"/>
      <c r="I1284" s="361"/>
      <c r="J1284" s="361"/>
      <c r="K1284" s="361"/>
      <c r="L1284" s="361"/>
      <c r="M1284" s="360"/>
      <c r="N1284" s="360"/>
      <c r="O1284" s="360"/>
      <c r="P1284" s="360"/>
      <c r="Q1284" s="360"/>
      <c r="R1284" s="360"/>
      <c r="S1284" s="360"/>
      <c r="T1284" s="360"/>
      <c r="U1284" s="360"/>
      <c r="V1284" s="360"/>
      <c r="W1284" s="360"/>
      <c r="X1284" s="360"/>
      <c r="Y1284" s="360"/>
      <c r="Z1284" s="360"/>
      <c r="AA1284" s="360"/>
      <c r="AB1284" s="360"/>
      <c r="AC1284" s="360"/>
      <c r="AD1284" s="360"/>
      <c r="AE1284" s="360"/>
    </row>
    <row r="1285" spans="4:31" x14ac:dyDescent="0.2">
      <c r="D1285" s="360"/>
      <c r="E1285" s="360"/>
      <c r="F1285" s="360"/>
      <c r="G1285" s="360"/>
      <c r="H1285" s="361"/>
      <c r="I1285" s="361"/>
      <c r="J1285" s="361"/>
      <c r="K1285" s="361"/>
      <c r="L1285" s="361"/>
      <c r="M1285" s="360"/>
      <c r="N1285" s="360"/>
      <c r="O1285" s="360"/>
      <c r="P1285" s="360"/>
      <c r="Q1285" s="360"/>
      <c r="R1285" s="360"/>
      <c r="S1285" s="360"/>
      <c r="T1285" s="360"/>
      <c r="U1285" s="360"/>
      <c r="V1285" s="360"/>
      <c r="W1285" s="360"/>
      <c r="X1285" s="360"/>
      <c r="Y1285" s="360"/>
      <c r="Z1285" s="360"/>
      <c r="AA1285" s="360"/>
      <c r="AB1285" s="360"/>
      <c r="AC1285" s="360"/>
      <c r="AD1285" s="360"/>
      <c r="AE1285" s="360"/>
    </row>
    <row r="1286" spans="4:31" x14ac:dyDescent="0.2">
      <c r="D1286" s="360"/>
      <c r="E1286" s="360"/>
      <c r="F1286" s="360"/>
      <c r="G1286" s="360"/>
      <c r="H1286" s="361"/>
      <c r="I1286" s="361"/>
      <c r="J1286" s="361"/>
      <c r="K1286" s="361"/>
      <c r="L1286" s="361"/>
      <c r="M1286" s="360"/>
      <c r="N1286" s="360"/>
      <c r="O1286" s="360"/>
      <c r="P1286" s="360"/>
      <c r="Q1286" s="360"/>
      <c r="R1286" s="360"/>
      <c r="S1286" s="360"/>
      <c r="T1286" s="360"/>
      <c r="U1286" s="360"/>
      <c r="V1286" s="360"/>
      <c r="W1286" s="360"/>
      <c r="X1286" s="360"/>
      <c r="Y1286" s="360"/>
      <c r="Z1286" s="360"/>
      <c r="AA1286" s="360"/>
      <c r="AB1286" s="360"/>
      <c r="AC1286" s="360"/>
      <c r="AD1286" s="360"/>
      <c r="AE1286" s="360"/>
    </row>
    <row r="1287" spans="4:31" x14ac:dyDescent="0.2">
      <c r="D1287" s="360"/>
      <c r="E1287" s="360"/>
      <c r="F1287" s="360"/>
      <c r="G1287" s="360"/>
      <c r="H1287" s="361"/>
      <c r="I1287" s="361"/>
      <c r="J1287" s="361"/>
      <c r="K1287" s="361"/>
      <c r="L1287" s="361"/>
      <c r="M1287" s="360"/>
      <c r="N1287" s="360"/>
      <c r="O1287" s="360"/>
      <c r="P1287" s="360"/>
      <c r="Q1287" s="360"/>
      <c r="R1287" s="360"/>
      <c r="S1287" s="360"/>
      <c r="T1287" s="360"/>
      <c r="U1287" s="360"/>
      <c r="V1287" s="360"/>
      <c r="W1287" s="360"/>
      <c r="X1287" s="360"/>
      <c r="Y1287" s="360"/>
      <c r="Z1287" s="360"/>
      <c r="AA1287" s="360"/>
      <c r="AB1287" s="360"/>
      <c r="AC1287" s="360"/>
      <c r="AD1287" s="360"/>
      <c r="AE1287" s="360"/>
    </row>
    <row r="1288" spans="4:31" x14ac:dyDescent="0.2">
      <c r="D1288" s="360"/>
      <c r="E1288" s="360"/>
      <c r="F1288" s="360"/>
      <c r="G1288" s="360"/>
      <c r="H1288" s="361"/>
      <c r="I1288" s="361"/>
      <c r="J1288" s="361"/>
      <c r="K1288" s="361"/>
      <c r="L1288" s="361"/>
      <c r="M1288" s="360"/>
      <c r="N1288" s="360"/>
      <c r="O1288" s="360"/>
      <c r="P1288" s="360"/>
      <c r="Q1288" s="360"/>
      <c r="R1288" s="360"/>
      <c r="S1288" s="360"/>
      <c r="T1288" s="360"/>
      <c r="U1288" s="360"/>
      <c r="V1288" s="360"/>
      <c r="W1288" s="360"/>
      <c r="X1288" s="360"/>
      <c r="Y1288" s="360"/>
      <c r="Z1288" s="360"/>
      <c r="AA1288" s="360"/>
      <c r="AB1288" s="360"/>
      <c r="AC1288" s="360"/>
      <c r="AD1288" s="360"/>
      <c r="AE1288" s="360"/>
    </row>
    <row r="1289" spans="4:31" x14ac:dyDescent="0.2">
      <c r="D1289" s="360"/>
      <c r="E1289" s="360"/>
      <c r="F1289" s="360"/>
      <c r="G1289" s="360"/>
      <c r="H1289" s="361"/>
      <c r="I1289" s="361"/>
      <c r="J1289" s="361"/>
      <c r="K1289" s="361"/>
      <c r="L1289" s="361"/>
      <c r="M1289" s="360"/>
      <c r="N1289" s="360"/>
      <c r="O1289" s="360"/>
      <c r="P1289" s="360"/>
      <c r="Q1289" s="360"/>
      <c r="R1289" s="360"/>
      <c r="S1289" s="360"/>
      <c r="T1289" s="360"/>
      <c r="U1289" s="360"/>
      <c r="V1289" s="360"/>
      <c r="W1289" s="360"/>
      <c r="X1289" s="360"/>
      <c r="Y1289" s="360"/>
      <c r="Z1289" s="360"/>
      <c r="AA1289" s="360"/>
      <c r="AB1289" s="360"/>
      <c r="AC1289" s="360"/>
      <c r="AD1289" s="360"/>
      <c r="AE1289" s="360"/>
    </row>
    <row r="1290" spans="4:31" x14ac:dyDescent="0.2">
      <c r="D1290" s="360"/>
      <c r="E1290" s="360"/>
      <c r="F1290" s="360"/>
      <c r="G1290" s="360"/>
      <c r="H1290" s="361"/>
      <c r="I1290" s="361"/>
      <c r="J1290" s="361"/>
      <c r="K1290" s="361"/>
      <c r="L1290" s="361"/>
      <c r="M1290" s="360"/>
      <c r="N1290" s="360"/>
      <c r="O1290" s="360"/>
      <c r="P1290" s="360"/>
      <c r="Q1290" s="360"/>
      <c r="R1290" s="360"/>
      <c r="S1290" s="360"/>
      <c r="T1290" s="360"/>
      <c r="U1290" s="360"/>
      <c r="V1290" s="360"/>
      <c r="W1290" s="360"/>
      <c r="X1290" s="360"/>
      <c r="Y1290" s="360"/>
      <c r="Z1290" s="360"/>
      <c r="AA1290" s="360"/>
      <c r="AB1290" s="360"/>
      <c r="AC1290" s="360"/>
      <c r="AD1290" s="360"/>
      <c r="AE1290" s="360"/>
    </row>
    <row r="1291" spans="4:31" x14ac:dyDescent="0.2">
      <c r="D1291" s="360"/>
      <c r="E1291" s="360"/>
      <c r="F1291" s="360"/>
      <c r="G1291" s="360"/>
      <c r="H1291" s="361"/>
      <c r="I1291" s="361"/>
      <c r="J1291" s="361"/>
      <c r="K1291" s="361"/>
      <c r="L1291" s="361"/>
      <c r="M1291" s="360"/>
      <c r="N1291" s="360"/>
      <c r="O1291" s="360"/>
      <c r="P1291" s="360"/>
      <c r="Q1291" s="360"/>
      <c r="R1291" s="360"/>
      <c r="S1291" s="360"/>
      <c r="T1291" s="360"/>
      <c r="U1291" s="360"/>
      <c r="V1291" s="360"/>
      <c r="W1291" s="360"/>
      <c r="X1291" s="360"/>
      <c r="Y1291" s="360"/>
      <c r="Z1291" s="360"/>
      <c r="AA1291" s="360"/>
      <c r="AB1291" s="360"/>
      <c r="AC1291" s="360"/>
      <c r="AD1291" s="360"/>
      <c r="AE1291" s="360"/>
    </row>
    <row r="1292" spans="4:31" x14ac:dyDescent="0.2">
      <c r="D1292" s="360"/>
      <c r="E1292" s="360"/>
      <c r="F1292" s="360"/>
      <c r="G1292" s="360"/>
      <c r="H1292" s="361"/>
      <c r="I1292" s="361"/>
      <c r="J1292" s="361"/>
      <c r="K1292" s="361"/>
      <c r="L1292" s="361"/>
      <c r="M1292" s="360"/>
      <c r="N1292" s="360"/>
      <c r="O1292" s="360"/>
      <c r="P1292" s="360"/>
      <c r="Q1292" s="360"/>
      <c r="R1292" s="360"/>
      <c r="S1292" s="360"/>
      <c r="T1292" s="360"/>
      <c r="U1292" s="360"/>
      <c r="V1292" s="360"/>
      <c r="W1292" s="360"/>
      <c r="X1292" s="360"/>
      <c r="Y1292" s="360"/>
      <c r="Z1292" s="360"/>
      <c r="AA1292" s="360"/>
      <c r="AB1292" s="360"/>
      <c r="AC1292" s="360"/>
      <c r="AD1292" s="360"/>
      <c r="AE1292" s="360"/>
    </row>
    <row r="1293" spans="4:31" x14ac:dyDescent="0.2">
      <c r="D1293" s="360"/>
      <c r="E1293" s="360"/>
      <c r="F1293" s="360"/>
      <c r="G1293" s="360"/>
      <c r="H1293" s="361"/>
      <c r="I1293" s="361"/>
      <c r="J1293" s="361"/>
      <c r="K1293" s="361"/>
      <c r="L1293" s="361"/>
      <c r="M1293" s="360"/>
      <c r="N1293" s="360"/>
      <c r="O1293" s="360"/>
      <c r="P1293" s="360"/>
      <c r="Q1293" s="360"/>
      <c r="R1293" s="360"/>
      <c r="S1293" s="360"/>
      <c r="T1293" s="360"/>
      <c r="U1293" s="360"/>
      <c r="V1293" s="360"/>
      <c r="W1293" s="360"/>
      <c r="X1293" s="360"/>
      <c r="Y1293" s="360"/>
      <c r="Z1293" s="360"/>
      <c r="AA1293" s="360"/>
      <c r="AB1293" s="360"/>
      <c r="AC1293" s="360"/>
      <c r="AD1293" s="360"/>
      <c r="AE1293" s="360"/>
    </row>
    <row r="1294" spans="4:31" x14ac:dyDescent="0.2">
      <c r="D1294" s="360"/>
      <c r="E1294" s="360"/>
      <c r="F1294" s="360"/>
      <c r="G1294" s="360"/>
      <c r="H1294" s="361"/>
      <c r="I1294" s="361"/>
      <c r="J1294" s="361"/>
      <c r="K1294" s="361"/>
      <c r="L1294" s="361"/>
      <c r="M1294" s="360"/>
      <c r="N1294" s="360"/>
      <c r="O1294" s="360"/>
      <c r="P1294" s="360"/>
      <c r="Q1294" s="360"/>
      <c r="R1294" s="360"/>
      <c r="S1294" s="360"/>
      <c r="T1294" s="360"/>
      <c r="U1294" s="360"/>
      <c r="V1294" s="360"/>
      <c r="W1294" s="360"/>
      <c r="X1294" s="360"/>
      <c r="Y1294" s="360"/>
      <c r="Z1294" s="360"/>
      <c r="AA1294" s="360"/>
      <c r="AB1294" s="360"/>
      <c r="AC1294" s="360"/>
      <c r="AD1294" s="360"/>
      <c r="AE1294" s="360"/>
    </row>
    <row r="1295" spans="4:31" x14ac:dyDescent="0.2">
      <c r="D1295" s="360"/>
      <c r="E1295" s="360"/>
      <c r="F1295" s="360"/>
      <c r="G1295" s="360"/>
      <c r="H1295" s="361"/>
      <c r="I1295" s="361"/>
      <c r="J1295" s="361"/>
      <c r="K1295" s="361"/>
      <c r="L1295" s="361"/>
      <c r="M1295" s="360"/>
      <c r="N1295" s="360"/>
      <c r="O1295" s="360"/>
      <c r="P1295" s="360"/>
      <c r="Q1295" s="360"/>
      <c r="R1295" s="360"/>
      <c r="S1295" s="360"/>
      <c r="T1295" s="360"/>
      <c r="U1295" s="360"/>
      <c r="V1295" s="360"/>
      <c r="W1295" s="360"/>
      <c r="X1295" s="360"/>
      <c r="Y1295" s="360"/>
      <c r="Z1295" s="360"/>
      <c r="AA1295" s="360"/>
      <c r="AB1295" s="360"/>
      <c r="AC1295" s="360"/>
      <c r="AD1295" s="360"/>
      <c r="AE1295" s="360"/>
    </row>
    <row r="1296" spans="4:31" x14ac:dyDescent="0.2">
      <c r="D1296" s="360"/>
      <c r="E1296" s="360"/>
      <c r="F1296" s="360"/>
      <c r="G1296" s="360"/>
      <c r="H1296" s="361"/>
      <c r="I1296" s="361"/>
      <c r="J1296" s="361"/>
      <c r="K1296" s="361"/>
      <c r="L1296" s="361"/>
      <c r="M1296" s="360"/>
      <c r="N1296" s="360"/>
      <c r="O1296" s="360"/>
      <c r="P1296" s="360"/>
      <c r="Q1296" s="360"/>
      <c r="R1296" s="360"/>
      <c r="S1296" s="360"/>
      <c r="T1296" s="360"/>
      <c r="U1296" s="360"/>
      <c r="V1296" s="360"/>
      <c r="W1296" s="360"/>
      <c r="X1296" s="360"/>
      <c r="Y1296" s="360"/>
      <c r="Z1296" s="360"/>
      <c r="AA1296" s="360"/>
      <c r="AB1296" s="360"/>
      <c r="AC1296" s="360"/>
      <c r="AD1296" s="360"/>
      <c r="AE1296" s="360"/>
    </row>
    <row r="1297" spans="4:31" x14ac:dyDescent="0.2">
      <c r="D1297" s="360"/>
      <c r="E1297" s="360"/>
      <c r="F1297" s="360"/>
      <c r="G1297" s="360"/>
      <c r="H1297" s="361"/>
      <c r="I1297" s="361"/>
      <c r="J1297" s="361"/>
      <c r="K1297" s="361"/>
      <c r="L1297" s="361"/>
      <c r="M1297" s="360"/>
      <c r="N1297" s="360"/>
      <c r="O1297" s="360"/>
      <c r="P1297" s="360"/>
      <c r="Q1297" s="360"/>
      <c r="R1297" s="360"/>
      <c r="S1297" s="360"/>
      <c r="T1297" s="360"/>
      <c r="U1297" s="360"/>
      <c r="V1297" s="360"/>
      <c r="W1297" s="360"/>
      <c r="X1297" s="360"/>
      <c r="Y1297" s="360"/>
      <c r="Z1297" s="360"/>
      <c r="AA1297" s="360"/>
      <c r="AB1297" s="360"/>
      <c r="AC1297" s="360"/>
      <c r="AD1297" s="360"/>
      <c r="AE1297" s="360"/>
    </row>
    <row r="1298" spans="4:31" x14ac:dyDescent="0.2">
      <c r="D1298" s="360"/>
      <c r="E1298" s="360"/>
      <c r="F1298" s="360"/>
      <c r="G1298" s="360"/>
      <c r="H1298" s="361"/>
      <c r="I1298" s="361"/>
      <c r="J1298" s="361"/>
      <c r="K1298" s="361"/>
      <c r="L1298" s="361"/>
      <c r="M1298" s="360"/>
      <c r="N1298" s="360"/>
      <c r="O1298" s="360"/>
      <c r="P1298" s="360"/>
      <c r="Q1298" s="360"/>
      <c r="R1298" s="360"/>
      <c r="S1298" s="360"/>
      <c r="T1298" s="360"/>
      <c r="U1298" s="360"/>
      <c r="V1298" s="360"/>
      <c r="W1298" s="360"/>
      <c r="X1298" s="360"/>
      <c r="Y1298" s="360"/>
      <c r="Z1298" s="360"/>
      <c r="AA1298" s="360"/>
      <c r="AB1298" s="360"/>
      <c r="AC1298" s="360"/>
      <c r="AD1298" s="360"/>
      <c r="AE1298" s="360"/>
    </row>
    <row r="1299" spans="4:31" x14ac:dyDescent="0.2">
      <c r="D1299" s="360"/>
      <c r="E1299" s="360"/>
      <c r="F1299" s="360"/>
      <c r="G1299" s="360"/>
      <c r="H1299" s="361"/>
      <c r="I1299" s="361"/>
      <c r="J1299" s="361"/>
      <c r="K1299" s="361"/>
      <c r="L1299" s="361"/>
      <c r="M1299" s="360"/>
      <c r="N1299" s="360"/>
      <c r="O1299" s="360"/>
      <c r="P1299" s="360"/>
      <c r="Q1299" s="360"/>
      <c r="R1299" s="360"/>
      <c r="S1299" s="360"/>
      <c r="T1299" s="360"/>
      <c r="U1299" s="360"/>
      <c r="V1299" s="360"/>
      <c r="W1299" s="360"/>
      <c r="X1299" s="360"/>
      <c r="Y1299" s="360"/>
      <c r="Z1299" s="360"/>
      <c r="AA1299" s="360"/>
      <c r="AB1299" s="360"/>
      <c r="AC1299" s="360"/>
      <c r="AD1299" s="360"/>
      <c r="AE1299" s="360"/>
    </row>
    <row r="1300" spans="4:31" x14ac:dyDescent="0.2">
      <c r="D1300" s="360"/>
      <c r="E1300" s="360"/>
      <c r="F1300" s="360"/>
      <c r="G1300" s="360"/>
      <c r="H1300" s="361"/>
      <c r="I1300" s="361"/>
      <c r="J1300" s="361"/>
      <c r="K1300" s="361"/>
      <c r="L1300" s="361"/>
      <c r="M1300" s="360"/>
      <c r="N1300" s="360"/>
      <c r="O1300" s="360"/>
      <c r="P1300" s="360"/>
      <c r="Q1300" s="360"/>
      <c r="R1300" s="360"/>
      <c r="S1300" s="360"/>
      <c r="T1300" s="360"/>
      <c r="U1300" s="360"/>
      <c r="V1300" s="360"/>
      <c r="W1300" s="360"/>
      <c r="X1300" s="360"/>
      <c r="Y1300" s="360"/>
      <c r="Z1300" s="360"/>
      <c r="AA1300" s="360"/>
      <c r="AB1300" s="360"/>
      <c r="AC1300" s="360"/>
      <c r="AD1300" s="360"/>
      <c r="AE1300" s="360"/>
    </row>
    <row r="1301" spans="4:31" x14ac:dyDescent="0.2">
      <c r="D1301" s="360"/>
      <c r="E1301" s="360"/>
      <c r="F1301" s="360"/>
      <c r="G1301" s="360"/>
      <c r="H1301" s="361"/>
      <c r="I1301" s="361"/>
      <c r="J1301" s="361"/>
      <c r="K1301" s="361"/>
      <c r="L1301" s="361"/>
      <c r="M1301" s="360"/>
      <c r="N1301" s="360"/>
      <c r="O1301" s="360"/>
      <c r="P1301" s="360"/>
      <c r="Q1301" s="360"/>
      <c r="R1301" s="360"/>
      <c r="S1301" s="360"/>
      <c r="T1301" s="360"/>
      <c r="U1301" s="360"/>
      <c r="V1301" s="360"/>
      <c r="W1301" s="360"/>
      <c r="X1301" s="360"/>
      <c r="Y1301" s="360"/>
      <c r="Z1301" s="360"/>
      <c r="AA1301" s="360"/>
      <c r="AB1301" s="360"/>
      <c r="AC1301" s="360"/>
      <c r="AD1301" s="360"/>
      <c r="AE1301" s="360"/>
    </row>
    <row r="1302" spans="4:31" x14ac:dyDescent="0.2">
      <c r="D1302" s="360"/>
      <c r="E1302" s="360"/>
      <c r="F1302" s="360"/>
      <c r="G1302" s="360"/>
      <c r="H1302" s="361"/>
      <c r="I1302" s="361"/>
      <c r="J1302" s="361"/>
      <c r="K1302" s="361"/>
      <c r="L1302" s="361"/>
      <c r="M1302" s="360"/>
      <c r="N1302" s="360"/>
      <c r="O1302" s="360"/>
      <c r="P1302" s="360"/>
      <c r="Q1302" s="360"/>
      <c r="R1302" s="360"/>
      <c r="S1302" s="360"/>
      <c r="T1302" s="360"/>
      <c r="U1302" s="360"/>
      <c r="V1302" s="360"/>
      <c r="W1302" s="360"/>
      <c r="X1302" s="360"/>
      <c r="Y1302" s="360"/>
      <c r="Z1302" s="360"/>
      <c r="AA1302" s="360"/>
      <c r="AB1302" s="360"/>
      <c r="AC1302" s="360"/>
      <c r="AD1302" s="360"/>
      <c r="AE1302" s="360"/>
    </row>
    <row r="1303" spans="4:31" x14ac:dyDescent="0.2">
      <c r="D1303" s="360"/>
      <c r="E1303" s="360"/>
      <c r="F1303" s="360"/>
      <c r="G1303" s="360"/>
      <c r="H1303" s="361"/>
      <c r="I1303" s="361"/>
      <c r="J1303" s="361"/>
      <c r="K1303" s="361"/>
      <c r="L1303" s="361"/>
      <c r="M1303" s="360"/>
      <c r="N1303" s="360"/>
      <c r="O1303" s="360"/>
      <c r="P1303" s="360"/>
      <c r="Q1303" s="360"/>
      <c r="R1303" s="360"/>
      <c r="S1303" s="360"/>
      <c r="T1303" s="360"/>
      <c r="U1303" s="360"/>
      <c r="V1303" s="360"/>
      <c r="W1303" s="360"/>
      <c r="X1303" s="360"/>
      <c r="Y1303" s="360"/>
      <c r="Z1303" s="360"/>
      <c r="AA1303" s="360"/>
      <c r="AB1303" s="360"/>
      <c r="AC1303" s="360"/>
      <c r="AD1303" s="360"/>
      <c r="AE1303" s="360"/>
    </row>
    <row r="1304" spans="4:31" x14ac:dyDescent="0.2">
      <c r="D1304" s="360"/>
      <c r="E1304" s="360"/>
      <c r="F1304" s="360"/>
      <c r="G1304" s="360"/>
      <c r="H1304" s="361"/>
      <c r="I1304" s="361"/>
      <c r="J1304" s="361"/>
      <c r="K1304" s="361"/>
      <c r="L1304" s="361"/>
      <c r="M1304" s="360"/>
      <c r="N1304" s="360"/>
      <c r="O1304" s="360"/>
      <c r="P1304" s="360"/>
      <c r="Q1304" s="360"/>
      <c r="R1304" s="360"/>
      <c r="S1304" s="360"/>
      <c r="T1304" s="360"/>
      <c r="U1304" s="360"/>
      <c r="V1304" s="360"/>
      <c r="W1304" s="360"/>
      <c r="X1304" s="360"/>
      <c r="Y1304" s="360"/>
      <c r="Z1304" s="360"/>
      <c r="AA1304" s="360"/>
      <c r="AB1304" s="360"/>
      <c r="AC1304" s="360"/>
      <c r="AD1304" s="360"/>
      <c r="AE1304" s="360"/>
    </row>
    <row r="1305" spans="4:31" x14ac:dyDescent="0.2">
      <c r="D1305" s="360"/>
      <c r="E1305" s="360"/>
      <c r="F1305" s="360"/>
      <c r="G1305" s="360"/>
      <c r="H1305" s="361"/>
      <c r="I1305" s="361"/>
      <c r="J1305" s="361"/>
      <c r="K1305" s="361"/>
      <c r="L1305" s="361"/>
      <c r="M1305" s="360"/>
      <c r="N1305" s="360"/>
      <c r="O1305" s="360"/>
      <c r="P1305" s="360"/>
      <c r="Q1305" s="360"/>
      <c r="R1305" s="360"/>
      <c r="S1305" s="360"/>
      <c r="T1305" s="360"/>
      <c r="U1305" s="360"/>
      <c r="V1305" s="360"/>
      <c r="W1305" s="360"/>
      <c r="X1305" s="360"/>
      <c r="Y1305" s="360"/>
      <c r="Z1305" s="360"/>
      <c r="AA1305" s="360"/>
      <c r="AB1305" s="360"/>
      <c r="AC1305" s="360"/>
      <c r="AD1305" s="360"/>
      <c r="AE1305" s="360"/>
    </row>
    <row r="1306" spans="4:31" x14ac:dyDescent="0.2">
      <c r="D1306" s="360"/>
      <c r="E1306" s="360"/>
      <c r="F1306" s="360"/>
      <c r="G1306" s="360"/>
      <c r="H1306" s="361"/>
      <c r="I1306" s="361"/>
      <c r="J1306" s="361"/>
      <c r="K1306" s="361"/>
      <c r="L1306" s="361"/>
      <c r="M1306" s="360"/>
      <c r="N1306" s="360"/>
      <c r="O1306" s="360"/>
      <c r="P1306" s="360"/>
      <c r="Q1306" s="360"/>
      <c r="R1306" s="360"/>
      <c r="S1306" s="360"/>
      <c r="T1306" s="360"/>
      <c r="U1306" s="360"/>
      <c r="V1306" s="360"/>
      <c r="W1306" s="360"/>
      <c r="X1306" s="360"/>
      <c r="Y1306" s="360"/>
      <c r="Z1306" s="360"/>
      <c r="AA1306" s="360"/>
      <c r="AB1306" s="360"/>
      <c r="AC1306" s="360"/>
      <c r="AD1306" s="360"/>
      <c r="AE1306" s="360"/>
    </row>
    <row r="1307" spans="4:31" x14ac:dyDescent="0.2">
      <c r="D1307" s="360"/>
      <c r="E1307" s="360"/>
      <c r="F1307" s="360"/>
      <c r="G1307" s="360"/>
      <c r="H1307" s="361"/>
      <c r="I1307" s="361"/>
      <c r="J1307" s="361"/>
      <c r="K1307" s="361"/>
      <c r="L1307" s="361"/>
      <c r="M1307" s="360"/>
      <c r="N1307" s="360"/>
      <c r="O1307" s="360"/>
      <c r="P1307" s="360"/>
      <c r="Q1307" s="360"/>
      <c r="R1307" s="360"/>
      <c r="S1307" s="360"/>
      <c r="T1307" s="360"/>
      <c r="U1307" s="360"/>
      <c r="V1307" s="360"/>
      <c r="W1307" s="360"/>
      <c r="X1307" s="360"/>
      <c r="Y1307" s="360"/>
      <c r="Z1307" s="360"/>
      <c r="AA1307" s="360"/>
      <c r="AB1307" s="360"/>
      <c r="AC1307" s="360"/>
      <c r="AD1307" s="360"/>
      <c r="AE1307" s="360"/>
    </row>
    <row r="1308" spans="4:31" x14ac:dyDescent="0.2">
      <c r="D1308" s="360"/>
      <c r="E1308" s="360"/>
      <c r="F1308" s="360"/>
      <c r="G1308" s="360"/>
      <c r="H1308" s="361"/>
      <c r="I1308" s="361"/>
      <c r="J1308" s="361"/>
      <c r="K1308" s="361"/>
      <c r="L1308" s="361"/>
      <c r="M1308" s="360"/>
      <c r="N1308" s="360"/>
      <c r="O1308" s="360"/>
      <c r="P1308" s="360"/>
      <c r="Q1308" s="360"/>
      <c r="R1308" s="360"/>
      <c r="S1308" s="360"/>
      <c r="T1308" s="360"/>
      <c r="U1308" s="360"/>
      <c r="V1308" s="360"/>
      <c r="W1308" s="360"/>
      <c r="X1308" s="360"/>
      <c r="Y1308" s="360"/>
      <c r="Z1308" s="360"/>
      <c r="AA1308" s="360"/>
      <c r="AB1308" s="360"/>
      <c r="AC1308" s="360"/>
      <c r="AD1308" s="360"/>
      <c r="AE1308" s="360"/>
    </row>
    <row r="1309" spans="4:31" x14ac:dyDescent="0.2">
      <c r="D1309" s="360"/>
      <c r="E1309" s="360"/>
      <c r="F1309" s="360"/>
      <c r="G1309" s="360"/>
      <c r="H1309" s="361"/>
      <c r="I1309" s="361"/>
      <c r="J1309" s="361"/>
      <c r="K1309" s="361"/>
      <c r="L1309" s="361"/>
      <c r="M1309" s="360"/>
      <c r="N1309" s="360"/>
      <c r="O1309" s="360"/>
      <c r="P1309" s="360"/>
      <c r="Q1309" s="360"/>
      <c r="R1309" s="360"/>
      <c r="S1309" s="360"/>
      <c r="T1309" s="360"/>
      <c r="U1309" s="360"/>
      <c r="V1309" s="360"/>
      <c r="W1309" s="360"/>
      <c r="X1309" s="360"/>
      <c r="Y1309" s="360"/>
      <c r="Z1309" s="360"/>
      <c r="AA1309" s="360"/>
      <c r="AB1309" s="360"/>
      <c r="AC1309" s="360"/>
      <c r="AD1309" s="360"/>
      <c r="AE1309" s="360"/>
    </row>
    <row r="1310" spans="4:31" x14ac:dyDescent="0.2">
      <c r="D1310" s="360"/>
      <c r="E1310" s="360"/>
      <c r="F1310" s="360"/>
      <c r="G1310" s="360"/>
      <c r="H1310" s="361"/>
      <c r="I1310" s="361"/>
      <c r="J1310" s="361"/>
      <c r="K1310" s="361"/>
      <c r="L1310" s="361"/>
      <c r="M1310" s="360"/>
      <c r="N1310" s="360"/>
      <c r="O1310" s="360"/>
      <c r="P1310" s="360"/>
      <c r="Q1310" s="360"/>
      <c r="R1310" s="360"/>
      <c r="S1310" s="360"/>
      <c r="T1310" s="360"/>
      <c r="U1310" s="360"/>
      <c r="V1310" s="360"/>
      <c r="W1310" s="360"/>
      <c r="X1310" s="360"/>
      <c r="Y1310" s="360"/>
      <c r="Z1310" s="360"/>
      <c r="AA1310" s="360"/>
      <c r="AB1310" s="360"/>
      <c r="AC1310" s="360"/>
      <c r="AD1310" s="360"/>
      <c r="AE1310" s="360"/>
    </row>
    <row r="1311" spans="4:31" x14ac:dyDescent="0.2">
      <c r="D1311" s="360"/>
      <c r="E1311" s="360"/>
      <c r="F1311" s="360"/>
      <c r="G1311" s="360"/>
      <c r="H1311" s="361"/>
      <c r="I1311" s="361"/>
      <c r="J1311" s="361"/>
      <c r="K1311" s="361"/>
      <c r="L1311" s="361"/>
      <c r="M1311" s="360"/>
      <c r="N1311" s="360"/>
      <c r="O1311" s="360"/>
      <c r="P1311" s="360"/>
      <c r="Q1311" s="360"/>
      <c r="R1311" s="360"/>
      <c r="S1311" s="360"/>
      <c r="T1311" s="360"/>
      <c r="U1311" s="360"/>
      <c r="V1311" s="360"/>
      <c r="W1311" s="360"/>
      <c r="X1311" s="360"/>
      <c r="Y1311" s="360"/>
      <c r="Z1311" s="360"/>
      <c r="AA1311" s="360"/>
      <c r="AB1311" s="360"/>
      <c r="AC1311" s="360"/>
      <c r="AD1311" s="360"/>
      <c r="AE1311" s="360"/>
    </row>
    <row r="1312" spans="4:31" x14ac:dyDescent="0.2">
      <c r="D1312" s="360"/>
      <c r="E1312" s="360"/>
      <c r="F1312" s="360"/>
      <c r="G1312" s="360"/>
      <c r="H1312" s="361"/>
      <c r="I1312" s="361"/>
      <c r="J1312" s="361"/>
      <c r="K1312" s="361"/>
      <c r="L1312" s="361"/>
      <c r="M1312" s="360"/>
      <c r="N1312" s="360"/>
      <c r="O1312" s="360"/>
      <c r="P1312" s="360"/>
      <c r="Q1312" s="360"/>
      <c r="R1312" s="360"/>
      <c r="S1312" s="360"/>
      <c r="T1312" s="360"/>
      <c r="U1312" s="360"/>
      <c r="V1312" s="360"/>
      <c r="W1312" s="360"/>
      <c r="X1312" s="360"/>
      <c r="Y1312" s="360"/>
      <c r="Z1312" s="360"/>
      <c r="AA1312" s="360"/>
      <c r="AB1312" s="360"/>
      <c r="AC1312" s="360"/>
      <c r="AD1312" s="360"/>
      <c r="AE1312" s="360"/>
    </row>
    <row r="1313" spans="4:31" x14ac:dyDescent="0.2">
      <c r="D1313" s="360"/>
      <c r="E1313" s="360"/>
      <c r="F1313" s="360"/>
      <c r="G1313" s="360"/>
      <c r="H1313" s="361"/>
      <c r="I1313" s="361"/>
      <c r="J1313" s="361"/>
      <c r="K1313" s="361"/>
      <c r="L1313" s="361"/>
      <c r="M1313" s="360"/>
      <c r="N1313" s="360"/>
      <c r="O1313" s="360"/>
      <c r="P1313" s="360"/>
      <c r="Q1313" s="360"/>
      <c r="R1313" s="360"/>
      <c r="S1313" s="360"/>
      <c r="T1313" s="360"/>
      <c r="U1313" s="360"/>
      <c r="V1313" s="360"/>
      <c r="W1313" s="360"/>
      <c r="X1313" s="360"/>
      <c r="Y1313" s="360"/>
      <c r="Z1313" s="360"/>
      <c r="AA1313" s="360"/>
      <c r="AB1313" s="360"/>
      <c r="AC1313" s="360"/>
      <c r="AD1313" s="360"/>
      <c r="AE1313" s="360"/>
    </row>
    <row r="1314" spans="4:31" x14ac:dyDescent="0.2">
      <c r="D1314" s="360"/>
      <c r="E1314" s="360"/>
      <c r="F1314" s="360"/>
      <c r="G1314" s="360"/>
      <c r="H1314" s="361"/>
      <c r="I1314" s="361"/>
      <c r="J1314" s="361"/>
      <c r="K1314" s="361"/>
      <c r="L1314" s="361"/>
      <c r="M1314" s="360"/>
      <c r="N1314" s="360"/>
      <c r="O1314" s="360"/>
      <c r="P1314" s="360"/>
      <c r="Q1314" s="360"/>
      <c r="R1314" s="360"/>
      <c r="S1314" s="360"/>
      <c r="T1314" s="360"/>
      <c r="U1314" s="360"/>
      <c r="V1314" s="360"/>
      <c r="W1314" s="360"/>
      <c r="X1314" s="360"/>
      <c r="Y1314" s="360"/>
      <c r="Z1314" s="360"/>
      <c r="AA1314" s="360"/>
      <c r="AB1314" s="360"/>
      <c r="AC1314" s="360"/>
      <c r="AD1314" s="360"/>
      <c r="AE1314" s="360"/>
    </row>
    <row r="1315" spans="4:31" x14ac:dyDescent="0.2">
      <c r="D1315" s="360"/>
      <c r="E1315" s="360"/>
      <c r="F1315" s="360"/>
      <c r="G1315" s="360"/>
      <c r="H1315" s="361"/>
      <c r="I1315" s="361"/>
      <c r="J1315" s="361"/>
      <c r="K1315" s="361"/>
      <c r="L1315" s="361"/>
      <c r="M1315" s="360"/>
      <c r="N1315" s="360"/>
      <c r="O1315" s="360"/>
      <c r="P1315" s="360"/>
      <c r="Q1315" s="360"/>
      <c r="R1315" s="360"/>
      <c r="S1315" s="360"/>
      <c r="T1315" s="360"/>
      <c r="U1315" s="360"/>
      <c r="V1315" s="360"/>
      <c r="W1315" s="360"/>
      <c r="X1315" s="360"/>
      <c r="Y1315" s="360"/>
      <c r="Z1315" s="360"/>
      <c r="AA1315" s="360"/>
      <c r="AB1315" s="360"/>
      <c r="AC1315" s="360"/>
      <c r="AD1315" s="360"/>
      <c r="AE1315" s="360"/>
    </row>
    <row r="1316" spans="4:31" x14ac:dyDescent="0.2">
      <c r="D1316" s="360"/>
      <c r="E1316" s="360"/>
      <c r="F1316" s="360"/>
      <c r="G1316" s="360"/>
      <c r="H1316" s="361"/>
      <c r="I1316" s="361"/>
      <c r="J1316" s="361"/>
      <c r="K1316" s="361"/>
      <c r="L1316" s="361"/>
      <c r="M1316" s="360"/>
      <c r="N1316" s="360"/>
      <c r="O1316" s="360"/>
      <c r="P1316" s="360"/>
      <c r="Q1316" s="360"/>
      <c r="R1316" s="360"/>
      <c r="S1316" s="360"/>
      <c r="T1316" s="360"/>
      <c r="U1316" s="360"/>
      <c r="V1316" s="360"/>
      <c r="W1316" s="360"/>
      <c r="X1316" s="360"/>
      <c r="Y1316" s="360"/>
      <c r="Z1316" s="360"/>
      <c r="AA1316" s="360"/>
      <c r="AB1316" s="360"/>
      <c r="AC1316" s="360"/>
      <c r="AD1316" s="360"/>
      <c r="AE1316" s="360"/>
    </row>
    <row r="1317" spans="4:31" x14ac:dyDescent="0.2">
      <c r="D1317" s="360"/>
      <c r="E1317" s="360"/>
      <c r="F1317" s="360"/>
      <c r="G1317" s="360"/>
      <c r="H1317" s="361"/>
      <c r="I1317" s="361"/>
      <c r="J1317" s="361"/>
      <c r="K1317" s="361"/>
      <c r="L1317" s="361"/>
      <c r="M1317" s="360"/>
      <c r="N1317" s="360"/>
      <c r="O1317" s="360"/>
      <c r="P1317" s="360"/>
      <c r="Q1317" s="360"/>
      <c r="R1317" s="360"/>
      <c r="S1317" s="360"/>
      <c r="T1317" s="360"/>
      <c r="U1317" s="360"/>
      <c r="V1317" s="360"/>
      <c r="W1317" s="360"/>
      <c r="X1317" s="360"/>
      <c r="Y1317" s="360"/>
      <c r="Z1317" s="360"/>
      <c r="AA1317" s="360"/>
      <c r="AB1317" s="360"/>
      <c r="AC1317" s="360"/>
      <c r="AD1317" s="360"/>
      <c r="AE1317" s="360"/>
    </row>
    <row r="1318" spans="4:31" x14ac:dyDescent="0.2">
      <c r="D1318" s="360"/>
      <c r="E1318" s="360"/>
      <c r="F1318" s="360"/>
      <c r="G1318" s="360"/>
      <c r="H1318" s="361"/>
      <c r="I1318" s="361"/>
      <c r="J1318" s="361"/>
      <c r="K1318" s="361"/>
      <c r="L1318" s="361"/>
      <c r="M1318" s="360"/>
      <c r="N1318" s="360"/>
      <c r="O1318" s="360"/>
      <c r="P1318" s="360"/>
      <c r="Q1318" s="360"/>
      <c r="R1318" s="360"/>
      <c r="S1318" s="360"/>
      <c r="T1318" s="360"/>
      <c r="U1318" s="360"/>
      <c r="V1318" s="360"/>
      <c r="W1318" s="360"/>
      <c r="X1318" s="360"/>
      <c r="Y1318" s="360"/>
      <c r="Z1318" s="360"/>
      <c r="AA1318" s="360"/>
      <c r="AB1318" s="360"/>
      <c r="AC1318" s="360"/>
      <c r="AD1318" s="360"/>
      <c r="AE1318" s="360"/>
    </row>
    <row r="1319" spans="4:31" x14ac:dyDescent="0.2">
      <c r="D1319" s="360"/>
      <c r="E1319" s="360"/>
      <c r="F1319" s="360"/>
      <c r="G1319" s="360"/>
      <c r="H1319" s="361"/>
      <c r="I1319" s="361"/>
      <c r="J1319" s="361"/>
      <c r="K1319" s="361"/>
      <c r="L1319" s="361"/>
      <c r="M1319" s="360"/>
      <c r="N1319" s="360"/>
      <c r="O1319" s="360"/>
      <c r="P1319" s="360"/>
      <c r="Q1319" s="360"/>
      <c r="R1319" s="360"/>
      <c r="S1319" s="360"/>
      <c r="T1319" s="360"/>
      <c r="U1319" s="360"/>
      <c r="V1319" s="360"/>
      <c r="W1319" s="360"/>
      <c r="X1319" s="360"/>
      <c r="Y1319" s="360"/>
      <c r="Z1319" s="360"/>
      <c r="AA1319" s="360"/>
      <c r="AB1319" s="360"/>
      <c r="AC1319" s="360"/>
      <c r="AD1319" s="360"/>
      <c r="AE1319" s="360"/>
    </row>
    <row r="1320" spans="4:31" x14ac:dyDescent="0.2">
      <c r="D1320" s="360"/>
      <c r="E1320" s="360"/>
      <c r="F1320" s="360"/>
      <c r="G1320" s="360"/>
      <c r="H1320" s="361"/>
      <c r="I1320" s="361"/>
      <c r="J1320" s="361"/>
      <c r="K1320" s="361"/>
      <c r="L1320" s="361"/>
      <c r="M1320" s="360"/>
      <c r="N1320" s="360"/>
      <c r="O1320" s="360"/>
      <c r="P1320" s="360"/>
      <c r="Q1320" s="360"/>
      <c r="R1320" s="360"/>
      <c r="S1320" s="360"/>
      <c r="T1320" s="360"/>
      <c r="U1320" s="360"/>
      <c r="V1320" s="360"/>
      <c r="W1320" s="360"/>
      <c r="X1320" s="360"/>
      <c r="Y1320" s="360"/>
      <c r="Z1320" s="360"/>
      <c r="AA1320" s="360"/>
      <c r="AB1320" s="360"/>
      <c r="AC1320" s="360"/>
      <c r="AD1320" s="360"/>
      <c r="AE1320" s="360"/>
    </row>
    <row r="1321" spans="4:31" x14ac:dyDescent="0.2">
      <c r="D1321" s="360"/>
      <c r="E1321" s="360"/>
      <c r="F1321" s="360"/>
      <c r="G1321" s="360"/>
      <c r="H1321" s="361"/>
      <c r="I1321" s="361"/>
      <c r="J1321" s="361"/>
      <c r="K1321" s="361"/>
      <c r="L1321" s="361"/>
      <c r="M1321" s="360"/>
      <c r="N1321" s="360"/>
      <c r="O1321" s="360"/>
      <c r="P1321" s="360"/>
      <c r="Q1321" s="360"/>
      <c r="R1321" s="360"/>
      <c r="S1321" s="360"/>
      <c r="T1321" s="360"/>
      <c r="U1321" s="360"/>
      <c r="V1321" s="360"/>
      <c r="W1321" s="360"/>
      <c r="X1321" s="360"/>
      <c r="Y1321" s="360"/>
      <c r="Z1321" s="360"/>
      <c r="AA1321" s="360"/>
      <c r="AB1321" s="360"/>
      <c r="AC1321" s="360"/>
      <c r="AD1321" s="360"/>
      <c r="AE1321" s="360"/>
    </row>
    <row r="1322" spans="4:31" x14ac:dyDescent="0.2">
      <c r="D1322" s="360"/>
      <c r="E1322" s="360"/>
      <c r="F1322" s="360"/>
      <c r="G1322" s="360"/>
      <c r="H1322" s="361"/>
      <c r="I1322" s="361"/>
      <c r="J1322" s="361"/>
      <c r="K1322" s="361"/>
      <c r="L1322" s="361"/>
      <c r="M1322" s="360"/>
      <c r="N1322" s="360"/>
      <c r="O1322" s="360"/>
      <c r="P1322" s="360"/>
      <c r="Q1322" s="360"/>
      <c r="R1322" s="360"/>
      <c r="S1322" s="360"/>
      <c r="T1322" s="360"/>
      <c r="U1322" s="360"/>
      <c r="V1322" s="360"/>
      <c r="W1322" s="360"/>
      <c r="X1322" s="360"/>
      <c r="Y1322" s="360"/>
      <c r="Z1322" s="360"/>
      <c r="AA1322" s="360"/>
      <c r="AB1322" s="360"/>
      <c r="AC1322" s="360"/>
      <c r="AD1322" s="360"/>
      <c r="AE1322" s="360"/>
    </row>
    <row r="1323" spans="4:31" x14ac:dyDescent="0.2">
      <c r="D1323" s="360"/>
      <c r="E1323" s="360"/>
      <c r="F1323" s="360"/>
      <c r="G1323" s="360"/>
      <c r="H1323" s="361"/>
      <c r="I1323" s="361"/>
      <c r="J1323" s="361"/>
      <c r="K1323" s="361"/>
      <c r="L1323" s="361"/>
      <c r="M1323" s="360"/>
      <c r="N1323" s="360"/>
      <c r="O1323" s="360"/>
      <c r="P1323" s="360"/>
      <c r="Q1323" s="360"/>
      <c r="R1323" s="360"/>
      <c r="S1323" s="360"/>
      <c r="T1323" s="360"/>
      <c r="U1323" s="360"/>
      <c r="V1323" s="360"/>
      <c r="W1323" s="360"/>
      <c r="X1323" s="360"/>
      <c r="Y1323" s="360"/>
      <c r="Z1323" s="360"/>
      <c r="AA1323" s="360"/>
      <c r="AB1323" s="360"/>
      <c r="AC1323" s="360"/>
      <c r="AD1323" s="360"/>
      <c r="AE1323" s="360"/>
    </row>
    <row r="1324" spans="4:31" x14ac:dyDescent="0.2">
      <c r="D1324" s="360"/>
      <c r="E1324" s="360"/>
      <c r="F1324" s="360"/>
      <c r="G1324" s="360"/>
      <c r="H1324" s="361"/>
      <c r="I1324" s="361"/>
      <c r="J1324" s="361"/>
      <c r="K1324" s="361"/>
      <c r="L1324" s="361"/>
      <c r="M1324" s="360"/>
      <c r="N1324" s="360"/>
      <c r="O1324" s="360"/>
      <c r="P1324" s="360"/>
      <c r="Q1324" s="360"/>
      <c r="R1324" s="360"/>
      <c r="S1324" s="360"/>
      <c r="T1324" s="360"/>
      <c r="U1324" s="360"/>
      <c r="V1324" s="360"/>
      <c r="W1324" s="360"/>
      <c r="X1324" s="360"/>
      <c r="Y1324" s="360"/>
      <c r="Z1324" s="360"/>
      <c r="AA1324" s="360"/>
      <c r="AB1324" s="360"/>
      <c r="AC1324" s="360"/>
      <c r="AD1324" s="360"/>
      <c r="AE1324" s="360"/>
    </row>
    <row r="1325" spans="4:31" x14ac:dyDescent="0.2">
      <c r="D1325" s="360"/>
      <c r="E1325" s="360"/>
      <c r="F1325" s="360"/>
      <c r="G1325" s="360"/>
      <c r="H1325" s="361"/>
      <c r="I1325" s="361"/>
      <c r="J1325" s="361"/>
      <c r="K1325" s="361"/>
      <c r="L1325" s="361"/>
      <c r="M1325" s="360"/>
      <c r="N1325" s="360"/>
      <c r="O1325" s="360"/>
      <c r="P1325" s="360"/>
      <c r="Q1325" s="360"/>
      <c r="R1325" s="360"/>
      <c r="S1325" s="360"/>
      <c r="T1325" s="360"/>
      <c r="U1325" s="360"/>
      <c r="V1325" s="360"/>
      <c r="W1325" s="360"/>
      <c r="X1325" s="360"/>
      <c r="Y1325" s="360"/>
      <c r="Z1325" s="360"/>
      <c r="AA1325" s="360"/>
      <c r="AB1325" s="360"/>
      <c r="AC1325" s="360"/>
      <c r="AD1325" s="360"/>
      <c r="AE1325" s="360"/>
    </row>
    <row r="1326" spans="4:31" x14ac:dyDescent="0.2">
      <c r="D1326" s="360"/>
      <c r="E1326" s="360"/>
      <c r="F1326" s="360"/>
      <c r="G1326" s="360"/>
      <c r="H1326" s="361"/>
      <c r="I1326" s="361"/>
      <c r="J1326" s="361"/>
      <c r="K1326" s="361"/>
      <c r="L1326" s="361"/>
      <c r="M1326" s="360"/>
      <c r="N1326" s="360"/>
      <c r="O1326" s="360"/>
      <c r="P1326" s="360"/>
      <c r="Q1326" s="360"/>
      <c r="R1326" s="360"/>
      <c r="S1326" s="360"/>
      <c r="T1326" s="360"/>
      <c r="U1326" s="360"/>
      <c r="V1326" s="360"/>
      <c r="W1326" s="360"/>
      <c r="X1326" s="360"/>
      <c r="Y1326" s="360"/>
      <c r="Z1326" s="360"/>
      <c r="AA1326" s="360"/>
      <c r="AB1326" s="360"/>
      <c r="AC1326" s="360"/>
      <c r="AD1326" s="360"/>
      <c r="AE1326" s="360"/>
    </row>
    <row r="1327" spans="4:31" x14ac:dyDescent="0.2">
      <c r="D1327" s="360"/>
      <c r="E1327" s="360"/>
      <c r="F1327" s="360"/>
      <c r="G1327" s="360"/>
      <c r="H1327" s="361"/>
      <c r="I1327" s="361"/>
      <c r="J1327" s="361"/>
      <c r="K1327" s="361"/>
      <c r="L1327" s="361"/>
      <c r="M1327" s="360"/>
      <c r="N1327" s="360"/>
      <c r="O1327" s="360"/>
      <c r="P1327" s="360"/>
      <c r="Q1327" s="360"/>
      <c r="R1327" s="360"/>
      <c r="S1327" s="360"/>
      <c r="T1327" s="360"/>
      <c r="U1327" s="360"/>
      <c r="V1327" s="360"/>
      <c r="W1327" s="360"/>
      <c r="X1327" s="360"/>
      <c r="Y1327" s="360"/>
      <c r="Z1327" s="360"/>
      <c r="AA1327" s="360"/>
      <c r="AB1327" s="360"/>
      <c r="AC1327" s="360"/>
      <c r="AD1327" s="360"/>
      <c r="AE1327" s="360"/>
    </row>
    <row r="1328" spans="4:31" x14ac:dyDescent="0.2">
      <c r="D1328" s="360"/>
      <c r="E1328" s="360"/>
      <c r="F1328" s="360"/>
      <c r="G1328" s="360"/>
      <c r="H1328" s="361"/>
      <c r="I1328" s="361"/>
      <c r="J1328" s="361"/>
      <c r="K1328" s="361"/>
      <c r="L1328" s="361"/>
      <c r="M1328" s="360"/>
      <c r="N1328" s="360"/>
      <c r="O1328" s="360"/>
      <c r="P1328" s="360"/>
      <c r="Q1328" s="360"/>
      <c r="R1328" s="360"/>
      <c r="S1328" s="360"/>
      <c r="T1328" s="360"/>
      <c r="U1328" s="360"/>
      <c r="V1328" s="360"/>
      <c r="W1328" s="360"/>
      <c r="X1328" s="360"/>
      <c r="Y1328" s="360"/>
      <c r="Z1328" s="360"/>
      <c r="AA1328" s="360"/>
      <c r="AB1328" s="360"/>
      <c r="AC1328" s="360"/>
      <c r="AD1328" s="360"/>
      <c r="AE1328" s="360"/>
    </row>
    <row r="1329" spans="4:31" x14ac:dyDescent="0.2">
      <c r="D1329" s="360"/>
      <c r="E1329" s="360"/>
      <c r="F1329" s="360"/>
      <c r="G1329" s="360"/>
      <c r="H1329" s="361"/>
      <c r="I1329" s="361"/>
      <c r="J1329" s="361"/>
      <c r="K1329" s="361"/>
      <c r="L1329" s="361"/>
      <c r="M1329" s="360"/>
      <c r="N1329" s="360"/>
      <c r="O1329" s="360"/>
      <c r="P1329" s="360"/>
      <c r="Q1329" s="360"/>
      <c r="R1329" s="360"/>
      <c r="S1329" s="360"/>
      <c r="T1329" s="360"/>
      <c r="U1329" s="360"/>
      <c r="V1329" s="360"/>
      <c r="W1329" s="360"/>
      <c r="X1329" s="360"/>
      <c r="Y1329" s="360"/>
      <c r="Z1329" s="360"/>
      <c r="AA1329" s="360"/>
      <c r="AB1329" s="360"/>
      <c r="AC1329" s="360"/>
      <c r="AD1329" s="360"/>
      <c r="AE1329" s="360"/>
    </row>
    <row r="1330" spans="4:31" x14ac:dyDescent="0.2">
      <c r="D1330" s="360"/>
      <c r="E1330" s="360"/>
      <c r="F1330" s="360"/>
      <c r="G1330" s="360"/>
      <c r="H1330" s="361"/>
      <c r="I1330" s="361"/>
      <c r="J1330" s="361"/>
      <c r="K1330" s="361"/>
      <c r="L1330" s="361"/>
      <c r="M1330" s="360"/>
      <c r="N1330" s="360"/>
      <c r="O1330" s="360"/>
      <c r="P1330" s="360"/>
      <c r="Q1330" s="360"/>
      <c r="R1330" s="360"/>
      <c r="S1330" s="360"/>
      <c r="T1330" s="360"/>
      <c r="U1330" s="360"/>
      <c r="V1330" s="360"/>
      <c r="W1330" s="360"/>
      <c r="X1330" s="360"/>
      <c r="Y1330" s="360"/>
      <c r="Z1330" s="360"/>
      <c r="AA1330" s="360"/>
      <c r="AB1330" s="360"/>
      <c r="AC1330" s="360"/>
      <c r="AD1330" s="360"/>
      <c r="AE1330" s="360"/>
    </row>
    <row r="1331" spans="4:31" x14ac:dyDescent="0.2">
      <c r="D1331" s="360"/>
      <c r="E1331" s="360"/>
      <c r="F1331" s="360"/>
      <c r="G1331" s="360"/>
      <c r="H1331" s="361"/>
      <c r="I1331" s="361"/>
      <c r="J1331" s="361"/>
      <c r="K1331" s="361"/>
      <c r="L1331" s="361"/>
      <c r="M1331" s="360"/>
      <c r="N1331" s="360"/>
      <c r="O1331" s="360"/>
      <c r="P1331" s="360"/>
      <c r="Q1331" s="360"/>
      <c r="R1331" s="360"/>
      <c r="S1331" s="360"/>
      <c r="T1331" s="360"/>
      <c r="U1331" s="360"/>
      <c r="V1331" s="360"/>
      <c r="W1331" s="360"/>
      <c r="X1331" s="360"/>
      <c r="Y1331" s="360"/>
      <c r="Z1331" s="360"/>
      <c r="AA1331" s="360"/>
      <c r="AB1331" s="360"/>
      <c r="AC1331" s="360"/>
      <c r="AD1331" s="360"/>
      <c r="AE1331" s="360"/>
    </row>
    <row r="1332" spans="4:31" x14ac:dyDescent="0.2">
      <c r="D1332" s="360"/>
      <c r="E1332" s="360"/>
      <c r="F1332" s="360"/>
      <c r="G1332" s="360"/>
      <c r="H1332" s="361"/>
      <c r="I1332" s="361"/>
      <c r="J1332" s="361"/>
      <c r="K1332" s="361"/>
      <c r="L1332" s="361"/>
      <c r="M1332" s="360"/>
      <c r="N1332" s="360"/>
      <c r="O1332" s="360"/>
      <c r="P1332" s="360"/>
      <c r="Q1332" s="360"/>
      <c r="R1332" s="360"/>
      <c r="S1332" s="360"/>
      <c r="T1332" s="360"/>
      <c r="U1332" s="360"/>
      <c r="V1332" s="360"/>
      <c r="W1332" s="360"/>
      <c r="X1332" s="360"/>
      <c r="Y1332" s="360"/>
      <c r="Z1332" s="360"/>
      <c r="AA1332" s="360"/>
      <c r="AB1332" s="360"/>
      <c r="AC1332" s="360"/>
      <c r="AD1332" s="360"/>
      <c r="AE1332" s="360"/>
    </row>
    <row r="1333" spans="4:31" x14ac:dyDescent="0.2">
      <c r="D1333" s="360"/>
      <c r="E1333" s="360"/>
      <c r="F1333" s="360"/>
      <c r="G1333" s="360"/>
      <c r="H1333" s="361"/>
      <c r="I1333" s="361"/>
      <c r="J1333" s="361"/>
      <c r="K1333" s="361"/>
      <c r="L1333" s="361"/>
      <c r="M1333" s="360"/>
      <c r="N1333" s="360"/>
      <c r="O1333" s="360"/>
      <c r="P1333" s="360"/>
      <c r="Q1333" s="360"/>
      <c r="R1333" s="360"/>
      <c r="S1333" s="360"/>
      <c r="T1333" s="360"/>
      <c r="U1333" s="360"/>
      <c r="V1333" s="360"/>
      <c r="W1333" s="360"/>
      <c r="X1333" s="360"/>
      <c r="Y1333" s="360"/>
      <c r="Z1333" s="360"/>
      <c r="AA1333" s="360"/>
      <c r="AB1333" s="360"/>
      <c r="AC1333" s="360"/>
      <c r="AD1333" s="360"/>
      <c r="AE1333" s="360"/>
    </row>
    <row r="1334" spans="4:31" x14ac:dyDescent="0.2">
      <c r="D1334" s="360"/>
      <c r="E1334" s="360"/>
      <c r="F1334" s="360"/>
      <c r="G1334" s="360"/>
      <c r="H1334" s="361"/>
      <c r="I1334" s="361"/>
      <c r="J1334" s="361"/>
      <c r="K1334" s="361"/>
      <c r="L1334" s="361"/>
      <c r="M1334" s="360"/>
      <c r="N1334" s="360"/>
      <c r="O1334" s="360"/>
      <c r="P1334" s="360"/>
      <c r="Q1334" s="360"/>
      <c r="R1334" s="360"/>
      <c r="S1334" s="360"/>
      <c r="T1334" s="360"/>
      <c r="U1334" s="360"/>
      <c r="V1334" s="360"/>
      <c r="W1334" s="360"/>
      <c r="X1334" s="360"/>
      <c r="Y1334" s="360"/>
      <c r="Z1334" s="360"/>
      <c r="AA1334" s="360"/>
      <c r="AB1334" s="360"/>
      <c r="AC1334" s="360"/>
      <c r="AD1334" s="360"/>
      <c r="AE1334" s="360"/>
    </row>
    <row r="1335" spans="4:31" x14ac:dyDescent="0.2">
      <c r="D1335" s="360"/>
      <c r="E1335" s="360"/>
      <c r="F1335" s="360"/>
      <c r="G1335" s="360"/>
      <c r="H1335" s="361"/>
      <c r="I1335" s="361"/>
      <c r="J1335" s="361"/>
      <c r="K1335" s="361"/>
      <c r="L1335" s="361"/>
      <c r="M1335" s="360"/>
      <c r="N1335" s="360"/>
      <c r="O1335" s="360"/>
      <c r="P1335" s="360"/>
      <c r="Q1335" s="360"/>
      <c r="R1335" s="360"/>
      <c r="S1335" s="360"/>
      <c r="T1335" s="360"/>
      <c r="U1335" s="360"/>
      <c r="V1335" s="360"/>
      <c r="W1335" s="360"/>
      <c r="X1335" s="360"/>
      <c r="Y1335" s="360"/>
      <c r="Z1335" s="360"/>
      <c r="AA1335" s="360"/>
      <c r="AB1335" s="360"/>
      <c r="AC1335" s="360"/>
      <c r="AD1335" s="360"/>
      <c r="AE1335" s="360"/>
    </row>
  </sheetData>
  <sheetProtection password="DFB1" sheet="1" objects="1" scenarios="1"/>
  <phoneticPr fontId="0" type="noConversion"/>
  <pageMargins left="0.74803149606299213" right="0.74803149606299213" top="0.98425196850393704" bottom="0.98425196850393704" header="0.51181102362204722" footer="0.51181102362204722"/>
  <pageSetup paperSize="9" scale="59" orientation="portrait" r:id="rId1"/>
  <headerFooter alignWithMargins="0">
    <oddHeader>&amp;L&amp;"Arial,Vet"&amp;F&amp;R&amp;"Arial,Vet"&amp;A</oddHeader>
    <oddFooter>&amp;L&amp;"Arial,Vet"PO-Raad&amp;C&amp;"Arial,Vet"&amp;D&amp;R&amp;"Arial,Vet"pagina &amp;P</oddFooter>
  </headerFooter>
  <rowBreaks count="1" manualBreakCount="1">
    <brk id="99" min="1" max="12"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0"/>
  <dimension ref="B1:AO123"/>
  <sheetViews>
    <sheetView showGridLines="0" zoomScale="85" zoomScaleNormal="85" workbookViewId="0">
      <pane ySplit="15" topLeftCell="A16" activePane="bottomLeft" state="frozen"/>
      <selection activeCell="B2" sqref="B2"/>
      <selection pane="bottomLeft" activeCell="B2" sqref="B2"/>
    </sheetView>
  </sheetViews>
  <sheetFormatPr defaultColWidth="9.140625" defaultRowHeight="12.75" x14ac:dyDescent="0.2"/>
  <cols>
    <col min="1" max="1" width="3.7109375" style="86" customWidth="1"/>
    <col min="2" max="3" width="2.7109375" style="86" customWidth="1"/>
    <col min="4" max="4" width="10.7109375" style="362" customWidth="1"/>
    <col min="5" max="6" width="20.7109375" style="363" customWidth="1"/>
    <col min="7" max="7" width="8.7109375" style="202" customWidth="1"/>
    <col min="8" max="8" width="8.7109375" style="364" customWidth="1"/>
    <col min="9" max="10" width="8.7109375" style="365" customWidth="1"/>
    <col min="11" max="11" width="8.7109375" style="366" customWidth="1"/>
    <col min="12" max="12" width="8.7109375" style="365" customWidth="1"/>
    <col min="13" max="13" width="8.7109375" style="367" customWidth="1"/>
    <col min="14" max="14" width="0.85546875" style="86" customWidth="1"/>
    <col min="15" max="15" width="9.7109375" style="368" customWidth="1"/>
    <col min="16" max="19" width="9.7109375" style="86" customWidth="1"/>
    <col min="20" max="20" width="9.7109375" style="573" customWidth="1"/>
    <col min="21" max="21" width="8.7109375" style="370" hidden="1" customWidth="1"/>
    <col min="22" max="22" width="8.7109375" style="1140" customWidth="1"/>
    <col min="23" max="24" width="2.7109375" style="86" customWidth="1"/>
    <col min="25" max="25" width="20.7109375" style="86" customWidth="1"/>
    <col min="26" max="28" width="8.7109375" style="86" customWidth="1"/>
    <col min="29" max="29" width="8.7109375" style="202" customWidth="1"/>
    <col min="30" max="30" width="1.5703125" style="372" customWidth="1"/>
    <col min="31" max="31" width="1.7109375" style="86" customWidth="1"/>
    <col min="32" max="35" width="8.7109375" style="86" customWidth="1"/>
    <col min="36" max="36" width="1.5703125" style="86" customWidth="1"/>
    <col min="37" max="37" width="12.7109375" style="86" customWidth="1"/>
    <col min="38" max="38" width="12.7109375" style="202" customWidth="1"/>
    <col min="39" max="39" width="12.7109375" style="372" customWidth="1"/>
    <col min="40" max="40" width="12.7109375" style="86" customWidth="1"/>
    <col min="41" max="41" width="1.5703125" style="86" customWidth="1"/>
    <col min="42" max="43" width="10.7109375" style="86" customWidth="1"/>
    <col min="44" max="45" width="2.7109375" style="86" customWidth="1"/>
    <col min="46" max="51" width="9.28515625" style="86" bestFit="1" customWidth="1"/>
    <col min="52" max="16384" width="9.140625" style="86"/>
  </cols>
  <sheetData>
    <row r="1" spans="2:41" ht="12.75" customHeight="1" x14ac:dyDescent="0.2"/>
    <row r="2" spans="2:41" x14ac:dyDescent="0.2">
      <c r="B2" s="81"/>
      <c r="C2" s="82"/>
      <c r="D2" s="373"/>
      <c r="E2" s="374"/>
      <c r="F2" s="374"/>
      <c r="G2" s="203"/>
      <c r="H2" s="375"/>
      <c r="I2" s="376"/>
      <c r="J2" s="376"/>
      <c r="K2" s="377"/>
      <c r="L2" s="376"/>
      <c r="M2" s="378"/>
      <c r="N2" s="82"/>
      <c r="O2" s="379"/>
      <c r="P2" s="82"/>
      <c r="Q2" s="82"/>
      <c r="R2" s="82"/>
      <c r="S2" s="82"/>
      <c r="T2" s="1125"/>
      <c r="U2" s="381"/>
      <c r="V2" s="1141"/>
      <c r="W2" s="82"/>
      <c r="X2" s="85"/>
    </row>
    <row r="3" spans="2:41" x14ac:dyDescent="0.2">
      <c r="B3" s="87"/>
      <c r="C3" s="88"/>
      <c r="D3" s="383"/>
      <c r="E3" s="303"/>
      <c r="F3" s="303"/>
      <c r="G3" s="204"/>
      <c r="H3" s="384"/>
      <c r="I3" s="385"/>
      <c r="J3" s="385"/>
      <c r="K3" s="386"/>
      <c r="L3" s="385"/>
      <c r="M3" s="387"/>
      <c r="N3" s="88"/>
      <c r="O3" s="388"/>
      <c r="P3" s="88"/>
      <c r="Q3" s="88"/>
      <c r="R3" s="88"/>
      <c r="S3" s="88"/>
      <c r="T3" s="538"/>
      <c r="U3" s="390"/>
      <c r="V3" s="1142"/>
      <c r="W3" s="88"/>
      <c r="X3" s="91"/>
    </row>
    <row r="4" spans="2:41" s="392" customFormat="1" ht="18.75" x14ac:dyDescent="0.3">
      <c r="B4" s="393"/>
      <c r="C4" s="179" t="s">
        <v>455</v>
      </c>
      <c r="D4" s="394"/>
      <c r="E4" s="395"/>
      <c r="F4" s="395"/>
      <c r="G4" s="396"/>
      <c r="H4" s="397"/>
      <c r="I4" s="398"/>
      <c r="J4" s="398"/>
      <c r="K4" s="399"/>
      <c r="L4" s="398"/>
      <c r="M4" s="400"/>
      <c r="N4" s="401"/>
      <c r="O4" s="402"/>
      <c r="P4" s="401"/>
      <c r="Q4" s="401"/>
      <c r="R4" s="401"/>
      <c r="S4" s="401"/>
      <c r="T4" s="1126"/>
      <c r="U4" s="403"/>
      <c r="V4" s="404"/>
      <c r="W4" s="401"/>
      <c r="X4" s="405"/>
      <c r="AC4" s="406"/>
      <c r="AD4" s="407"/>
      <c r="AE4" s="406"/>
      <c r="AF4" s="406"/>
      <c r="AG4" s="406"/>
      <c r="AH4" s="406"/>
      <c r="AI4" s="408"/>
      <c r="AJ4" s="409"/>
      <c r="AK4" s="410"/>
      <c r="AL4" s="411"/>
      <c r="AM4" s="408"/>
    </row>
    <row r="5" spans="2:41" s="412" customFormat="1" ht="18.75" x14ac:dyDescent="0.3">
      <c r="B5" s="413"/>
      <c r="C5" s="414" t="str">
        <f>geg!G12</f>
        <v>Basisschool</v>
      </c>
      <c r="D5" s="415"/>
      <c r="E5" s="416"/>
      <c r="F5" s="416"/>
      <c r="G5" s="417"/>
      <c r="H5" s="418"/>
      <c r="I5" s="419"/>
      <c r="J5" s="419"/>
      <c r="K5" s="420"/>
      <c r="L5" s="419"/>
      <c r="M5" s="421"/>
      <c r="N5" s="422"/>
      <c r="O5" s="423"/>
      <c r="P5" s="422"/>
      <c r="Q5" s="422"/>
      <c r="R5" s="422"/>
      <c r="S5" s="422"/>
      <c r="T5" s="1127"/>
      <c r="U5" s="424"/>
      <c r="V5" s="425"/>
      <c r="W5" s="422"/>
      <c r="X5" s="426"/>
      <c r="AC5" s="427"/>
      <c r="AD5" s="428"/>
      <c r="AE5" s="427"/>
      <c r="AF5" s="427"/>
      <c r="AG5" s="427"/>
      <c r="AH5" s="427"/>
      <c r="AI5" s="429"/>
      <c r="AJ5" s="430"/>
      <c r="AK5" s="431"/>
      <c r="AL5" s="432"/>
      <c r="AM5" s="429"/>
    </row>
    <row r="6" spans="2:41" ht="12.75" customHeight="1" x14ac:dyDescent="0.2">
      <c r="B6" s="87"/>
      <c r="C6" s="88"/>
      <c r="D6" s="383"/>
      <c r="E6" s="303"/>
      <c r="F6" s="303"/>
      <c r="G6" s="204"/>
      <c r="H6" s="384"/>
      <c r="I6" s="385"/>
      <c r="J6" s="385"/>
      <c r="K6" s="386"/>
      <c r="L6" s="385"/>
      <c r="M6" s="387"/>
      <c r="N6" s="88"/>
      <c r="O6" s="388"/>
      <c r="P6" s="88"/>
      <c r="Q6" s="88"/>
      <c r="R6" s="88"/>
      <c r="S6" s="88"/>
      <c r="T6" s="538"/>
      <c r="U6" s="390"/>
      <c r="V6" s="1142"/>
      <c r="W6" s="88"/>
      <c r="X6" s="91"/>
      <c r="AC6" s="433"/>
      <c r="AD6" s="371"/>
      <c r="AE6" s="433"/>
      <c r="AF6" s="433"/>
      <c r="AG6" s="433"/>
      <c r="AH6" s="433"/>
      <c r="AI6" s="366"/>
      <c r="AJ6" s="365"/>
      <c r="AK6" s="367"/>
      <c r="AL6" s="434"/>
      <c r="AM6" s="366"/>
    </row>
    <row r="7" spans="2:41" s="435" customFormat="1" ht="12.75" customHeight="1" x14ac:dyDescent="0.25">
      <c r="B7" s="436"/>
      <c r="C7" s="437"/>
      <c r="D7" s="438"/>
      <c r="E7" s="439"/>
      <c r="F7" s="440"/>
      <c r="G7" s="441"/>
      <c r="H7" s="442"/>
      <c r="I7" s="443"/>
      <c r="J7" s="443"/>
      <c r="K7" s="444"/>
      <c r="L7" s="443"/>
      <c r="M7" s="445"/>
      <c r="N7" s="437"/>
      <c r="O7" s="446"/>
      <c r="P7" s="437"/>
      <c r="Q7" s="437"/>
      <c r="R7" s="437"/>
      <c r="S7" s="437"/>
      <c r="T7" s="1128"/>
      <c r="U7" s="447"/>
      <c r="V7" s="1143"/>
      <c r="W7" s="437"/>
      <c r="X7" s="448"/>
      <c r="AC7" s="449"/>
      <c r="AD7" s="450"/>
      <c r="AE7" s="449"/>
      <c r="AF7" s="449"/>
      <c r="AG7" s="449"/>
      <c r="AH7" s="449"/>
      <c r="AI7" s="451"/>
      <c r="AJ7" s="452"/>
      <c r="AK7" s="453"/>
      <c r="AL7" s="454"/>
      <c r="AM7" s="451"/>
    </row>
    <row r="8" spans="2:41" s="435" customFormat="1" ht="12.75" customHeight="1" x14ac:dyDescent="0.25">
      <c r="B8" s="436"/>
      <c r="C8" s="88" t="s">
        <v>290</v>
      </c>
      <c r="D8" s="383"/>
      <c r="E8" s="455" t="str">
        <f>tab!D2</f>
        <v>2013/14</v>
      </c>
      <c r="F8" s="440"/>
      <c r="G8" s="441"/>
      <c r="H8" s="442"/>
      <c r="I8" s="443"/>
      <c r="J8" s="443"/>
      <c r="K8" s="444"/>
      <c r="L8" s="443"/>
      <c r="M8" s="445"/>
      <c r="N8" s="437"/>
      <c r="O8" s="446"/>
      <c r="P8" s="437"/>
      <c r="Q8" s="437"/>
      <c r="R8" s="437"/>
      <c r="S8" s="437"/>
      <c r="T8" s="1128"/>
      <c r="U8" s="447"/>
      <c r="V8" s="1143"/>
      <c r="W8" s="437"/>
      <c r="X8" s="448"/>
      <c r="AC8" s="449"/>
      <c r="AD8" s="450"/>
      <c r="AE8" s="449"/>
      <c r="AF8" s="449"/>
      <c r="AG8" s="449"/>
      <c r="AH8" s="449"/>
      <c r="AI8" s="451"/>
      <c r="AJ8" s="452"/>
      <c r="AK8" s="453"/>
      <c r="AL8" s="454"/>
      <c r="AM8" s="451"/>
    </row>
    <row r="9" spans="2:41" ht="12.75" customHeight="1" x14ac:dyDescent="0.2">
      <c r="B9" s="87"/>
      <c r="C9" s="303" t="s">
        <v>314</v>
      </c>
      <c r="D9" s="383"/>
      <c r="E9" s="455">
        <f>tab!E3</f>
        <v>41548</v>
      </c>
      <c r="F9" s="456"/>
      <c r="G9" s="90"/>
      <c r="H9" s="457"/>
      <c r="I9" s="385"/>
      <c r="J9" s="385"/>
      <c r="K9" s="386"/>
      <c r="L9" s="385"/>
      <c r="M9" s="387"/>
      <c r="N9" s="88"/>
      <c r="O9" s="388"/>
      <c r="P9" s="88"/>
      <c r="Q9" s="88"/>
      <c r="R9" s="88"/>
      <c r="S9" s="88"/>
      <c r="T9" s="538"/>
      <c r="U9" s="390"/>
      <c r="V9" s="1142"/>
      <c r="W9" s="88"/>
      <c r="X9" s="91"/>
      <c r="AC9" s="433"/>
      <c r="AD9" s="371"/>
      <c r="AE9" s="433"/>
      <c r="AF9" s="433"/>
      <c r="AG9" s="433"/>
      <c r="AH9" s="433"/>
      <c r="AI9" s="366"/>
      <c r="AJ9" s="365"/>
      <c r="AK9" s="367"/>
      <c r="AL9" s="434"/>
      <c r="AM9" s="366"/>
    </row>
    <row r="10" spans="2:41" ht="12.75" customHeight="1" x14ac:dyDescent="0.25">
      <c r="B10" s="87"/>
      <c r="C10" s="88"/>
      <c r="D10" s="438"/>
      <c r="E10" s="458"/>
      <c r="F10" s="456"/>
      <c r="G10" s="90"/>
      <c r="H10" s="457"/>
      <c r="I10" s="385"/>
      <c r="J10" s="385"/>
      <c r="K10" s="386"/>
      <c r="L10" s="385"/>
      <c r="M10" s="387"/>
      <c r="N10" s="88"/>
      <c r="O10" s="388"/>
      <c r="P10" s="88"/>
      <c r="Q10" s="88"/>
      <c r="R10" s="88"/>
      <c r="S10" s="88"/>
      <c r="T10" s="538"/>
      <c r="U10" s="390"/>
      <c r="V10" s="1142"/>
      <c r="W10" s="88"/>
      <c r="X10" s="91"/>
      <c r="AC10" s="433"/>
      <c r="AD10" s="371"/>
      <c r="AE10" s="433"/>
      <c r="AF10" s="433"/>
      <c r="AG10" s="433"/>
      <c r="AH10" s="433"/>
      <c r="AI10" s="366"/>
      <c r="AJ10" s="365"/>
      <c r="AK10" s="367"/>
      <c r="AL10" s="434"/>
      <c r="AM10" s="366"/>
    </row>
    <row r="11" spans="2:41" ht="12.75" customHeight="1" x14ac:dyDescent="0.2">
      <c r="B11" s="87"/>
      <c r="C11" s="104"/>
      <c r="D11" s="459"/>
      <c r="E11" s="460"/>
      <c r="F11" s="155"/>
      <c r="G11" s="210"/>
      <c r="H11" s="461"/>
      <c r="I11" s="462"/>
      <c r="J11" s="462"/>
      <c r="K11" s="463"/>
      <c r="L11" s="462"/>
      <c r="M11" s="464"/>
      <c r="N11" s="105"/>
      <c r="O11" s="465"/>
      <c r="P11" s="105"/>
      <c r="Q11" s="105"/>
      <c r="R11" s="105"/>
      <c r="S11" s="105"/>
      <c r="T11" s="1129"/>
      <c r="U11" s="467"/>
      <c r="V11" s="1144"/>
      <c r="W11" s="186"/>
      <c r="X11" s="91"/>
      <c r="AC11" s="433"/>
      <c r="AD11" s="371"/>
      <c r="AE11" s="433"/>
      <c r="AF11" s="433"/>
      <c r="AG11" s="433"/>
      <c r="AH11" s="433"/>
      <c r="AI11" s="366"/>
      <c r="AJ11" s="365"/>
      <c r="AK11" s="367"/>
      <c r="AL11" s="434"/>
      <c r="AM11" s="366"/>
    </row>
    <row r="12" spans="2:41" s="469" customFormat="1" ht="12.75" customHeight="1" x14ac:dyDescent="0.2">
      <c r="B12" s="470"/>
      <c r="C12" s="471"/>
      <c r="D12" s="1277" t="s">
        <v>457</v>
      </c>
      <c r="E12" s="1278"/>
      <c r="F12" s="1278"/>
      <c r="G12" s="1278"/>
      <c r="H12" s="1278"/>
      <c r="I12" s="1279"/>
      <c r="J12" s="1279"/>
      <c r="K12" s="1279"/>
      <c r="L12" s="1279"/>
      <c r="M12" s="1279"/>
      <c r="N12" s="472"/>
      <c r="O12" s="1277" t="s">
        <v>298</v>
      </c>
      <c r="P12" s="1279"/>
      <c r="Q12" s="1279"/>
      <c r="R12" s="1279"/>
      <c r="S12" s="1279"/>
      <c r="T12" s="1279"/>
      <c r="U12" s="473"/>
      <c r="V12" s="216"/>
      <c r="W12" s="474"/>
      <c r="X12" s="475"/>
      <c r="Y12" s="476"/>
      <c r="Z12" s="477"/>
      <c r="AA12" s="478"/>
      <c r="AB12" s="477"/>
      <c r="AN12" s="476"/>
      <c r="AO12" s="476"/>
    </row>
    <row r="13" spans="2:41" s="469" customFormat="1" ht="12.75" customHeight="1" x14ac:dyDescent="0.2">
      <c r="B13" s="470"/>
      <c r="C13" s="471"/>
      <c r="D13" s="479" t="s">
        <v>152</v>
      </c>
      <c r="E13" s="165" t="s">
        <v>296</v>
      </c>
      <c r="F13" s="165" t="s">
        <v>275</v>
      </c>
      <c r="G13" s="480" t="s">
        <v>235</v>
      </c>
      <c r="H13" s="481" t="s">
        <v>439</v>
      </c>
      <c r="I13" s="480" t="s">
        <v>333</v>
      </c>
      <c r="J13" s="480" t="s">
        <v>368</v>
      </c>
      <c r="K13" s="482" t="s">
        <v>299</v>
      </c>
      <c r="L13" s="483" t="s">
        <v>334</v>
      </c>
      <c r="M13" s="482" t="s">
        <v>238</v>
      </c>
      <c r="N13" s="259"/>
      <c r="O13" s="484" t="s">
        <v>502</v>
      </c>
      <c r="P13" s="484" t="s">
        <v>637</v>
      </c>
      <c r="Q13" s="584" t="s">
        <v>0</v>
      </c>
      <c r="R13" s="485"/>
      <c r="S13" s="487" t="s">
        <v>334</v>
      </c>
      <c r="T13" s="1130" t="s">
        <v>313</v>
      </c>
      <c r="U13" s="486" t="s">
        <v>467</v>
      </c>
      <c r="V13" s="216" t="s">
        <v>668</v>
      </c>
      <c r="W13" s="488"/>
      <c r="X13" s="489"/>
      <c r="Y13" s="490"/>
      <c r="Z13" s="491"/>
      <c r="AA13" s="492"/>
      <c r="AB13" s="491"/>
      <c r="AN13" s="476"/>
      <c r="AO13" s="490"/>
    </row>
    <row r="14" spans="2:41" s="469" customFormat="1" ht="12.75" customHeight="1" x14ac:dyDescent="0.2">
      <c r="B14" s="470"/>
      <c r="C14" s="471"/>
      <c r="D14" s="493"/>
      <c r="E14" s="165"/>
      <c r="F14" s="494"/>
      <c r="G14" s="480" t="s">
        <v>236</v>
      </c>
      <c r="H14" s="481" t="s">
        <v>440</v>
      </c>
      <c r="I14" s="480"/>
      <c r="J14" s="480"/>
      <c r="K14" s="482" t="s">
        <v>442</v>
      </c>
      <c r="L14" s="483"/>
      <c r="M14" s="482" t="s">
        <v>337</v>
      </c>
      <c r="N14" s="259"/>
      <c r="O14" s="484" t="s">
        <v>321</v>
      </c>
      <c r="P14" s="484" t="s">
        <v>636</v>
      </c>
      <c r="Q14" s="1176">
        <f>tab!$D$55</f>
        <v>0.62</v>
      </c>
      <c r="R14" s="485" t="s">
        <v>1</v>
      </c>
      <c r="S14" s="487" t="s">
        <v>367</v>
      </c>
      <c r="T14" s="1130" t="s">
        <v>434</v>
      </c>
      <c r="U14" s="486"/>
      <c r="V14" s="487" t="s">
        <v>367</v>
      </c>
      <c r="W14" s="495"/>
      <c r="X14" s="496"/>
      <c r="AO14" s="497"/>
    </row>
    <row r="15" spans="2:41" ht="12.75" customHeight="1" x14ac:dyDescent="0.2">
      <c r="B15" s="87"/>
      <c r="C15" s="108"/>
      <c r="D15" s="222"/>
      <c r="E15" s="109"/>
      <c r="F15" s="109"/>
      <c r="G15" s="498"/>
      <c r="H15" s="499"/>
      <c r="I15" s="500"/>
      <c r="J15" s="500"/>
      <c r="K15" s="501"/>
      <c r="L15" s="498"/>
      <c r="M15" s="501"/>
      <c r="N15" s="498"/>
      <c r="O15" s="502"/>
      <c r="P15" s="503"/>
      <c r="Q15" s="503"/>
      <c r="R15" s="503"/>
      <c r="S15" s="503"/>
      <c r="T15" s="694"/>
      <c r="U15" s="138"/>
      <c r="V15" s="504"/>
      <c r="W15" s="188"/>
      <c r="X15" s="91"/>
      <c r="AC15" s="86"/>
      <c r="AD15" s="86"/>
      <c r="AL15" s="86"/>
      <c r="AM15" s="86"/>
      <c r="AO15" s="506"/>
    </row>
    <row r="16" spans="2:41" ht="12.75" customHeight="1" x14ac:dyDescent="0.2">
      <c r="B16" s="87"/>
      <c r="C16" s="108"/>
      <c r="D16" s="507"/>
      <c r="E16" s="115"/>
      <c r="F16" s="115"/>
      <c r="G16" s="132"/>
      <c r="H16" s="508"/>
      <c r="I16" s="150"/>
      <c r="J16" s="150"/>
      <c r="K16" s="509"/>
      <c r="L16" s="510"/>
      <c r="M16" s="511">
        <f t="shared" ref="M16:M25" si="0">(IF(L16=0,(K16),(K16)-L16))</f>
        <v>0</v>
      </c>
      <c r="N16" s="512"/>
      <c r="O16" s="513" t="str">
        <f>IF(I16="","",VLOOKUP(I16,tab!$A$68:$V$108,J16+2,FALSE))</f>
        <v/>
      </c>
      <c r="P16" s="514" t="str">
        <f t="shared" ref="P16:P25" si="1">IF(E16=0,"",(O16*M16*12))</f>
        <v/>
      </c>
      <c r="Q16" s="1173">
        <f>$Q$14</f>
        <v>0.62</v>
      </c>
      <c r="R16" s="514" t="str">
        <f>IF(E16=0,"",(P16)*Q16)</f>
        <v/>
      </c>
      <c r="S16" s="514">
        <f>IF(L16="",0,(((O16*12)*L16)*(1+tab!$D$55)*tab!$F$57))</f>
        <v>0</v>
      </c>
      <c r="T16" s="1131">
        <f>IF(E16=0,0,(P16+R16+S16))</f>
        <v>0</v>
      </c>
      <c r="U16" s="219">
        <f t="shared" ref="U16:U25" si="2">IF(G16&lt;25,0,IF(G16=25,25,IF(G16&lt;40,0,IF(G16=40,40,IF(G16&gt;=40,0)))))</f>
        <v>0</v>
      </c>
      <c r="V16" s="1145">
        <f t="shared" ref="V16:V25" si="3">IF(U16=25,(O16*1.08*(K16)/2),IF(U16=40,(O16*1.08*(K16)),IF(U16=0,0)))</f>
        <v>0</v>
      </c>
      <c r="W16" s="133"/>
      <c r="X16" s="516"/>
      <c r="Y16" s="506"/>
      <c r="Z16" s="517"/>
      <c r="AA16" s="365"/>
      <c r="AB16" s="366"/>
      <c r="AC16" s="86"/>
      <c r="AD16" s="86"/>
      <c r="AL16" s="86"/>
      <c r="AM16" s="86"/>
      <c r="AN16" s="506"/>
      <c r="AO16" s="369"/>
    </row>
    <row r="17" spans="2:41" ht="12.75" customHeight="1" x14ac:dyDescent="0.2">
      <c r="B17" s="87"/>
      <c r="C17" s="108"/>
      <c r="D17" s="507"/>
      <c r="E17" s="115"/>
      <c r="F17" s="115"/>
      <c r="G17" s="132"/>
      <c r="H17" s="508"/>
      <c r="I17" s="150"/>
      <c r="J17" s="150"/>
      <c r="K17" s="509"/>
      <c r="L17" s="510"/>
      <c r="M17" s="511">
        <f t="shared" si="0"/>
        <v>0</v>
      </c>
      <c r="N17" s="512"/>
      <c r="O17" s="513" t="str">
        <f>IF(I17="","",VLOOKUP(I17,tab!$A$68:$V$108,J17+2,FALSE))</f>
        <v/>
      </c>
      <c r="P17" s="514" t="str">
        <f t="shared" si="1"/>
        <v/>
      </c>
      <c r="Q17" s="1173">
        <f>$Q$14</f>
        <v>0.62</v>
      </c>
      <c r="R17" s="514" t="str">
        <f>IF(E17=0,"",(P17)*Q17)</f>
        <v/>
      </c>
      <c r="S17" s="514">
        <f>IF(L17="",0,(((O17*12)*L17)*(1+tab!$D$55)*tab!$F$57))</f>
        <v>0</v>
      </c>
      <c r="T17" s="1131">
        <f t="shared" ref="T17:T25" si="4">IF(E17=0,0,(P17+R17+S17))</f>
        <v>0</v>
      </c>
      <c r="U17" s="219">
        <f t="shared" si="2"/>
        <v>0</v>
      </c>
      <c r="V17" s="1145">
        <f t="shared" si="3"/>
        <v>0</v>
      </c>
      <c r="W17" s="518"/>
      <c r="X17" s="519"/>
      <c r="Y17" s="520"/>
      <c r="Z17" s="366"/>
      <c r="AA17" s="365"/>
      <c r="AB17" s="521"/>
      <c r="AC17" s="86"/>
      <c r="AD17" s="86"/>
      <c r="AL17" s="86"/>
      <c r="AM17" s="86"/>
      <c r="AN17" s="369"/>
      <c r="AO17" s="506"/>
    </row>
    <row r="18" spans="2:41" ht="12.75" customHeight="1" x14ac:dyDescent="0.2">
      <c r="B18" s="87"/>
      <c r="C18" s="108"/>
      <c r="D18" s="507"/>
      <c r="E18" s="115"/>
      <c r="F18" s="115"/>
      <c r="G18" s="132"/>
      <c r="H18" s="508"/>
      <c r="I18" s="150"/>
      <c r="J18" s="150"/>
      <c r="K18" s="509"/>
      <c r="L18" s="510"/>
      <c r="M18" s="511">
        <f t="shared" si="0"/>
        <v>0</v>
      </c>
      <c r="N18" s="512"/>
      <c r="O18" s="513" t="str">
        <f>IF(I18="","",VLOOKUP(I18,tab!$A$68:$V$108,J18+2,FALSE))</f>
        <v/>
      </c>
      <c r="P18" s="514" t="str">
        <f t="shared" si="1"/>
        <v/>
      </c>
      <c r="Q18" s="1173">
        <f t="shared" ref="Q18:Q25" si="5">$Q$14</f>
        <v>0.62</v>
      </c>
      <c r="R18" s="514" t="str">
        <f t="shared" ref="R18:R25" si="6">IF(E18=0,"",(P18)*Q18)</f>
        <v/>
      </c>
      <c r="S18" s="514">
        <f>IF(L18="",0,(((O18*12)*L18)*(1+tab!$D$55)*tab!$F$57))</f>
        <v>0</v>
      </c>
      <c r="T18" s="1131">
        <f t="shared" si="4"/>
        <v>0</v>
      </c>
      <c r="U18" s="219">
        <f t="shared" si="2"/>
        <v>0</v>
      </c>
      <c r="V18" s="1145">
        <f t="shared" si="3"/>
        <v>0</v>
      </c>
      <c r="W18" s="518"/>
      <c r="X18" s="519"/>
      <c r="Y18" s="520"/>
      <c r="Z18" s="366"/>
      <c r="AA18" s="365"/>
      <c r="AB18" s="521"/>
      <c r="AC18" s="86"/>
      <c r="AD18" s="86"/>
      <c r="AL18" s="86"/>
      <c r="AM18" s="86"/>
      <c r="AN18" s="369"/>
      <c r="AO18" s="506"/>
    </row>
    <row r="19" spans="2:41" ht="12.75" customHeight="1" x14ac:dyDescent="0.2">
      <c r="B19" s="87"/>
      <c r="C19" s="108"/>
      <c r="D19" s="507"/>
      <c r="E19" s="115"/>
      <c r="F19" s="115"/>
      <c r="G19" s="132"/>
      <c r="H19" s="508"/>
      <c r="I19" s="150"/>
      <c r="J19" s="150"/>
      <c r="K19" s="509"/>
      <c r="L19" s="510"/>
      <c r="M19" s="511">
        <f t="shared" si="0"/>
        <v>0</v>
      </c>
      <c r="N19" s="512"/>
      <c r="O19" s="513" t="str">
        <f>IF(I19="","",VLOOKUP(I19,tab!$A$68:$V$108,J19+2,FALSE))</f>
        <v/>
      </c>
      <c r="P19" s="514" t="str">
        <f t="shared" si="1"/>
        <v/>
      </c>
      <c r="Q19" s="1173">
        <f t="shared" si="5"/>
        <v>0.62</v>
      </c>
      <c r="R19" s="514" t="str">
        <f t="shared" si="6"/>
        <v/>
      </c>
      <c r="S19" s="514">
        <f>IF(L19="",0,(((O19*12)*L19)*(1+tab!$D$55)*tab!$F$57))</f>
        <v>0</v>
      </c>
      <c r="T19" s="1131">
        <f t="shared" si="4"/>
        <v>0</v>
      </c>
      <c r="U19" s="219">
        <f t="shared" si="2"/>
        <v>0</v>
      </c>
      <c r="V19" s="1145">
        <f t="shared" si="3"/>
        <v>0</v>
      </c>
      <c r="W19" s="518"/>
      <c r="X19" s="519"/>
      <c r="Y19" s="520"/>
      <c r="Z19" s="366"/>
      <c r="AA19" s="365"/>
      <c r="AB19" s="521"/>
      <c r="AC19" s="86"/>
      <c r="AD19" s="86"/>
      <c r="AL19" s="86"/>
      <c r="AM19" s="86"/>
      <c r="AN19" s="369"/>
      <c r="AO19" s="506"/>
    </row>
    <row r="20" spans="2:41" ht="12.75" customHeight="1" x14ac:dyDescent="0.2">
      <c r="B20" s="87"/>
      <c r="C20" s="108"/>
      <c r="D20" s="507"/>
      <c r="E20" s="115"/>
      <c r="F20" s="115"/>
      <c r="G20" s="132"/>
      <c r="H20" s="508"/>
      <c r="I20" s="150"/>
      <c r="J20" s="150"/>
      <c r="K20" s="509"/>
      <c r="L20" s="510"/>
      <c r="M20" s="511">
        <f t="shared" si="0"/>
        <v>0</v>
      </c>
      <c r="N20" s="512"/>
      <c r="O20" s="513" t="str">
        <f>IF(I20="","",VLOOKUP(I20,tab!$A$68:$V$108,J20+2,FALSE))</f>
        <v/>
      </c>
      <c r="P20" s="514" t="str">
        <f t="shared" si="1"/>
        <v/>
      </c>
      <c r="Q20" s="1173">
        <f t="shared" si="5"/>
        <v>0.62</v>
      </c>
      <c r="R20" s="514" t="str">
        <f t="shared" si="6"/>
        <v/>
      </c>
      <c r="S20" s="514">
        <f>IF(L20="",0,(((O20*12)*L20)*(1+tab!$D$55)*tab!$F$57))</f>
        <v>0</v>
      </c>
      <c r="T20" s="1131">
        <f t="shared" si="4"/>
        <v>0</v>
      </c>
      <c r="U20" s="219">
        <f t="shared" si="2"/>
        <v>0</v>
      </c>
      <c r="V20" s="1145">
        <f t="shared" si="3"/>
        <v>0</v>
      </c>
      <c r="W20" s="518"/>
      <c r="X20" s="519"/>
      <c r="Y20" s="520"/>
      <c r="Z20" s="366"/>
      <c r="AA20" s="365"/>
      <c r="AB20" s="521"/>
      <c r="AC20" s="86"/>
      <c r="AD20" s="86"/>
      <c r="AL20" s="86"/>
      <c r="AM20" s="86"/>
      <c r="AN20" s="369"/>
      <c r="AO20" s="506"/>
    </row>
    <row r="21" spans="2:41" ht="12.75" customHeight="1" x14ac:dyDescent="0.2">
      <c r="B21" s="87"/>
      <c r="C21" s="108"/>
      <c r="D21" s="507"/>
      <c r="E21" s="115"/>
      <c r="F21" s="115"/>
      <c r="G21" s="132"/>
      <c r="H21" s="508"/>
      <c r="I21" s="150"/>
      <c r="J21" s="150"/>
      <c r="K21" s="509"/>
      <c r="L21" s="510"/>
      <c r="M21" s="511">
        <f t="shared" si="0"/>
        <v>0</v>
      </c>
      <c r="N21" s="512"/>
      <c r="O21" s="513" t="str">
        <f>IF(I21="","",VLOOKUP(I21,tab!$A$68:$V$108,J21+2,FALSE))</f>
        <v/>
      </c>
      <c r="P21" s="514" t="str">
        <f t="shared" si="1"/>
        <v/>
      </c>
      <c r="Q21" s="1173">
        <f t="shared" si="5"/>
        <v>0.62</v>
      </c>
      <c r="R21" s="514" t="str">
        <f t="shared" si="6"/>
        <v/>
      </c>
      <c r="S21" s="514">
        <f>IF(L21="",0,(((O21*12)*L21)*(1+tab!$D$55)*tab!$F$57))</f>
        <v>0</v>
      </c>
      <c r="T21" s="1131">
        <f t="shared" si="4"/>
        <v>0</v>
      </c>
      <c r="U21" s="219">
        <f t="shared" si="2"/>
        <v>0</v>
      </c>
      <c r="V21" s="1145">
        <f t="shared" si="3"/>
        <v>0</v>
      </c>
      <c r="W21" s="518"/>
      <c r="X21" s="519"/>
      <c r="Y21" s="520"/>
      <c r="Z21" s="366"/>
      <c r="AA21" s="365"/>
      <c r="AB21" s="521"/>
      <c r="AC21" s="86"/>
      <c r="AD21" s="86"/>
      <c r="AL21" s="86"/>
      <c r="AM21" s="86"/>
      <c r="AN21" s="369"/>
      <c r="AO21" s="506"/>
    </row>
    <row r="22" spans="2:41" ht="12.75" customHeight="1" x14ac:dyDescent="0.2">
      <c r="B22" s="87"/>
      <c r="C22" s="108"/>
      <c r="D22" s="507"/>
      <c r="E22" s="115"/>
      <c r="F22" s="115"/>
      <c r="G22" s="132"/>
      <c r="H22" s="508"/>
      <c r="I22" s="150"/>
      <c r="J22" s="150"/>
      <c r="K22" s="509"/>
      <c r="L22" s="510"/>
      <c r="M22" s="511">
        <f t="shared" si="0"/>
        <v>0</v>
      </c>
      <c r="N22" s="512"/>
      <c r="O22" s="513" t="str">
        <f>IF(I22="","",VLOOKUP(I22,tab!$A$68:$V$108,J22+2,FALSE))</f>
        <v/>
      </c>
      <c r="P22" s="514" t="str">
        <f t="shared" si="1"/>
        <v/>
      </c>
      <c r="Q22" s="1173">
        <f t="shared" si="5"/>
        <v>0.62</v>
      </c>
      <c r="R22" s="514" t="str">
        <f t="shared" si="6"/>
        <v/>
      </c>
      <c r="S22" s="514">
        <f>IF(L22="",0,(((O22*12)*L22)*(1+tab!$D$55)*tab!$F$57))</f>
        <v>0</v>
      </c>
      <c r="T22" s="1131">
        <f t="shared" si="4"/>
        <v>0</v>
      </c>
      <c r="U22" s="219">
        <f t="shared" si="2"/>
        <v>0</v>
      </c>
      <c r="V22" s="1145">
        <f t="shared" si="3"/>
        <v>0</v>
      </c>
      <c r="W22" s="518"/>
      <c r="X22" s="519"/>
      <c r="Y22" s="520"/>
      <c r="Z22" s="366"/>
      <c r="AA22" s="365"/>
      <c r="AB22" s="521"/>
      <c r="AC22" s="86"/>
      <c r="AD22" s="86"/>
      <c r="AL22" s="86"/>
      <c r="AM22" s="86"/>
      <c r="AN22" s="369"/>
      <c r="AO22" s="506"/>
    </row>
    <row r="23" spans="2:41" ht="12.75" customHeight="1" x14ac:dyDescent="0.2">
      <c r="B23" s="87"/>
      <c r="C23" s="108"/>
      <c r="D23" s="507"/>
      <c r="E23" s="115"/>
      <c r="F23" s="115"/>
      <c r="G23" s="132"/>
      <c r="H23" s="508"/>
      <c r="I23" s="150"/>
      <c r="J23" s="150"/>
      <c r="K23" s="509"/>
      <c r="L23" s="510"/>
      <c r="M23" s="511">
        <f t="shared" si="0"/>
        <v>0</v>
      </c>
      <c r="N23" s="512"/>
      <c r="O23" s="513" t="str">
        <f>IF(I23="","",VLOOKUP(I23,tab!$A$68:$V$108,J23+2,FALSE))</f>
        <v/>
      </c>
      <c r="P23" s="514" t="str">
        <f t="shared" si="1"/>
        <v/>
      </c>
      <c r="Q23" s="1173">
        <f t="shared" si="5"/>
        <v>0.62</v>
      </c>
      <c r="R23" s="514" t="str">
        <f t="shared" si="6"/>
        <v/>
      </c>
      <c r="S23" s="514">
        <f>IF(L23="",0,(((O23*12)*L23)*(1+tab!$D$55)*tab!$F$57))</f>
        <v>0</v>
      </c>
      <c r="T23" s="1131">
        <f t="shared" si="4"/>
        <v>0</v>
      </c>
      <c r="U23" s="219">
        <f t="shared" si="2"/>
        <v>0</v>
      </c>
      <c r="V23" s="1145">
        <f t="shared" si="3"/>
        <v>0</v>
      </c>
      <c r="W23" s="518"/>
      <c r="X23" s="519"/>
      <c r="Y23" s="520"/>
      <c r="Z23" s="366"/>
      <c r="AA23" s="365"/>
      <c r="AB23" s="521"/>
      <c r="AC23" s="86"/>
      <c r="AD23" s="86"/>
      <c r="AL23" s="86"/>
      <c r="AM23" s="86"/>
      <c r="AN23" s="369"/>
      <c r="AO23" s="506"/>
    </row>
    <row r="24" spans="2:41" ht="12.75" customHeight="1" x14ac:dyDescent="0.2">
      <c r="B24" s="87"/>
      <c r="C24" s="108"/>
      <c r="D24" s="507"/>
      <c r="E24" s="115"/>
      <c r="F24" s="115"/>
      <c r="G24" s="132"/>
      <c r="H24" s="508"/>
      <c r="I24" s="150"/>
      <c r="J24" s="150"/>
      <c r="K24" s="509"/>
      <c r="L24" s="510"/>
      <c r="M24" s="511">
        <f t="shared" si="0"/>
        <v>0</v>
      </c>
      <c r="N24" s="512"/>
      <c r="O24" s="513" t="str">
        <f>IF(I24="","",VLOOKUP(I24,tab!$A$68:$V$108,J24+2,FALSE))</f>
        <v/>
      </c>
      <c r="P24" s="514" t="str">
        <f t="shared" si="1"/>
        <v/>
      </c>
      <c r="Q24" s="1173">
        <f t="shared" si="5"/>
        <v>0.62</v>
      </c>
      <c r="R24" s="514" t="str">
        <f t="shared" si="6"/>
        <v/>
      </c>
      <c r="S24" s="514">
        <f>IF(L24="",0,(((O24*12)*L24)*(1+tab!$D$55)*tab!$F$57))</f>
        <v>0</v>
      </c>
      <c r="T24" s="1131">
        <f t="shared" si="4"/>
        <v>0</v>
      </c>
      <c r="U24" s="219">
        <f t="shared" si="2"/>
        <v>0</v>
      </c>
      <c r="V24" s="1145">
        <f t="shared" si="3"/>
        <v>0</v>
      </c>
      <c r="W24" s="518"/>
      <c r="X24" s="519"/>
      <c r="Y24" s="520"/>
      <c r="Z24" s="366"/>
      <c r="AA24" s="365"/>
      <c r="AB24" s="521"/>
      <c r="AC24" s="86"/>
      <c r="AD24" s="86"/>
      <c r="AL24" s="86"/>
      <c r="AM24" s="86"/>
      <c r="AN24" s="369"/>
      <c r="AO24" s="506"/>
    </row>
    <row r="25" spans="2:41" ht="12.75" customHeight="1" x14ac:dyDescent="0.2">
      <c r="B25" s="87"/>
      <c r="C25" s="108"/>
      <c r="D25" s="507"/>
      <c r="E25" s="115"/>
      <c r="F25" s="115"/>
      <c r="G25" s="132"/>
      <c r="H25" s="508"/>
      <c r="I25" s="150"/>
      <c r="J25" s="150"/>
      <c r="K25" s="509"/>
      <c r="L25" s="510"/>
      <c r="M25" s="511">
        <f t="shared" si="0"/>
        <v>0</v>
      </c>
      <c r="N25" s="512"/>
      <c r="O25" s="513" t="str">
        <f>IF(I25="","",VLOOKUP(I25,tab!$A$68:$V$108,J25+2,FALSE))</f>
        <v/>
      </c>
      <c r="P25" s="514" t="str">
        <f t="shared" si="1"/>
        <v/>
      </c>
      <c r="Q25" s="1173">
        <f t="shared" si="5"/>
        <v>0.62</v>
      </c>
      <c r="R25" s="514" t="str">
        <f t="shared" si="6"/>
        <v/>
      </c>
      <c r="S25" s="514">
        <f>IF(L25="",0,(((O25*12)*L25)*(1+tab!$D$55)*tab!$F$57))</f>
        <v>0</v>
      </c>
      <c r="T25" s="1131">
        <f t="shared" si="4"/>
        <v>0</v>
      </c>
      <c r="U25" s="219">
        <f t="shared" si="2"/>
        <v>0</v>
      </c>
      <c r="V25" s="1145">
        <f t="shared" si="3"/>
        <v>0</v>
      </c>
      <c r="W25" s="518"/>
      <c r="X25" s="519"/>
      <c r="Y25" s="520"/>
      <c r="Z25" s="366"/>
      <c r="AA25" s="365"/>
      <c r="AB25" s="521"/>
      <c r="AC25" s="86"/>
      <c r="AD25" s="86"/>
      <c r="AL25" s="86"/>
      <c r="AM25" s="86"/>
      <c r="AN25" s="369"/>
      <c r="AO25" s="506"/>
    </row>
    <row r="26" spans="2:41" ht="12.75" customHeight="1" x14ac:dyDescent="0.2">
      <c r="B26" s="87"/>
      <c r="C26" s="108"/>
      <c r="D26" s="522"/>
      <c r="E26" s="134"/>
      <c r="F26" s="134"/>
      <c r="G26" s="523"/>
      <c r="H26" s="524"/>
      <c r="I26" s="113"/>
      <c r="J26" s="113"/>
      <c r="K26" s="525">
        <f>SUM(K16:K25)</f>
        <v>0</v>
      </c>
      <c r="L26" s="525">
        <f>SUM(L16:L25)</f>
        <v>0</v>
      </c>
      <c r="M26" s="525">
        <f>SUM(M16:M25)</f>
        <v>0</v>
      </c>
      <c r="N26" s="168"/>
      <c r="O26" s="526">
        <f t="shared" ref="O26:V26" si="7">SUM(O16:O25)</f>
        <v>0</v>
      </c>
      <c r="P26" s="526">
        <f t="shared" si="7"/>
        <v>0</v>
      </c>
      <c r="Q26" s="527"/>
      <c r="R26" s="526">
        <f t="shared" si="7"/>
        <v>0</v>
      </c>
      <c r="S26" s="526">
        <f t="shared" si="7"/>
        <v>0</v>
      </c>
      <c r="T26" s="526">
        <f t="shared" si="7"/>
        <v>0</v>
      </c>
      <c r="U26" s="528">
        <f t="shared" si="7"/>
        <v>0</v>
      </c>
      <c r="V26" s="1146">
        <f t="shared" si="7"/>
        <v>0</v>
      </c>
      <c r="W26" s="518"/>
      <c r="X26" s="530"/>
      <c r="Y26" s="520"/>
      <c r="Z26" s="366"/>
      <c r="AA26" s="365"/>
      <c r="AB26" s="521"/>
      <c r="AC26" s="86"/>
      <c r="AD26" s="86"/>
      <c r="AL26" s="86"/>
      <c r="AM26" s="86"/>
      <c r="AN26" s="369"/>
      <c r="AO26" s="506"/>
    </row>
    <row r="27" spans="2:41" ht="12.75" customHeight="1" x14ac:dyDescent="0.2">
      <c r="B27" s="87"/>
      <c r="C27" s="116"/>
      <c r="D27" s="531"/>
      <c r="E27" s="168"/>
      <c r="F27" s="168"/>
      <c r="G27" s="235"/>
      <c r="H27" s="532"/>
      <c r="I27" s="235"/>
      <c r="J27" s="533"/>
      <c r="K27" s="534"/>
      <c r="L27" s="533"/>
      <c r="M27" s="534"/>
      <c r="N27" s="168"/>
      <c r="O27" s="533"/>
      <c r="P27" s="527"/>
      <c r="Q27" s="527"/>
      <c r="R27" s="527"/>
      <c r="S27" s="527"/>
      <c r="T27" s="527"/>
      <c r="U27" s="535"/>
      <c r="V27" s="1147"/>
      <c r="W27" s="537"/>
      <c r="X27" s="530"/>
      <c r="Y27" s="520"/>
      <c r="Z27" s="366"/>
      <c r="AA27" s="365"/>
      <c r="AB27" s="521"/>
      <c r="AC27" s="86"/>
      <c r="AD27" s="86"/>
      <c r="AL27" s="86"/>
      <c r="AM27" s="86"/>
      <c r="AN27" s="369"/>
      <c r="AO27" s="506"/>
    </row>
    <row r="28" spans="2:41" ht="12.75" customHeight="1" x14ac:dyDescent="0.2">
      <c r="B28" s="87"/>
      <c r="C28" s="88"/>
      <c r="D28" s="383"/>
      <c r="E28" s="303"/>
      <c r="F28" s="303"/>
      <c r="G28" s="204"/>
      <c r="H28" s="384"/>
      <c r="I28" s="204"/>
      <c r="J28" s="385"/>
      <c r="K28" s="386"/>
      <c r="L28" s="385"/>
      <c r="M28" s="386"/>
      <c r="N28" s="303"/>
      <c r="O28" s="385"/>
      <c r="P28" s="538"/>
      <c r="Q28" s="538"/>
      <c r="R28" s="538"/>
      <c r="S28" s="538"/>
      <c r="T28" s="538"/>
      <c r="U28" s="539"/>
      <c r="V28" s="1148"/>
      <c r="W28" s="540"/>
      <c r="X28" s="530"/>
      <c r="Y28" s="520"/>
      <c r="Z28" s="366"/>
      <c r="AA28" s="365"/>
      <c r="AB28" s="521"/>
      <c r="AC28" s="86"/>
      <c r="AD28" s="86"/>
      <c r="AL28" s="86"/>
      <c r="AM28" s="86"/>
      <c r="AN28" s="369"/>
      <c r="AO28" s="506"/>
    </row>
    <row r="29" spans="2:41" ht="12.75" customHeight="1" x14ac:dyDescent="0.2">
      <c r="B29" s="87"/>
      <c r="C29" s="88"/>
      <c r="D29" s="383"/>
      <c r="E29" s="303"/>
      <c r="F29" s="303"/>
      <c r="G29" s="204"/>
      <c r="H29" s="384"/>
      <c r="I29" s="204"/>
      <c r="J29" s="385"/>
      <c r="K29" s="386"/>
      <c r="L29" s="385"/>
      <c r="M29" s="386"/>
      <c r="N29" s="303"/>
      <c r="O29" s="385"/>
      <c r="P29" s="538"/>
      <c r="Q29" s="538"/>
      <c r="R29" s="538"/>
      <c r="S29" s="538"/>
      <c r="T29" s="538"/>
      <c r="U29" s="539"/>
      <c r="V29" s="1148"/>
      <c r="W29" s="540"/>
      <c r="X29" s="530"/>
      <c r="Y29" s="520"/>
      <c r="Z29" s="366"/>
      <c r="AA29" s="365"/>
      <c r="AB29" s="521"/>
      <c r="AC29" s="86"/>
      <c r="AD29" s="86"/>
      <c r="AL29" s="86"/>
      <c r="AM29" s="86"/>
      <c r="AN29" s="369"/>
      <c r="AO29" s="506"/>
    </row>
    <row r="30" spans="2:41" ht="12.75" customHeight="1" x14ac:dyDescent="0.2">
      <c r="B30" s="87"/>
      <c r="C30" s="88" t="s">
        <v>290</v>
      </c>
      <c r="D30" s="383"/>
      <c r="E30" s="541" t="str">
        <f>tab!E2</f>
        <v>2014/15</v>
      </c>
      <c r="F30" s="303"/>
      <c r="G30" s="204"/>
      <c r="H30" s="384"/>
      <c r="I30" s="204"/>
      <c r="J30" s="385"/>
      <c r="K30" s="386"/>
      <c r="L30" s="385"/>
      <c r="M30" s="386"/>
      <c r="N30" s="303"/>
      <c r="O30" s="385"/>
      <c r="P30" s="538"/>
      <c r="Q30" s="538"/>
      <c r="R30" s="538"/>
      <c r="S30" s="538"/>
      <c r="T30" s="538"/>
      <c r="U30" s="539"/>
      <c r="V30" s="1148"/>
      <c r="W30" s="540"/>
      <c r="X30" s="542"/>
      <c r="Y30" s="520"/>
      <c r="Z30" s="366"/>
      <c r="AA30" s="365"/>
      <c r="AB30" s="521"/>
      <c r="AC30" s="86"/>
      <c r="AD30" s="86"/>
      <c r="AL30" s="86"/>
      <c r="AM30" s="86"/>
      <c r="AN30" s="369"/>
      <c r="AO30" s="506"/>
    </row>
    <row r="31" spans="2:41" ht="12.75" customHeight="1" x14ac:dyDescent="0.2">
      <c r="B31" s="87"/>
      <c r="C31" s="303" t="s">
        <v>314</v>
      </c>
      <c r="D31" s="383"/>
      <c r="E31" s="455">
        <f>tab!F3</f>
        <v>41913</v>
      </c>
      <c r="F31" s="303"/>
      <c r="G31" s="204"/>
      <c r="H31" s="384"/>
      <c r="I31" s="204"/>
      <c r="J31" s="385"/>
      <c r="K31" s="386"/>
      <c r="L31" s="385"/>
      <c r="M31" s="386"/>
      <c r="N31" s="303"/>
      <c r="O31" s="385"/>
      <c r="P31" s="538"/>
      <c r="Q31" s="538"/>
      <c r="R31" s="538"/>
      <c r="S31" s="538"/>
      <c r="T31" s="538"/>
      <c r="U31" s="539"/>
      <c r="V31" s="1148"/>
      <c r="W31" s="540"/>
      <c r="X31" s="542"/>
      <c r="Y31" s="520"/>
      <c r="Z31" s="366"/>
      <c r="AA31" s="365"/>
      <c r="AB31" s="521"/>
      <c r="AC31" s="86"/>
      <c r="AD31" s="86"/>
      <c r="AL31" s="86"/>
      <c r="AM31" s="86"/>
      <c r="AN31" s="369"/>
      <c r="AO31" s="506"/>
    </row>
    <row r="32" spans="2:41" ht="12.75" customHeight="1" x14ac:dyDescent="0.2">
      <c r="B32" s="87"/>
      <c r="C32" s="88"/>
      <c r="D32" s="383"/>
      <c r="E32" s="303"/>
      <c r="F32" s="303"/>
      <c r="G32" s="204"/>
      <c r="H32" s="384"/>
      <c r="I32" s="204"/>
      <c r="J32" s="385"/>
      <c r="K32" s="386"/>
      <c r="L32" s="385"/>
      <c r="M32" s="386"/>
      <c r="N32" s="303"/>
      <c r="O32" s="385"/>
      <c r="P32" s="538"/>
      <c r="Q32" s="538"/>
      <c r="R32" s="538"/>
      <c r="S32" s="538"/>
      <c r="T32" s="538"/>
      <c r="U32" s="539"/>
      <c r="V32" s="1148"/>
      <c r="W32" s="540"/>
      <c r="X32" s="530"/>
      <c r="Y32" s="520"/>
      <c r="Z32" s="366"/>
      <c r="AA32" s="365"/>
      <c r="AB32" s="521"/>
      <c r="AC32" s="86"/>
      <c r="AD32" s="86"/>
      <c r="AL32" s="86"/>
      <c r="AM32" s="86"/>
      <c r="AN32" s="369"/>
      <c r="AO32" s="506"/>
    </row>
    <row r="33" spans="2:41" s="543" customFormat="1" ht="12.75" customHeight="1" x14ac:dyDescent="0.2">
      <c r="B33" s="544"/>
      <c r="C33" s="104"/>
      <c r="D33" s="459"/>
      <c r="E33" s="460"/>
      <c r="F33" s="155"/>
      <c r="G33" s="210"/>
      <c r="H33" s="461"/>
      <c r="I33" s="462"/>
      <c r="J33" s="462"/>
      <c r="K33" s="463"/>
      <c r="L33" s="462"/>
      <c r="M33" s="464"/>
      <c r="N33" s="105"/>
      <c r="O33" s="465"/>
      <c r="P33" s="105"/>
      <c r="Q33" s="105"/>
      <c r="R33" s="105"/>
      <c r="S33" s="105"/>
      <c r="T33" s="1129"/>
      <c r="U33" s="467"/>
      <c r="V33" s="1144"/>
      <c r="W33" s="186"/>
      <c r="X33" s="545"/>
      <c r="AC33" s="546"/>
      <c r="AD33" s="547"/>
      <c r="AE33" s="546"/>
      <c r="AF33" s="546"/>
      <c r="AG33" s="546"/>
      <c r="AH33" s="546"/>
      <c r="AI33" s="548"/>
      <c r="AJ33" s="549"/>
      <c r="AK33" s="550"/>
      <c r="AL33" s="551"/>
      <c r="AM33" s="548"/>
    </row>
    <row r="34" spans="2:41" s="469" customFormat="1" ht="12.75" customHeight="1" x14ac:dyDescent="0.2">
      <c r="B34" s="470"/>
      <c r="C34" s="471"/>
      <c r="D34" s="1280" t="s">
        <v>457</v>
      </c>
      <c r="E34" s="1281"/>
      <c r="F34" s="1281"/>
      <c r="G34" s="1281"/>
      <c r="H34" s="1281"/>
      <c r="I34" s="1281"/>
      <c r="J34" s="1281"/>
      <c r="K34" s="1281"/>
      <c r="L34" s="1281"/>
      <c r="M34" s="1282"/>
      <c r="N34" s="472"/>
      <c r="O34" s="1280" t="s">
        <v>298</v>
      </c>
      <c r="P34" s="1281"/>
      <c r="Q34" s="1281"/>
      <c r="R34" s="1281"/>
      <c r="S34" s="1281"/>
      <c r="T34" s="1282"/>
      <c r="U34" s="473"/>
      <c r="V34" s="216"/>
      <c r="W34" s="474"/>
      <c r="X34" s="475"/>
      <c r="Y34" s="476"/>
      <c r="Z34" s="477"/>
      <c r="AA34" s="478"/>
      <c r="AB34" s="477"/>
      <c r="AN34" s="476"/>
      <c r="AO34" s="476"/>
    </row>
    <row r="35" spans="2:41" s="469" customFormat="1" ht="12.75" customHeight="1" x14ac:dyDescent="0.2">
      <c r="B35" s="470"/>
      <c r="C35" s="471"/>
      <c r="D35" s="479" t="s">
        <v>152</v>
      </c>
      <c r="E35" s="165" t="s">
        <v>296</v>
      </c>
      <c r="F35" s="165" t="s">
        <v>275</v>
      </c>
      <c r="G35" s="480" t="s">
        <v>235</v>
      </c>
      <c r="H35" s="481" t="s">
        <v>439</v>
      </c>
      <c r="I35" s="480" t="s">
        <v>333</v>
      </c>
      <c r="J35" s="480" t="s">
        <v>368</v>
      </c>
      <c r="K35" s="482" t="s">
        <v>299</v>
      </c>
      <c r="L35" s="483" t="s">
        <v>334</v>
      </c>
      <c r="M35" s="482" t="s">
        <v>238</v>
      </c>
      <c r="N35" s="259"/>
      <c r="O35" s="484" t="s">
        <v>502</v>
      </c>
      <c r="P35" s="484" t="s">
        <v>637</v>
      </c>
      <c r="Q35" s="584" t="s">
        <v>0</v>
      </c>
      <c r="R35" s="485"/>
      <c r="S35" s="487" t="s">
        <v>334</v>
      </c>
      <c r="T35" s="1130" t="s">
        <v>313</v>
      </c>
      <c r="U35" s="486" t="s">
        <v>467</v>
      </c>
      <c r="V35" s="216" t="s">
        <v>668</v>
      </c>
      <c r="W35" s="488"/>
      <c r="X35" s="489"/>
      <c r="Y35" s="490"/>
      <c r="Z35" s="491"/>
      <c r="AA35" s="492"/>
      <c r="AB35" s="491"/>
      <c r="AN35" s="476"/>
      <c r="AO35" s="490"/>
    </row>
    <row r="36" spans="2:41" s="469" customFormat="1" ht="12.75" customHeight="1" x14ac:dyDescent="0.2">
      <c r="B36" s="470"/>
      <c r="C36" s="471"/>
      <c r="D36" s="493"/>
      <c r="E36" s="165"/>
      <c r="F36" s="494"/>
      <c r="G36" s="480" t="s">
        <v>236</v>
      </c>
      <c r="H36" s="481" t="s">
        <v>440</v>
      </c>
      <c r="I36" s="480"/>
      <c r="J36" s="480"/>
      <c r="K36" s="482" t="s">
        <v>442</v>
      </c>
      <c r="L36" s="483"/>
      <c r="M36" s="482" t="s">
        <v>337</v>
      </c>
      <c r="N36" s="259"/>
      <c r="O36" s="484" t="s">
        <v>321</v>
      </c>
      <c r="P36" s="484" t="s">
        <v>636</v>
      </c>
      <c r="Q36" s="1176">
        <f>tab!$E$55</f>
        <v>0.62</v>
      </c>
      <c r="R36" s="485" t="s">
        <v>1</v>
      </c>
      <c r="S36" s="487" t="s">
        <v>367</v>
      </c>
      <c r="T36" s="1130" t="s">
        <v>434</v>
      </c>
      <c r="U36" s="486"/>
      <c r="V36" s="487" t="s">
        <v>367</v>
      </c>
      <c r="W36" s="495"/>
      <c r="X36" s="496"/>
      <c r="AO36" s="497"/>
    </row>
    <row r="37" spans="2:41" ht="12.75" customHeight="1" x14ac:dyDescent="0.2">
      <c r="B37" s="87"/>
      <c r="C37" s="108"/>
      <c r="D37" s="222"/>
      <c r="E37" s="109"/>
      <c r="F37" s="109"/>
      <c r="G37" s="498"/>
      <c r="H37" s="499"/>
      <c r="I37" s="500"/>
      <c r="J37" s="500"/>
      <c r="K37" s="501"/>
      <c r="L37" s="498"/>
      <c r="M37" s="501"/>
      <c r="N37" s="498"/>
      <c r="O37" s="502"/>
      <c r="P37" s="503"/>
      <c r="Q37" s="503"/>
      <c r="R37" s="503"/>
      <c r="S37" s="503"/>
      <c r="T37" s="694"/>
      <c r="U37" s="138"/>
      <c r="V37" s="504"/>
      <c r="W37" s="188"/>
      <c r="X37" s="91"/>
      <c r="AC37" s="86"/>
      <c r="AD37" s="86"/>
      <c r="AL37" s="86"/>
      <c r="AM37" s="86"/>
      <c r="AO37" s="506"/>
    </row>
    <row r="38" spans="2:41" ht="12.75" customHeight="1" x14ac:dyDescent="0.2">
      <c r="B38" s="87"/>
      <c r="C38" s="108"/>
      <c r="D38" s="507" t="str">
        <f>IF(dir!D16="","",dir!D16)</f>
        <v/>
      </c>
      <c r="E38" s="115" t="str">
        <f>IF(dir!E16=0,"",dir!E16)</f>
        <v/>
      </c>
      <c r="F38" s="115" t="str">
        <f>IF(dir!F16=0,"",dir!F16)</f>
        <v/>
      </c>
      <c r="G38" s="132" t="str">
        <f>IF(dir!G16="","",dir!G16+1)</f>
        <v/>
      </c>
      <c r="H38" s="508" t="str">
        <f>IF(dir!H16="","",dir!H16)</f>
        <v/>
      </c>
      <c r="I38" s="150" t="str">
        <f t="shared" ref="I38:I47" si="8">IF(I16=0,"",I16)</f>
        <v/>
      </c>
      <c r="J38" s="150" t="str">
        <f>IF(E38="","",(IF(dir!J16+1&gt;LOOKUP(I38,schaal2011,regels2011),dir!J16,dir!J16+1)))</f>
        <v/>
      </c>
      <c r="K38" s="509" t="str">
        <f>IF(dir!K16="","",dir!K16)</f>
        <v/>
      </c>
      <c r="L38" s="510" t="str">
        <f>IF(dir!L16="","",dir!L16)</f>
        <v/>
      </c>
      <c r="M38" s="511" t="str">
        <f t="shared" ref="M38:M47" si="9">(IF(L38="",(K38),(K38)-L38))</f>
        <v/>
      </c>
      <c r="N38" s="512"/>
      <c r="O38" s="513" t="str">
        <f>IF(I38="","",VLOOKUP(I38,tab!$A$68:$V$108,J38+2,FALSE))</f>
        <v/>
      </c>
      <c r="P38" s="514" t="str">
        <f>IF(E38="","",(O38*M38*12))</f>
        <v/>
      </c>
      <c r="Q38" s="1173">
        <f>$Q$36</f>
        <v>0.62</v>
      </c>
      <c r="R38" s="514" t="str">
        <f>IF(E38="","",(P38)*Q38)</f>
        <v/>
      </c>
      <c r="S38" s="514">
        <f>IF(L38="",0,(((O38*12)*L38)*(1+tab!$D$55)*tab!$F$57))</f>
        <v>0</v>
      </c>
      <c r="T38" s="1131">
        <f t="shared" ref="T38:T47" si="10">IF(E38="",0,(P38+R38+S38))</f>
        <v>0</v>
      </c>
      <c r="U38" s="219">
        <f t="shared" ref="U38:U47" si="11">IF(G38&lt;25,0,IF(G38=25,25,IF(G38&lt;40,0,IF(G38=40,40,IF(G38&gt;=40,0)))))</f>
        <v>0</v>
      </c>
      <c r="V38" s="1145">
        <f t="shared" ref="V38:V47" si="12">IF(U38=25,(O38*1.08*(K38)/2),IF(U38=40,(O38*1.08*(K38)),IF(U38=0,0)))</f>
        <v>0</v>
      </c>
      <c r="W38" s="133"/>
      <c r="X38" s="91"/>
      <c r="AA38" s="552"/>
      <c r="AJ38" s="552"/>
    </row>
    <row r="39" spans="2:41" ht="12.75" customHeight="1" x14ac:dyDescent="0.2">
      <c r="B39" s="87"/>
      <c r="C39" s="108"/>
      <c r="D39" s="507" t="str">
        <f>IF(dir!D17="","",dir!D17)</f>
        <v/>
      </c>
      <c r="E39" s="115" t="str">
        <f>IF(dir!E17=0,"",dir!E17)</f>
        <v/>
      </c>
      <c r="F39" s="115" t="str">
        <f>IF(dir!F17=0,"",dir!F17)</f>
        <v/>
      </c>
      <c r="G39" s="132" t="str">
        <f>IF(dir!G17="","",dir!G17+1)</f>
        <v/>
      </c>
      <c r="H39" s="508" t="str">
        <f>IF(dir!H17="","",dir!H17)</f>
        <v/>
      </c>
      <c r="I39" s="150" t="str">
        <f t="shared" si="8"/>
        <v/>
      </c>
      <c r="J39" s="150" t="str">
        <f>IF(E39="","",(IF(dir!J17+1&gt;LOOKUP(I39,schaal2011,regels2011),dir!J17,dir!J17+1)))</f>
        <v/>
      </c>
      <c r="K39" s="509" t="str">
        <f>IF(dir!K17="","",dir!K17)</f>
        <v/>
      </c>
      <c r="L39" s="510" t="str">
        <f>IF(dir!L17="","",dir!L17)</f>
        <v/>
      </c>
      <c r="M39" s="511" t="str">
        <f t="shared" si="9"/>
        <v/>
      </c>
      <c r="N39" s="512"/>
      <c r="O39" s="513" t="str">
        <f>IF(I39="","",VLOOKUP(I39,tab!$A$68:$V$108,J39+2,FALSE))</f>
        <v/>
      </c>
      <c r="P39" s="514" t="str">
        <f t="shared" ref="P39:P47" si="13">IF(E39="","",(O39*M39*12))</f>
        <v/>
      </c>
      <c r="Q39" s="1173">
        <f t="shared" ref="Q39:Q47" si="14">$Q$36</f>
        <v>0.62</v>
      </c>
      <c r="R39" s="514" t="str">
        <f t="shared" ref="R39:R47" si="15">IF(E39="","",(P39)*Q39)</f>
        <v/>
      </c>
      <c r="S39" s="514">
        <f>IF(L39="",0,(((O39*12)*L39)*(1+tab!$D$55)*tab!$F$57))</f>
        <v>0</v>
      </c>
      <c r="T39" s="1131">
        <f t="shared" si="10"/>
        <v>0</v>
      </c>
      <c r="U39" s="219">
        <f t="shared" si="11"/>
        <v>0</v>
      </c>
      <c r="V39" s="1145">
        <f t="shared" si="12"/>
        <v>0</v>
      </c>
      <c r="W39" s="518"/>
      <c r="X39" s="91"/>
      <c r="AA39" s="552"/>
      <c r="AJ39" s="552"/>
    </row>
    <row r="40" spans="2:41" ht="12.75" customHeight="1" x14ac:dyDescent="0.2">
      <c r="B40" s="87"/>
      <c r="C40" s="108"/>
      <c r="D40" s="507" t="str">
        <f>IF(dir!D18="","",dir!D18)</f>
        <v/>
      </c>
      <c r="E40" s="115" t="str">
        <f>IF(dir!E18=0,"",dir!E18)</f>
        <v/>
      </c>
      <c r="F40" s="115" t="str">
        <f>IF(dir!F18=0,"",dir!F18)</f>
        <v/>
      </c>
      <c r="G40" s="132" t="str">
        <f>IF(dir!G18="","",dir!G18+1)</f>
        <v/>
      </c>
      <c r="H40" s="508" t="str">
        <f>IF(dir!H18="","",dir!H18)</f>
        <v/>
      </c>
      <c r="I40" s="150" t="str">
        <f t="shared" si="8"/>
        <v/>
      </c>
      <c r="J40" s="150" t="str">
        <f>IF(E40="","",(IF(dir!J18+1&gt;LOOKUP(I40,schaal2011,regels2011),dir!J18,dir!J18+1)))</f>
        <v/>
      </c>
      <c r="K40" s="509" t="str">
        <f>IF(dir!K18="","",dir!K18)</f>
        <v/>
      </c>
      <c r="L40" s="510" t="str">
        <f>IF(dir!L18="","",dir!L18)</f>
        <v/>
      </c>
      <c r="M40" s="511" t="str">
        <f t="shared" si="9"/>
        <v/>
      </c>
      <c r="N40" s="512"/>
      <c r="O40" s="513" t="str">
        <f>IF(I40="","",VLOOKUP(I40,tab!$A$68:$V$108,J40+2,FALSE))</f>
        <v/>
      </c>
      <c r="P40" s="514" t="str">
        <f t="shared" si="13"/>
        <v/>
      </c>
      <c r="Q40" s="1173">
        <f t="shared" si="14"/>
        <v>0.62</v>
      </c>
      <c r="R40" s="514" t="str">
        <f t="shared" si="15"/>
        <v/>
      </c>
      <c r="S40" s="514">
        <f>IF(L40="",0,(((O40*12)*L40)*(1+tab!$D$55)*tab!$F$57))</f>
        <v>0</v>
      </c>
      <c r="T40" s="1131">
        <f t="shared" si="10"/>
        <v>0</v>
      </c>
      <c r="U40" s="219">
        <f t="shared" si="11"/>
        <v>0</v>
      </c>
      <c r="V40" s="1145">
        <f t="shared" si="12"/>
        <v>0</v>
      </c>
      <c r="W40" s="518"/>
      <c r="X40" s="91"/>
      <c r="AA40" s="552"/>
      <c r="AJ40" s="552"/>
    </row>
    <row r="41" spans="2:41" ht="12.75" customHeight="1" x14ac:dyDescent="0.2">
      <c r="B41" s="87"/>
      <c r="C41" s="108"/>
      <c r="D41" s="507" t="str">
        <f>IF(dir!D19="","",dir!D19)</f>
        <v/>
      </c>
      <c r="E41" s="115" t="str">
        <f>IF(dir!E19=0,"",dir!E19)</f>
        <v/>
      </c>
      <c r="F41" s="115" t="str">
        <f>IF(dir!F19=0,"",dir!F19)</f>
        <v/>
      </c>
      <c r="G41" s="132" t="str">
        <f>IF(dir!G19="","",dir!G19+1)</f>
        <v/>
      </c>
      <c r="H41" s="508" t="str">
        <f>IF(dir!H19="","",dir!H19)</f>
        <v/>
      </c>
      <c r="I41" s="150" t="str">
        <f t="shared" si="8"/>
        <v/>
      </c>
      <c r="J41" s="150" t="str">
        <f>IF(E41="","",(IF(dir!J19+1&gt;LOOKUP(I41,schaal2011,regels2011),dir!J19,dir!J19+1)))</f>
        <v/>
      </c>
      <c r="K41" s="509" t="str">
        <f>IF(dir!K19="","",dir!K19)</f>
        <v/>
      </c>
      <c r="L41" s="510" t="str">
        <f>IF(dir!L19="","",dir!L19)</f>
        <v/>
      </c>
      <c r="M41" s="511" t="str">
        <f t="shared" si="9"/>
        <v/>
      </c>
      <c r="N41" s="512"/>
      <c r="O41" s="513" t="str">
        <f>IF(I41="","",VLOOKUP(I41,tab!$A$68:$V$108,J41+2,FALSE))</f>
        <v/>
      </c>
      <c r="P41" s="514" t="str">
        <f t="shared" si="13"/>
        <v/>
      </c>
      <c r="Q41" s="1173">
        <f t="shared" si="14"/>
        <v>0.62</v>
      </c>
      <c r="R41" s="514" t="str">
        <f t="shared" si="15"/>
        <v/>
      </c>
      <c r="S41" s="514">
        <f>IF(L41="",0,(((O41*12)*L41)*(1+tab!$D$55)*tab!$F$57))</f>
        <v>0</v>
      </c>
      <c r="T41" s="1131">
        <f t="shared" si="10"/>
        <v>0</v>
      </c>
      <c r="U41" s="219">
        <f t="shared" si="11"/>
        <v>0</v>
      </c>
      <c r="V41" s="1145">
        <f t="shared" si="12"/>
        <v>0</v>
      </c>
      <c r="W41" s="518"/>
      <c r="X41" s="91"/>
      <c r="AA41" s="552"/>
      <c r="AJ41" s="552"/>
    </row>
    <row r="42" spans="2:41" ht="12.75" customHeight="1" x14ac:dyDescent="0.2">
      <c r="B42" s="87"/>
      <c r="C42" s="108"/>
      <c r="D42" s="507" t="str">
        <f>IF(dir!D20="","",dir!D20)</f>
        <v/>
      </c>
      <c r="E42" s="115" t="str">
        <f>IF(dir!E20=0,"",dir!E20)</f>
        <v/>
      </c>
      <c r="F42" s="115" t="str">
        <f>IF(dir!F20=0,"",dir!F20)</f>
        <v/>
      </c>
      <c r="G42" s="132" t="str">
        <f>IF(dir!G20="","",dir!G20+1)</f>
        <v/>
      </c>
      <c r="H42" s="508" t="str">
        <f>IF(dir!H20="","",dir!H20)</f>
        <v/>
      </c>
      <c r="I42" s="150" t="str">
        <f t="shared" si="8"/>
        <v/>
      </c>
      <c r="J42" s="150" t="str">
        <f>IF(E42="","",(IF(dir!J20+1&gt;LOOKUP(I42,schaal2011,regels2011),dir!J20,dir!J20+1)))</f>
        <v/>
      </c>
      <c r="K42" s="509" t="str">
        <f>IF(dir!K20="","",dir!K20)</f>
        <v/>
      </c>
      <c r="L42" s="510" t="str">
        <f>IF(dir!L20="","",dir!L20)</f>
        <v/>
      </c>
      <c r="M42" s="511" t="str">
        <f t="shared" si="9"/>
        <v/>
      </c>
      <c r="N42" s="512"/>
      <c r="O42" s="513" t="str">
        <f>IF(I42="","",VLOOKUP(I42,tab!$A$68:$V$108,J42+2,FALSE))</f>
        <v/>
      </c>
      <c r="P42" s="514" t="str">
        <f t="shared" si="13"/>
        <v/>
      </c>
      <c r="Q42" s="1173">
        <f t="shared" si="14"/>
        <v>0.62</v>
      </c>
      <c r="R42" s="514" t="str">
        <f t="shared" si="15"/>
        <v/>
      </c>
      <c r="S42" s="514">
        <f>IF(L42="",0,(((O42*12)*L42)*(1+tab!$D$55)*tab!$F$57))</f>
        <v>0</v>
      </c>
      <c r="T42" s="1131">
        <f t="shared" si="10"/>
        <v>0</v>
      </c>
      <c r="U42" s="219">
        <f t="shared" si="11"/>
        <v>0</v>
      </c>
      <c r="V42" s="1145">
        <f t="shared" si="12"/>
        <v>0</v>
      </c>
      <c r="W42" s="518"/>
      <c r="X42" s="91"/>
      <c r="AA42" s="552"/>
      <c r="AJ42" s="552"/>
    </row>
    <row r="43" spans="2:41" ht="12.75" customHeight="1" x14ac:dyDescent="0.2">
      <c r="B43" s="87"/>
      <c r="C43" s="108"/>
      <c r="D43" s="507" t="str">
        <f>IF(dir!D21="","",dir!D21)</f>
        <v/>
      </c>
      <c r="E43" s="115" t="str">
        <f>IF(dir!E21=0,"",dir!E21)</f>
        <v/>
      </c>
      <c r="F43" s="115" t="str">
        <f>IF(dir!F21=0,"",dir!F21)</f>
        <v/>
      </c>
      <c r="G43" s="132" t="str">
        <f>IF(dir!G21="","",dir!G21+1)</f>
        <v/>
      </c>
      <c r="H43" s="508" t="str">
        <f>IF(dir!H21="","",dir!H21)</f>
        <v/>
      </c>
      <c r="I43" s="150" t="str">
        <f t="shared" si="8"/>
        <v/>
      </c>
      <c r="J43" s="150" t="str">
        <f>IF(E43="","",(IF(dir!J21+1&gt;LOOKUP(I43,schaal2011,regels2011),dir!J21,dir!J21+1)))</f>
        <v/>
      </c>
      <c r="K43" s="509" t="str">
        <f>IF(dir!K21="","",dir!K21)</f>
        <v/>
      </c>
      <c r="L43" s="510" t="str">
        <f>IF(dir!L21="","",dir!L21)</f>
        <v/>
      </c>
      <c r="M43" s="511" t="str">
        <f t="shared" si="9"/>
        <v/>
      </c>
      <c r="N43" s="512"/>
      <c r="O43" s="513" t="str">
        <f>IF(I43="","",VLOOKUP(I43,tab!$A$68:$V$108,J43+2,FALSE))</f>
        <v/>
      </c>
      <c r="P43" s="514" t="str">
        <f t="shared" si="13"/>
        <v/>
      </c>
      <c r="Q43" s="1173">
        <f t="shared" si="14"/>
        <v>0.62</v>
      </c>
      <c r="R43" s="514" t="str">
        <f t="shared" si="15"/>
        <v/>
      </c>
      <c r="S43" s="514">
        <f>IF(L43="",0,(((O43*12)*L43)*(1+tab!$D$55)*tab!$F$57))</f>
        <v>0</v>
      </c>
      <c r="T43" s="1131">
        <f t="shared" si="10"/>
        <v>0</v>
      </c>
      <c r="U43" s="219">
        <f t="shared" si="11"/>
        <v>0</v>
      </c>
      <c r="V43" s="1145">
        <f t="shared" si="12"/>
        <v>0</v>
      </c>
      <c r="W43" s="518"/>
      <c r="X43" s="91"/>
      <c r="AA43" s="552"/>
      <c r="AJ43" s="552"/>
    </row>
    <row r="44" spans="2:41" ht="12.75" customHeight="1" x14ac:dyDescent="0.2">
      <c r="B44" s="87"/>
      <c r="C44" s="108"/>
      <c r="D44" s="507" t="str">
        <f>IF(dir!D22="","",dir!D22)</f>
        <v/>
      </c>
      <c r="E44" s="115" t="str">
        <f>IF(dir!E22=0,"",dir!E22)</f>
        <v/>
      </c>
      <c r="F44" s="115" t="str">
        <f>IF(dir!F22=0,"",dir!F22)</f>
        <v/>
      </c>
      <c r="G44" s="132" t="str">
        <f>IF(dir!G22="","",dir!G22+1)</f>
        <v/>
      </c>
      <c r="H44" s="508" t="str">
        <f>IF(dir!H22="","",dir!H22)</f>
        <v/>
      </c>
      <c r="I44" s="150" t="str">
        <f t="shared" si="8"/>
        <v/>
      </c>
      <c r="J44" s="150" t="str">
        <f>IF(E44="","",(IF(dir!J22+1&gt;LOOKUP(I44,schaal2011,regels2011),dir!J22,dir!J22+1)))</f>
        <v/>
      </c>
      <c r="K44" s="509" t="str">
        <f>IF(dir!K22="","",dir!K22)</f>
        <v/>
      </c>
      <c r="L44" s="510" t="str">
        <f>IF(dir!L22="","",dir!L22)</f>
        <v/>
      </c>
      <c r="M44" s="511" t="str">
        <f t="shared" si="9"/>
        <v/>
      </c>
      <c r="N44" s="512"/>
      <c r="O44" s="513" t="str">
        <f>IF(I44="","",VLOOKUP(I44,tab!$A$68:$V$108,J44+2,FALSE))</f>
        <v/>
      </c>
      <c r="P44" s="514" t="str">
        <f t="shared" si="13"/>
        <v/>
      </c>
      <c r="Q44" s="1173">
        <f t="shared" si="14"/>
        <v>0.62</v>
      </c>
      <c r="R44" s="514" t="str">
        <f t="shared" si="15"/>
        <v/>
      </c>
      <c r="S44" s="514">
        <f>IF(L44="",0,(((O44*12)*L44)*(1+tab!$D$55)*tab!$F$57))</f>
        <v>0</v>
      </c>
      <c r="T44" s="1131">
        <f t="shared" si="10"/>
        <v>0</v>
      </c>
      <c r="U44" s="219">
        <f t="shared" si="11"/>
        <v>0</v>
      </c>
      <c r="V44" s="1145">
        <f t="shared" si="12"/>
        <v>0</v>
      </c>
      <c r="W44" s="518"/>
      <c r="X44" s="91"/>
      <c r="AA44" s="552"/>
      <c r="AJ44" s="552"/>
    </row>
    <row r="45" spans="2:41" ht="12.75" customHeight="1" x14ac:dyDescent="0.2">
      <c r="B45" s="87"/>
      <c r="C45" s="108"/>
      <c r="D45" s="507" t="str">
        <f>IF(dir!D23="","",dir!D23)</f>
        <v/>
      </c>
      <c r="E45" s="115" t="str">
        <f>IF(dir!E23=0,"",dir!E23)</f>
        <v/>
      </c>
      <c r="F45" s="115" t="str">
        <f>IF(dir!F23=0,"",dir!F23)</f>
        <v/>
      </c>
      <c r="G45" s="132" t="str">
        <f>IF(dir!G23="","",dir!G23+1)</f>
        <v/>
      </c>
      <c r="H45" s="508" t="str">
        <f>IF(dir!H23="","",dir!H23)</f>
        <v/>
      </c>
      <c r="I45" s="150" t="str">
        <f t="shared" si="8"/>
        <v/>
      </c>
      <c r="J45" s="150" t="str">
        <f>IF(E45="","",(IF(dir!J23+1&gt;LOOKUP(I45,schaal2011,regels2011),dir!J23,dir!J23+1)))</f>
        <v/>
      </c>
      <c r="K45" s="509" t="str">
        <f>IF(dir!K23="","",dir!K23)</f>
        <v/>
      </c>
      <c r="L45" s="510" t="str">
        <f>IF(dir!L23="","",dir!L23)</f>
        <v/>
      </c>
      <c r="M45" s="511" t="str">
        <f t="shared" si="9"/>
        <v/>
      </c>
      <c r="N45" s="512"/>
      <c r="O45" s="513" t="str">
        <f>IF(I45="","",VLOOKUP(I45,tab!$A$68:$V$108,J45+2,FALSE))</f>
        <v/>
      </c>
      <c r="P45" s="514" t="str">
        <f t="shared" si="13"/>
        <v/>
      </c>
      <c r="Q45" s="1173">
        <f t="shared" si="14"/>
        <v>0.62</v>
      </c>
      <c r="R45" s="514" t="str">
        <f t="shared" si="15"/>
        <v/>
      </c>
      <c r="S45" s="514">
        <f>IF(L45="",0,(((O45*12)*L45)*(1+tab!$D$55)*tab!$F$57))</f>
        <v>0</v>
      </c>
      <c r="T45" s="1131">
        <f t="shared" si="10"/>
        <v>0</v>
      </c>
      <c r="U45" s="219">
        <f t="shared" si="11"/>
        <v>0</v>
      </c>
      <c r="V45" s="1145">
        <f t="shared" si="12"/>
        <v>0</v>
      </c>
      <c r="W45" s="518"/>
      <c r="X45" s="91"/>
      <c r="AA45" s="552"/>
      <c r="AJ45" s="552"/>
    </row>
    <row r="46" spans="2:41" ht="12.75" customHeight="1" x14ac:dyDescent="0.2">
      <c r="B46" s="87"/>
      <c r="C46" s="108"/>
      <c r="D46" s="507" t="str">
        <f>IF(dir!D24="","",dir!D24)</f>
        <v/>
      </c>
      <c r="E46" s="115" t="str">
        <f>IF(dir!E24=0,"",dir!E24)</f>
        <v/>
      </c>
      <c r="F46" s="115" t="str">
        <f>IF(dir!F24=0,"",dir!F24)</f>
        <v/>
      </c>
      <c r="G46" s="132" t="str">
        <f>IF(dir!G24="","",dir!G24+1)</f>
        <v/>
      </c>
      <c r="H46" s="508" t="str">
        <f>IF(dir!H24="","",dir!H24)</f>
        <v/>
      </c>
      <c r="I46" s="150" t="str">
        <f t="shared" si="8"/>
        <v/>
      </c>
      <c r="J46" s="150" t="str">
        <f>IF(E46="","",(IF(dir!J24+1&gt;LOOKUP(I46,schaal2011,regels2011),dir!J24,dir!J24+1)))</f>
        <v/>
      </c>
      <c r="K46" s="509" t="str">
        <f>IF(dir!K24="","",dir!K24)</f>
        <v/>
      </c>
      <c r="L46" s="510" t="str">
        <f>IF(dir!L24="","",dir!L24)</f>
        <v/>
      </c>
      <c r="M46" s="511" t="str">
        <f t="shared" si="9"/>
        <v/>
      </c>
      <c r="N46" s="512"/>
      <c r="O46" s="513" t="str">
        <f>IF(I46="","",VLOOKUP(I46,tab!$A$68:$V$108,J46+2,FALSE))</f>
        <v/>
      </c>
      <c r="P46" s="514" t="str">
        <f t="shared" si="13"/>
        <v/>
      </c>
      <c r="Q46" s="1173">
        <f t="shared" si="14"/>
        <v>0.62</v>
      </c>
      <c r="R46" s="514" t="str">
        <f t="shared" si="15"/>
        <v/>
      </c>
      <c r="S46" s="514">
        <f>IF(L46="",0,(((O46*12)*L46)*(1+tab!$D$55)*tab!$F$57))</f>
        <v>0</v>
      </c>
      <c r="T46" s="1131">
        <f t="shared" si="10"/>
        <v>0</v>
      </c>
      <c r="U46" s="219">
        <f t="shared" si="11"/>
        <v>0</v>
      </c>
      <c r="V46" s="1145">
        <f t="shared" si="12"/>
        <v>0</v>
      </c>
      <c r="W46" s="518"/>
      <c r="X46" s="91"/>
      <c r="AA46" s="552"/>
      <c r="AJ46" s="552"/>
    </row>
    <row r="47" spans="2:41" ht="12.75" customHeight="1" x14ac:dyDescent="0.2">
      <c r="B47" s="87"/>
      <c r="C47" s="108"/>
      <c r="D47" s="507" t="str">
        <f>IF(dir!D25="","",dir!D25)</f>
        <v/>
      </c>
      <c r="E47" s="115" t="str">
        <f>IF(dir!E25=0,"",dir!E25)</f>
        <v/>
      </c>
      <c r="F47" s="115" t="str">
        <f>IF(dir!F25=0,"",dir!F25)</f>
        <v/>
      </c>
      <c r="G47" s="132" t="str">
        <f>IF(dir!G25="","",dir!G25+1)</f>
        <v/>
      </c>
      <c r="H47" s="508" t="str">
        <f>IF(dir!H25="","",dir!H25)</f>
        <v/>
      </c>
      <c r="I47" s="150" t="str">
        <f t="shared" si="8"/>
        <v/>
      </c>
      <c r="J47" s="150" t="str">
        <f>IF(E47="","",(IF(dir!J25+1&gt;LOOKUP(I47,schaal2011,regels2011),dir!J25,dir!J25+1)))</f>
        <v/>
      </c>
      <c r="K47" s="509" t="str">
        <f>IF(dir!K25="","",dir!K25)</f>
        <v/>
      </c>
      <c r="L47" s="510" t="str">
        <f>IF(dir!L25="","",dir!L25)</f>
        <v/>
      </c>
      <c r="M47" s="511" t="str">
        <f t="shared" si="9"/>
        <v/>
      </c>
      <c r="N47" s="512"/>
      <c r="O47" s="513" t="str">
        <f>IF(I47="","",VLOOKUP(I47,tab!$A$68:$V$108,J47+2,FALSE))</f>
        <v/>
      </c>
      <c r="P47" s="514" t="str">
        <f t="shared" si="13"/>
        <v/>
      </c>
      <c r="Q47" s="1173">
        <f t="shared" si="14"/>
        <v>0.62</v>
      </c>
      <c r="R47" s="514" t="str">
        <f t="shared" si="15"/>
        <v/>
      </c>
      <c r="S47" s="514">
        <f>IF(L47="",0,(((O47*12)*L47)*(1+tab!$D$55)*tab!$F$57))</f>
        <v>0</v>
      </c>
      <c r="T47" s="1131">
        <f t="shared" si="10"/>
        <v>0</v>
      </c>
      <c r="U47" s="219">
        <f t="shared" si="11"/>
        <v>0</v>
      </c>
      <c r="V47" s="1145">
        <f t="shared" si="12"/>
        <v>0</v>
      </c>
      <c r="W47" s="518"/>
      <c r="X47" s="91"/>
      <c r="AA47" s="552"/>
      <c r="AJ47" s="552"/>
    </row>
    <row r="48" spans="2:41" ht="12.75" customHeight="1" x14ac:dyDescent="0.2">
      <c r="B48" s="87"/>
      <c r="C48" s="108"/>
      <c r="D48" s="522"/>
      <c r="E48" s="134"/>
      <c r="F48" s="134"/>
      <c r="G48" s="523"/>
      <c r="H48" s="524"/>
      <c r="I48" s="113"/>
      <c r="J48" s="113"/>
      <c r="K48" s="525">
        <f>SUM(K38:K47)</f>
        <v>0</v>
      </c>
      <c r="L48" s="525">
        <f>SUM(L38:L47)</f>
        <v>0</v>
      </c>
      <c r="M48" s="525">
        <f>SUM(M38:M47)</f>
        <v>0</v>
      </c>
      <c r="N48" s="168"/>
      <c r="O48" s="526">
        <f t="shared" ref="O48:V48" si="16">SUM(O38:O47)</f>
        <v>0</v>
      </c>
      <c r="P48" s="526">
        <f t="shared" si="16"/>
        <v>0</v>
      </c>
      <c r="Q48" s="527"/>
      <c r="R48" s="526">
        <f t="shared" si="16"/>
        <v>0</v>
      </c>
      <c r="S48" s="526">
        <f t="shared" si="16"/>
        <v>0</v>
      </c>
      <c r="T48" s="526">
        <f t="shared" si="16"/>
        <v>0</v>
      </c>
      <c r="U48" s="528">
        <f t="shared" si="16"/>
        <v>0</v>
      </c>
      <c r="V48" s="1146">
        <f t="shared" si="16"/>
        <v>0</v>
      </c>
      <c r="W48" s="518"/>
      <c r="X48" s="91"/>
      <c r="AA48" s="552"/>
      <c r="AJ48" s="552"/>
    </row>
    <row r="49" spans="2:41" ht="12.75" customHeight="1" x14ac:dyDescent="0.2">
      <c r="B49" s="87"/>
      <c r="C49" s="116"/>
      <c r="D49" s="531"/>
      <c r="E49" s="168"/>
      <c r="F49" s="168"/>
      <c r="G49" s="235"/>
      <c r="H49" s="532"/>
      <c r="I49" s="235"/>
      <c r="J49" s="533"/>
      <c r="K49" s="534"/>
      <c r="L49" s="533"/>
      <c r="M49" s="534"/>
      <c r="N49" s="168"/>
      <c r="O49" s="533"/>
      <c r="P49" s="527"/>
      <c r="Q49" s="527"/>
      <c r="R49" s="527"/>
      <c r="S49" s="527"/>
      <c r="T49" s="527"/>
      <c r="U49" s="535"/>
      <c r="V49" s="1147"/>
      <c r="W49" s="537"/>
      <c r="X49" s="91"/>
      <c r="AA49" s="552"/>
      <c r="AJ49" s="552"/>
    </row>
    <row r="50" spans="2:41" ht="12.75" customHeight="1" x14ac:dyDescent="0.2">
      <c r="B50" s="199"/>
      <c r="C50" s="200"/>
      <c r="D50" s="553"/>
      <c r="E50" s="554"/>
      <c r="F50" s="554"/>
      <c r="G50" s="555"/>
      <c r="H50" s="556"/>
      <c r="I50" s="555"/>
      <c r="J50" s="557"/>
      <c r="K50" s="558"/>
      <c r="L50" s="559"/>
      <c r="M50" s="559"/>
      <c r="N50" s="200"/>
      <c r="O50" s="560"/>
      <c r="P50" s="561"/>
      <c r="Q50" s="561"/>
      <c r="R50" s="561"/>
      <c r="S50" s="561"/>
      <c r="T50" s="1132"/>
      <c r="U50" s="562"/>
      <c r="V50" s="1149"/>
      <c r="W50" s="200"/>
      <c r="X50" s="201"/>
    </row>
    <row r="51" spans="2:41" ht="12.75" customHeight="1" x14ac:dyDescent="0.2">
      <c r="I51" s="202"/>
      <c r="K51" s="517"/>
      <c r="L51" s="366"/>
      <c r="M51" s="366"/>
      <c r="O51" s="564"/>
      <c r="P51" s="506"/>
      <c r="Q51" s="506"/>
      <c r="R51" s="506"/>
      <c r="S51" s="506"/>
      <c r="T51" s="1133"/>
      <c r="V51" s="1150"/>
    </row>
    <row r="52" spans="2:41" ht="12.75" customHeight="1" x14ac:dyDescent="0.2">
      <c r="I52" s="202"/>
      <c r="K52" s="517"/>
      <c r="L52" s="366"/>
      <c r="M52" s="366"/>
      <c r="O52" s="564"/>
      <c r="P52" s="506"/>
      <c r="Q52" s="506"/>
      <c r="R52" s="506"/>
      <c r="S52" s="506"/>
      <c r="T52" s="1133"/>
      <c r="V52" s="1150"/>
    </row>
    <row r="53" spans="2:41" ht="12.75" customHeight="1" x14ac:dyDescent="0.2">
      <c r="C53" s="86" t="s">
        <v>290</v>
      </c>
      <c r="E53" s="566" t="str">
        <f>tab!F2</f>
        <v>2015/16</v>
      </c>
      <c r="I53" s="202"/>
      <c r="K53" s="517"/>
      <c r="L53" s="366"/>
      <c r="M53" s="366"/>
      <c r="O53" s="564"/>
      <c r="P53" s="506"/>
      <c r="Q53" s="506"/>
      <c r="R53" s="506"/>
      <c r="S53" s="506"/>
      <c r="T53" s="1133"/>
      <c r="V53" s="1150"/>
    </row>
    <row r="54" spans="2:41" ht="12.75" customHeight="1" x14ac:dyDescent="0.2">
      <c r="C54" s="363" t="s">
        <v>314</v>
      </c>
      <c r="E54" s="567">
        <f>tab!G3</f>
        <v>42278</v>
      </c>
      <c r="I54" s="202"/>
      <c r="K54" s="517"/>
      <c r="L54" s="366"/>
      <c r="M54" s="366"/>
      <c r="O54" s="564"/>
      <c r="P54" s="506"/>
      <c r="Q54" s="506"/>
      <c r="R54" s="506"/>
      <c r="S54" s="506"/>
      <c r="T54" s="1133"/>
      <c r="V54" s="1150"/>
    </row>
    <row r="55" spans="2:41" ht="12.75" customHeight="1" x14ac:dyDescent="0.2">
      <c r="I55" s="202"/>
      <c r="K55" s="517"/>
      <c r="L55" s="366"/>
      <c r="M55" s="366"/>
      <c r="O55" s="564"/>
      <c r="P55" s="506"/>
      <c r="Q55" s="506"/>
      <c r="R55" s="506"/>
      <c r="S55" s="506"/>
      <c r="T55" s="1133"/>
      <c r="V55" s="1150"/>
    </row>
    <row r="56" spans="2:41" ht="12.75" customHeight="1" x14ac:dyDescent="0.2">
      <c r="I56" s="202"/>
      <c r="K56" s="517"/>
      <c r="L56" s="366"/>
      <c r="M56" s="366"/>
      <c r="O56" s="564"/>
      <c r="P56" s="506"/>
      <c r="Q56" s="506"/>
      <c r="R56" s="506"/>
      <c r="S56" s="506"/>
      <c r="T56" s="1133"/>
      <c r="V56" s="1150"/>
    </row>
    <row r="57" spans="2:41" s="469" customFormat="1" ht="12.75" customHeight="1" x14ac:dyDescent="0.2">
      <c r="B57" s="362"/>
      <c r="C57" s="471"/>
      <c r="D57" s="1280" t="s">
        <v>457</v>
      </c>
      <c r="E57" s="1281"/>
      <c r="F57" s="1281"/>
      <c r="G57" s="1281"/>
      <c r="H57" s="1281"/>
      <c r="I57" s="1281"/>
      <c r="J57" s="1281"/>
      <c r="K57" s="1281"/>
      <c r="L57" s="1281"/>
      <c r="M57" s="1282"/>
      <c r="N57" s="472"/>
      <c r="O57" s="1280" t="s">
        <v>298</v>
      </c>
      <c r="P57" s="1281"/>
      <c r="Q57" s="1281"/>
      <c r="R57" s="1281"/>
      <c r="S57" s="1281"/>
      <c r="T57" s="1282"/>
      <c r="U57" s="473"/>
      <c r="V57" s="216"/>
      <c r="W57" s="474"/>
      <c r="X57" s="552"/>
      <c r="Y57" s="476"/>
      <c r="Z57" s="477"/>
      <c r="AA57" s="478"/>
      <c r="AB57" s="477"/>
      <c r="AN57" s="476"/>
      <c r="AO57" s="476"/>
    </row>
    <row r="58" spans="2:41" s="469" customFormat="1" ht="12.75" customHeight="1" x14ac:dyDescent="0.2">
      <c r="B58" s="362"/>
      <c r="C58" s="471"/>
      <c r="D58" s="479" t="s">
        <v>152</v>
      </c>
      <c r="E58" s="165" t="s">
        <v>296</v>
      </c>
      <c r="F58" s="165" t="s">
        <v>275</v>
      </c>
      <c r="G58" s="480" t="s">
        <v>235</v>
      </c>
      <c r="H58" s="481" t="s">
        <v>439</v>
      </c>
      <c r="I58" s="480" t="s">
        <v>333</v>
      </c>
      <c r="J58" s="480" t="s">
        <v>368</v>
      </c>
      <c r="K58" s="482" t="s">
        <v>299</v>
      </c>
      <c r="L58" s="483" t="s">
        <v>334</v>
      </c>
      <c r="M58" s="482" t="s">
        <v>238</v>
      </c>
      <c r="N58" s="259"/>
      <c r="O58" s="484" t="s">
        <v>502</v>
      </c>
      <c r="P58" s="484" t="s">
        <v>637</v>
      </c>
      <c r="Q58" s="584" t="s">
        <v>0</v>
      </c>
      <c r="R58" s="485"/>
      <c r="S58" s="487" t="s">
        <v>334</v>
      </c>
      <c r="T58" s="1130" t="s">
        <v>313</v>
      </c>
      <c r="U58" s="486" t="s">
        <v>467</v>
      </c>
      <c r="V58" s="216" t="s">
        <v>668</v>
      </c>
      <c r="W58" s="488"/>
      <c r="X58" s="552"/>
      <c r="Y58" s="490"/>
      <c r="Z58" s="491"/>
      <c r="AA58" s="492"/>
      <c r="AB58" s="491"/>
      <c r="AN58" s="476"/>
      <c r="AO58" s="490"/>
    </row>
    <row r="59" spans="2:41" s="469" customFormat="1" ht="12.75" customHeight="1" x14ac:dyDescent="0.2">
      <c r="B59" s="362"/>
      <c r="C59" s="471"/>
      <c r="D59" s="493"/>
      <c r="E59" s="165"/>
      <c r="F59" s="494"/>
      <c r="G59" s="480" t="s">
        <v>236</v>
      </c>
      <c r="H59" s="481" t="s">
        <v>440</v>
      </c>
      <c r="I59" s="480"/>
      <c r="J59" s="480"/>
      <c r="K59" s="482" t="s">
        <v>442</v>
      </c>
      <c r="L59" s="483"/>
      <c r="M59" s="482" t="s">
        <v>337</v>
      </c>
      <c r="N59" s="259"/>
      <c r="O59" s="484" t="s">
        <v>321</v>
      </c>
      <c r="P59" s="484" t="s">
        <v>636</v>
      </c>
      <c r="Q59" s="1176">
        <f>tab!$E$55</f>
        <v>0.62</v>
      </c>
      <c r="R59" s="485" t="s">
        <v>1</v>
      </c>
      <c r="S59" s="487" t="s">
        <v>367</v>
      </c>
      <c r="T59" s="1130" t="s">
        <v>434</v>
      </c>
      <c r="U59" s="486"/>
      <c r="V59" s="487" t="s">
        <v>367</v>
      </c>
      <c r="W59" s="495"/>
      <c r="X59" s="552"/>
      <c r="AO59" s="497"/>
    </row>
    <row r="60" spans="2:41" ht="12.75" customHeight="1" x14ac:dyDescent="0.2">
      <c r="C60" s="108"/>
      <c r="D60" s="222"/>
      <c r="E60" s="109"/>
      <c r="F60" s="109"/>
      <c r="G60" s="498"/>
      <c r="H60" s="499"/>
      <c r="I60" s="500"/>
      <c r="J60" s="500"/>
      <c r="K60" s="501"/>
      <c r="L60" s="498"/>
      <c r="M60" s="501"/>
      <c r="N60" s="498"/>
      <c r="O60" s="502"/>
      <c r="P60" s="503"/>
      <c r="Q60" s="503"/>
      <c r="R60" s="503"/>
      <c r="S60" s="503"/>
      <c r="T60" s="694"/>
      <c r="U60" s="138"/>
      <c r="V60" s="504"/>
      <c r="W60" s="188"/>
      <c r="AC60" s="86"/>
      <c r="AD60" s="86"/>
      <c r="AL60" s="86"/>
      <c r="AM60" s="86"/>
      <c r="AO60" s="506"/>
    </row>
    <row r="61" spans="2:41" ht="12.75" customHeight="1" x14ac:dyDescent="0.2">
      <c r="C61" s="108"/>
      <c r="D61" s="507" t="str">
        <f>IF(dir!D38="","",dir!D38)</f>
        <v/>
      </c>
      <c r="E61" s="115" t="str">
        <f>IF(dir!E38=0,"",dir!E38)</f>
        <v/>
      </c>
      <c r="F61" s="115" t="str">
        <f>IF(dir!F38=0,"",dir!F38)</f>
        <v/>
      </c>
      <c r="G61" s="132" t="str">
        <f>IF(dir!G38="","",dir!G38+1)</f>
        <v/>
      </c>
      <c r="H61" s="508" t="str">
        <f>IF(dir!H38="","",dir!H38)</f>
        <v/>
      </c>
      <c r="I61" s="150" t="str">
        <f>IF(I38=0,"",I38)</f>
        <v/>
      </c>
      <c r="J61" s="150" t="str">
        <f>IF(E61="","",(IF(dir!J38+1&gt;LOOKUP(I61,schaal2011,regels2011),dir!J38,dir!J38+1)))</f>
        <v/>
      </c>
      <c r="K61" s="509" t="str">
        <f>IF(dir!K38="","",dir!K38)</f>
        <v/>
      </c>
      <c r="L61" s="510" t="str">
        <f>IF(dir!L38="","",dir!L38)</f>
        <v/>
      </c>
      <c r="M61" s="568" t="str">
        <f t="shared" ref="M61:M70" si="17">(IF(L61="",(K61),(K61)-L61))</f>
        <v/>
      </c>
      <c r="N61" s="512"/>
      <c r="O61" s="569" t="str">
        <f>IF(I61="","",VLOOKUP(I61,tab!$A$68:$V$108,J61+2,FALSE))</f>
        <v/>
      </c>
      <c r="P61" s="570" t="str">
        <f t="shared" ref="P61:P70" si="18">IF(E61="","",(O61*M61*12))</f>
        <v/>
      </c>
      <c r="Q61" s="1173">
        <f>$Q$59</f>
        <v>0.62</v>
      </c>
      <c r="R61" s="570" t="str">
        <f>IF(E61="","",(P61)*Q61)</f>
        <v/>
      </c>
      <c r="S61" s="570">
        <f>IF(L61="",0,(((O61*12)*L61)*(1+tab!$D$55)*tab!$F$57))</f>
        <v>0</v>
      </c>
      <c r="T61" s="1134">
        <f t="shared" ref="T61:T70" si="19">IF(E61="",0,(P61+R61+S61))</f>
        <v>0</v>
      </c>
      <c r="U61" s="571">
        <f t="shared" ref="U61:U70" si="20">IF(G61&lt;25,0,IF(G61=25,25,IF(G61&lt;40,0,IF(G61=40,40,IF(G61&gt;=40,0)))))</f>
        <v>0</v>
      </c>
      <c r="V61" s="1151">
        <f t="shared" ref="V61:V70" si="21">IF(U61=25,(O61*1.08*(K61)/2),IF(U61=40,(O61*1.08*(K61)),IF(U61=0,0)))</f>
        <v>0</v>
      </c>
      <c r="W61" s="133"/>
      <c r="AA61" s="552"/>
      <c r="AJ61" s="552"/>
    </row>
    <row r="62" spans="2:41" ht="12.75" customHeight="1" x14ac:dyDescent="0.2">
      <c r="C62" s="108"/>
      <c r="D62" s="507" t="str">
        <f>IF(dir!D39="","",dir!D39)</f>
        <v/>
      </c>
      <c r="E62" s="115" t="str">
        <f>IF(dir!E39=0,"",dir!E39)</f>
        <v/>
      </c>
      <c r="F62" s="115" t="str">
        <f>IF(dir!F39=0,"",dir!F39)</f>
        <v/>
      </c>
      <c r="G62" s="132" t="str">
        <f>IF(dir!G39="","",dir!G39+1)</f>
        <v/>
      </c>
      <c r="H62" s="508" t="str">
        <f>IF(dir!H39="","",dir!H39)</f>
        <v/>
      </c>
      <c r="I62" s="150" t="str">
        <f t="shared" ref="I62:I67" si="22">IF(I39=0,"",I39)</f>
        <v/>
      </c>
      <c r="J62" s="150" t="str">
        <f>IF(E62="","",(IF(dir!J39+1&gt;LOOKUP(I62,schaal2011,regels2011),dir!J39,dir!J39+1)))</f>
        <v/>
      </c>
      <c r="K62" s="509" t="str">
        <f>IF(dir!K39="","",dir!K39)</f>
        <v/>
      </c>
      <c r="L62" s="510" t="str">
        <f>IF(dir!L39="","",dir!L39)</f>
        <v/>
      </c>
      <c r="M62" s="568" t="str">
        <f t="shared" si="17"/>
        <v/>
      </c>
      <c r="N62" s="512"/>
      <c r="O62" s="569" t="str">
        <f>IF(I62="","",VLOOKUP(I62,tab!$A$68:$V$108,J62+2,FALSE))</f>
        <v/>
      </c>
      <c r="P62" s="570" t="str">
        <f t="shared" si="18"/>
        <v/>
      </c>
      <c r="Q62" s="1173">
        <f t="shared" ref="Q62:Q69" si="23">$Q$59</f>
        <v>0.62</v>
      </c>
      <c r="R62" s="570" t="str">
        <f t="shared" ref="R62:R70" si="24">IF(E62="","",(P62)*Q62)</f>
        <v/>
      </c>
      <c r="S62" s="570">
        <f>IF(L62="",0,(((O62*12)*L62)*(1+tab!$D$55)*tab!$F$57))</f>
        <v>0</v>
      </c>
      <c r="T62" s="1134">
        <f t="shared" si="19"/>
        <v>0</v>
      </c>
      <c r="U62" s="571">
        <f t="shared" si="20"/>
        <v>0</v>
      </c>
      <c r="V62" s="1151">
        <f t="shared" si="21"/>
        <v>0</v>
      </c>
      <c r="W62" s="518"/>
      <c r="AA62" s="552"/>
      <c r="AJ62" s="552"/>
    </row>
    <row r="63" spans="2:41" ht="12.75" customHeight="1" x14ac:dyDescent="0.2">
      <c r="C63" s="108"/>
      <c r="D63" s="507" t="str">
        <f>IF(dir!D40="","",dir!D40)</f>
        <v/>
      </c>
      <c r="E63" s="115" t="str">
        <f>IF(dir!E40=0,"",dir!E40)</f>
        <v/>
      </c>
      <c r="F63" s="115" t="str">
        <f>IF(dir!F40=0,"",dir!F40)</f>
        <v/>
      </c>
      <c r="G63" s="132" t="str">
        <f>IF(dir!G40="","",dir!G40+1)</f>
        <v/>
      </c>
      <c r="H63" s="508" t="str">
        <f>IF(dir!H40="","",dir!H40)</f>
        <v/>
      </c>
      <c r="I63" s="150" t="str">
        <f t="shared" si="22"/>
        <v/>
      </c>
      <c r="J63" s="150" t="str">
        <f>IF(E63="","",(IF(dir!J40+1&gt;LOOKUP(I63,schaal2011,regels2011),dir!J40,dir!J40+1)))</f>
        <v/>
      </c>
      <c r="K63" s="509" t="str">
        <f>IF(dir!K40="","",dir!K40)</f>
        <v/>
      </c>
      <c r="L63" s="510" t="str">
        <f>IF(dir!L40="","",dir!L40)</f>
        <v/>
      </c>
      <c r="M63" s="568" t="str">
        <f t="shared" si="17"/>
        <v/>
      </c>
      <c r="N63" s="512"/>
      <c r="O63" s="569" t="str">
        <f>IF(I63="","",VLOOKUP(I63,tab!$A$68:$V$108,J63+2,FALSE))</f>
        <v/>
      </c>
      <c r="P63" s="570" t="str">
        <f t="shared" si="18"/>
        <v/>
      </c>
      <c r="Q63" s="1173">
        <f t="shared" si="23"/>
        <v>0.62</v>
      </c>
      <c r="R63" s="570" t="str">
        <f t="shared" si="24"/>
        <v/>
      </c>
      <c r="S63" s="570">
        <f>IF(L63="",0,(((O63*12)*L63)*(1+tab!$D$55)*tab!$F$57))</f>
        <v>0</v>
      </c>
      <c r="T63" s="1134">
        <f t="shared" si="19"/>
        <v>0</v>
      </c>
      <c r="U63" s="571">
        <f t="shared" si="20"/>
        <v>0</v>
      </c>
      <c r="V63" s="1151">
        <f t="shared" si="21"/>
        <v>0</v>
      </c>
      <c r="W63" s="518"/>
      <c r="AA63" s="552"/>
      <c r="AJ63" s="552"/>
    </row>
    <row r="64" spans="2:41" ht="12.75" customHeight="1" x14ac:dyDescent="0.2">
      <c r="C64" s="108"/>
      <c r="D64" s="507" t="str">
        <f>IF(dir!D41="","",dir!D41)</f>
        <v/>
      </c>
      <c r="E64" s="115" t="str">
        <f>IF(dir!E41=0,"",dir!E41)</f>
        <v/>
      </c>
      <c r="F64" s="115" t="str">
        <f>IF(dir!F41=0,"",dir!F41)</f>
        <v/>
      </c>
      <c r="G64" s="132" t="str">
        <f>IF(dir!G41="","",dir!G41+1)</f>
        <v/>
      </c>
      <c r="H64" s="508" t="str">
        <f>IF(dir!H41="","",dir!H41)</f>
        <v/>
      </c>
      <c r="I64" s="150" t="str">
        <f t="shared" si="22"/>
        <v/>
      </c>
      <c r="J64" s="150" t="str">
        <f>IF(E64="","",(IF(dir!J41+1&gt;LOOKUP(I64,schaal2011,regels2011),dir!J41,dir!J41+1)))</f>
        <v/>
      </c>
      <c r="K64" s="509" t="str">
        <f>IF(dir!K41="","",dir!K41)</f>
        <v/>
      </c>
      <c r="L64" s="510" t="str">
        <f>IF(dir!L41="","",dir!L41)</f>
        <v/>
      </c>
      <c r="M64" s="568" t="str">
        <f t="shared" si="17"/>
        <v/>
      </c>
      <c r="N64" s="512"/>
      <c r="O64" s="569" t="str">
        <f>IF(I64="","",VLOOKUP(I64,tab!$A$68:$V$108,J64+2,FALSE))</f>
        <v/>
      </c>
      <c r="P64" s="570" t="str">
        <f t="shared" si="18"/>
        <v/>
      </c>
      <c r="Q64" s="1173">
        <f t="shared" si="23"/>
        <v>0.62</v>
      </c>
      <c r="R64" s="570" t="str">
        <f t="shared" si="24"/>
        <v/>
      </c>
      <c r="S64" s="570">
        <f>IF(L64="",0,(((O64*12)*L64)*(1+tab!$D$55)*tab!$F$57))</f>
        <v>0</v>
      </c>
      <c r="T64" s="1134">
        <f t="shared" si="19"/>
        <v>0</v>
      </c>
      <c r="U64" s="571">
        <f t="shared" si="20"/>
        <v>0</v>
      </c>
      <c r="V64" s="1151">
        <f t="shared" si="21"/>
        <v>0</v>
      </c>
      <c r="W64" s="518"/>
      <c r="AA64" s="552"/>
      <c r="AJ64" s="552"/>
    </row>
    <row r="65" spans="2:41" ht="12.75" customHeight="1" x14ac:dyDescent="0.2">
      <c r="C65" s="108"/>
      <c r="D65" s="507" t="str">
        <f>IF(dir!D42="","",dir!D42)</f>
        <v/>
      </c>
      <c r="E65" s="115" t="str">
        <f>IF(dir!E42=0,"",dir!E42)</f>
        <v/>
      </c>
      <c r="F65" s="115" t="str">
        <f>IF(dir!F42=0,"",dir!F42)</f>
        <v/>
      </c>
      <c r="G65" s="132" t="str">
        <f>IF(dir!G42="","",dir!G42+1)</f>
        <v/>
      </c>
      <c r="H65" s="508" t="str">
        <f>IF(dir!H42="","",dir!H42)</f>
        <v/>
      </c>
      <c r="I65" s="150" t="str">
        <f t="shared" si="22"/>
        <v/>
      </c>
      <c r="J65" s="150" t="str">
        <f>IF(E65="","",(IF(dir!J42+1&gt;LOOKUP(I65,schaal2011,regels2011),dir!J42,dir!J42+1)))</f>
        <v/>
      </c>
      <c r="K65" s="509" t="str">
        <f>IF(dir!K42="","",dir!K42)</f>
        <v/>
      </c>
      <c r="L65" s="510" t="str">
        <f>IF(dir!L42="","",dir!L42)</f>
        <v/>
      </c>
      <c r="M65" s="568" t="str">
        <f t="shared" si="17"/>
        <v/>
      </c>
      <c r="N65" s="512"/>
      <c r="O65" s="569" t="str">
        <f>IF(I65="","",VLOOKUP(I65,tab!$A$68:$V$108,J65+2,FALSE))</f>
        <v/>
      </c>
      <c r="P65" s="570" t="str">
        <f t="shared" si="18"/>
        <v/>
      </c>
      <c r="Q65" s="1173">
        <f t="shared" si="23"/>
        <v>0.62</v>
      </c>
      <c r="R65" s="514" t="str">
        <f t="shared" si="24"/>
        <v/>
      </c>
      <c r="S65" s="570">
        <f>IF(L65="",0,(((O65*12)*L65)*(1+tab!$D$55)*tab!$F$57))</f>
        <v>0</v>
      </c>
      <c r="T65" s="1134">
        <f t="shared" si="19"/>
        <v>0</v>
      </c>
      <c r="U65" s="571">
        <f t="shared" si="20"/>
        <v>0</v>
      </c>
      <c r="V65" s="1151">
        <f t="shared" si="21"/>
        <v>0</v>
      </c>
      <c r="W65" s="518"/>
      <c r="AA65" s="552"/>
      <c r="AJ65" s="552"/>
    </row>
    <row r="66" spans="2:41" ht="12.75" customHeight="1" x14ac:dyDescent="0.2">
      <c r="C66" s="108"/>
      <c r="D66" s="507" t="str">
        <f>IF(dir!D43="","",dir!D43)</f>
        <v/>
      </c>
      <c r="E66" s="115" t="str">
        <f>IF(dir!E43=0,"",dir!E43)</f>
        <v/>
      </c>
      <c r="F66" s="115" t="str">
        <f>IF(dir!F43=0,"",dir!F43)</f>
        <v/>
      </c>
      <c r="G66" s="132" t="str">
        <f>IF(dir!G43="","",dir!G43+1)</f>
        <v/>
      </c>
      <c r="H66" s="508" t="str">
        <f>IF(dir!H43="","",dir!H43)</f>
        <v/>
      </c>
      <c r="I66" s="150" t="str">
        <f t="shared" si="22"/>
        <v/>
      </c>
      <c r="J66" s="150" t="str">
        <f>IF(E66="","",(IF(dir!J43+1&gt;LOOKUP(I66,schaal2011,regels2011),dir!J43,dir!J43+1)))</f>
        <v/>
      </c>
      <c r="K66" s="509" t="str">
        <f>IF(dir!K43="","",dir!K43)</f>
        <v/>
      </c>
      <c r="L66" s="510" t="str">
        <f>IF(dir!L43="","",dir!L43)</f>
        <v/>
      </c>
      <c r="M66" s="568" t="str">
        <f t="shared" si="17"/>
        <v/>
      </c>
      <c r="N66" s="512"/>
      <c r="O66" s="569" t="str">
        <f>IF(I66="","",VLOOKUP(I66,tab!$A$68:$V$108,J66+2,FALSE))</f>
        <v/>
      </c>
      <c r="P66" s="570" t="str">
        <f t="shared" si="18"/>
        <v/>
      </c>
      <c r="Q66" s="1173">
        <f t="shared" si="23"/>
        <v>0.62</v>
      </c>
      <c r="R66" s="570" t="str">
        <f t="shared" si="24"/>
        <v/>
      </c>
      <c r="S66" s="570">
        <f>IF(L66="",0,(((O66*12)*L66)*(1+tab!$D$55)*tab!$F$57))</f>
        <v>0</v>
      </c>
      <c r="T66" s="1134">
        <f t="shared" si="19"/>
        <v>0</v>
      </c>
      <c r="U66" s="571">
        <f t="shared" si="20"/>
        <v>0</v>
      </c>
      <c r="V66" s="1151">
        <f t="shared" si="21"/>
        <v>0</v>
      </c>
      <c r="W66" s="518"/>
      <c r="AA66" s="552"/>
      <c r="AJ66" s="552"/>
    </row>
    <row r="67" spans="2:41" ht="12.75" customHeight="1" x14ac:dyDescent="0.2">
      <c r="C67" s="108"/>
      <c r="D67" s="507" t="str">
        <f>IF(dir!D44="","",dir!D44)</f>
        <v/>
      </c>
      <c r="E67" s="115" t="str">
        <f>IF(dir!E44=0,"",dir!E44)</f>
        <v/>
      </c>
      <c r="F67" s="115" t="str">
        <f>IF(dir!F44=0,"",dir!F44)</f>
        <v/>
      </c>
      <c r="G67" s="132" t="str">
        <f>IF(dir!G44="","",dir!G44+1)</f>
        <v/>
      </c>
      <c r="H67" s="508" t="str">
        <f>IF(dir!H44="","",dir!H44)</f>
        <v/>
      </c>
      <c r="I67" s="150" t="str">
        <f t="shared" si="22"/>
        <v/>
      </c>
      <c r="J67" s="150" t="str">
        <f>IF(E67="","",(IF(dir!J44+1&gt;LOOKUP(I67,schaal2011,regels2011),dir!J44,dir!J44+1)))</f>
        <v/>
      </c>
      <c r="K67" s="509" t="str">
        <f>IF(dir!K44="","",dir!K44)</f>
        <v/>
      </c>
      <c r="L67" s="510" t="str">
        <f>IF(dir!L44="","",dir!L44)</f>
        <v/>
      </c>
      <c r="M67" s="568" t="str">
        <f t="shared" si="17"/>
        <v/>
      </c>
      <c r="N67" s="512"/>
      <c r="O67" s="569" t="str">
        <f>IF(I67="","",VLOOKUP(I67,tab!$A$68:$V$108,J67+2,FALSE))</f>
        <v/>
      </c>
      <c r="P67" s="570" t="str">
        <f t="shared" si="18"/>
        <v/>
      </c>
      <c r="Q67" s="1173">
        <f t="shared" si="23"/>
        <v>0.62</v>
      </c>
      <c r="R67" s="570" t="str">
        <f t="shared" si="24"/>
        <v/>
      </c>
      <c r="S67" s="570">
        <f>IF(L67="",0,(((O67*12)*L67)*(1+tab!$D$55)*tab!$F$57))</f>
        <v>0</v>
      </c>
      <c r="T67" s="1134">
        <f t="shared" si="19"/>
        <v>0</v>
      </c>
      <c r="U67" s="571">
        <f t="shared" si="20"/>
        <v>0</v>
      </c>
      <c r="V67" s="1151">
        <f t="shared" si="21"/>
        <v>0</v>
      </c>
      <c r="W67" s="518"/>
      <c r="AA67" s="552"/>
      <c r="AJ67" s="552"/>
    </row>
    <row r="68" spans="2:41" ht="12.75" customHeight="1" x14ac:dyDescent="0.2">
      <c r="C68" s="108"/>
      <c r="D68" s="507" t="str">
        <f>IF(dir!D45="","",dir!D45)</f>
        <v/>
      </c>
      <c r="E68" s="115" t="str">
        <f>IF(dir!E45=0,"",dir!E45)</f>
        <v/>
      </c>
      <c r="F68" s="115" t="str">
        <f>IF(dir!F45=0,"",dir!F45)</f>
        <v/>
      </c>
      <c r="G68" s="132" t="str">
        <f>IF(dir!G45="","",dir!G45+1)</f>
        <v/>
      </c>
      <c r="H68" s="508" t="str">
        <f>IF(dir!H45="","",dir!H45)</f>
        <v/>
      </c>
      <c r="I68" s="150" t="str">
        <f>IF(I45=0,"",I45)</f>
        <v/>
      </c>
      <c r="J68" s="150" t="str">
        <f>IF(E68="","",(IF(dir!J45+1&gt;LOOKUP(I68,schaal2011,regels2011),dir!J45,dir!J45+1)))</f>
        <v/>
      </c>
      <c r="K68" s="509" t="str">
        <f>IF(dir!K45="","",dir!K45)</f>
        <v/>
      </c>
      <c r="L68" s="510" t="str">
        <f>IF(dir!L45="","",dir!L45)</f>
        <v/>
      </c>
      <c r="M68" s="568" t="str">
        <f t="shared" si="17"/>
        <v/>
      </c>
      <c r="N68" s="512"/>
      <c r="O68" s="569" t="str">
        <f>IF(I68="","",VLOOKUP(I68,tab!$A$68:$V$108,J68+2,FALSE))</f>
        <v/>
      </c>
      <c r="P68" s="570" t="str">
        <f t="shared" si="18"/>
        <v/>
      </c>
      <c r="Q68" s="1173">
        <f t="shared" si="23"/>
        <v>0.62</v>
      </c>
      <c r="R68" s="570" t="str">
        <f t="shared" si="24"/>
        <v/>
      </c>
      <c r="S68" s="570">
        <f>IF(L68="",0,(((O68*12)*L68)*(1+tab!$D$55)*tab!$F$57))</f>
        <v>0</v>
      </c>
      <c r="T68" s="1134">
        <f t="shared" si="19"/>
        <v>0</v>
      </c>
      <c r="U68" s="571">
        <f t="shared" si="20"/>
        <v>0</v>
      </c>
      <c r="V68" s="1151">
        <f t="shared" si="21"/>
        <v>0</v>
      </c>
      <c r="W68" s="518"/>
      <c r="AA68" s="552"/>
      <c r="AJ68" s="552"/>
    </row>
    <row r="69" spans="2:41" ht="12.75" customHeight="1" x14ac:dyDescent="0.2">
      <c r="C69" s="108"/>
      <c r="D69" s="507" t="str">
        <f>IF(dir!D46="","",dir!D46)</f>
        <v/>
      </c>
      <c r="E69" s="115" t="str">
        <f>IF(dir!E46=0,"",dir!E46)</f>
        <v/>
      </c>
      <c r="F69" s="115" t="str">
        <f>IF(dir!F46=0,"",dir!F46)</f>
        <v/>
      </c>
      <c r="G69" s="132" t="str">
        <f>IF(dir!G46="","",dir!G46+1)</f>
        <v/>
      </c>
      <c r="H69" s="508" t="str">
        <f>IF(dir!H46="","",dir!H46)</f>
        <v/>
      </c>
      <c r="I69" s="150" t="str">
        <f>IF(I46=0,"",I46)</f>
        <v/>
      </c>
      <c r="J69" s="150" t="str">
        <f>IF(E69="","",(IF(dir!J46+1&gt;LOOKUP(I69,schaal2011,regels2011),dir!J46,dir!J46+1)))</f>
        <v/>
      </c>
      <c r="K69" s="509" t="str">
        <f>IF(dir!K46="","",dir!K46)</f>
        <v/>
      </c>
      <c r="L69" s="510" t="str">
        <f>IF(dir!L46="","",dir!L46)</f>
        <v/>
      </c>
      <c r="M69" s="568" t="str">
        <f t="shared" si="17"/>
        <v/>
      </c>
      <c r="N69" s="512"/>
      <c r="O69" s="569" t="str">
        <f>IF(I69="","",VLOOKUP(I69,tab!$A$68:$V$108,J69+2,FALSE))</f>
        <v/>
      </c>
      <c r="P69" s="570" t="str">
        <f t="shared" si="18"/>
        <v/>
      </c>
      <c r="Q69" s="1173">
        <f t="shared" si="23"/>
        <v>0.62</v>
      </c>
      <c r="R69" s="570" t="str">
        <f t="shared" si="24"/>
        <v/>
      </c>
      <c r="S69" s="570">
        <f>IF(L69="",0,(((O69*12)*L69)*(1+tab!$D$55)*tab!$F$57))</f>
        <v>0</v>
      </c>
      <c r="T69" s="1134">
        <f t="shared" si="19"/>
        <v>0</v>
      </c>
      <c r="U69" s="571">
        <f t="shared" si="20"/>
        <v>0</v>
      </c>
      <c r="V69" s="1151">
        <f t="shared" si="21"/>
        <v>0</v>
      </c>
      <c r="W69" s="518"/>
      <c r="AA69" s="552"/>
      <c r="AJ69" s="552"/>
    </row>
    <row r="70" spans="2:41" ht="12.75" customHeight="1" x14ac:dyDescent="0.2">
      <c r="C70" s="108"/>
      <c r="D70" s="507" t="str">
        <f>IF(dir!D47="","",dir!D47)</f>
        <v/>
      </c>
      <c r="E70" s="115" t="str">
        <f>IF(dir!E47=0,"",dir!E47)</f>
        <v/>
      </c>
      <c r="F70" s="115" t="str">
        <f>IF(dir!F47=0,"",dir!F47)</f>
        <v/>
      </c>
      <c r="G70" s="132" t="str">
        <f>IF(dir!G47="","",dir!G47+1)</f>
        <v/>
      </c>
      <c r="H70" s="508" t="str">
        <f>IF(dir!H47="","",dir!H47)</f>
        <v/>
      </c>
      <c r="I70" s="150" t="str">
        <f>IF(I47=0,"",I47)</f>
        <v/>
      </c>
      <c r="J70" s="150" t="str">
        <f>IF(E70="","",(IF(dir!J47+1&gt;LOOKUP(I70,schaal2011,regels2011),dir!J47,dir!J47+1)))</f>
        <v/>
      </c>
      <c r="K70" s="509" t="str">
        <f>IF(dir!K47="","",dir!K47)</f>
        <v/>
      </c>
      <c r="L70" s="510" t="str">
        <f>IF(dir!L47="","",dir!L47)</f>
        <v/>
      </c>
      <c r="M70" s="568" t="str">
        <f t="shared" si="17"/>
        <v/>
      </c>
      <c r="N70" s="512"/>
      <c r="O70" s="569" t="str">
        <f>IF(I70="","",VLOOKUP(I70,tab!$A$68:$V$108,J70+2,FALSE))</f>
        <v/>
      </c>
      <c r="P70" s="570" t="str">
        <f t="shared" si="18"/>
        <v/>
      </c>
      <c r="Q70" s="1173">
        <f>$Q$59</f>
        <v>0.62</v>
      </c>
      <c r="R70" s="570" t="str">
        <f t="shared" si="24"/>
        <v/>
      </c>
      <c r="S70" s="570">
        <f>IF(L70="",0,(((O70*12)*L70)*(1+tab!$D$55)*tab!$F$57))</f>
        <v>0</v>
      </c>
      <c r="T70" s="1134">
        <f t="shared" si="19"/>
        <v>0</v>
      </c>
      <c r="U70" s="571">
        <f t="shared" si="20"/>
        <v>0</v>
      </c>
      <c r="V70" s="1151">
        <f t="shared" si="21"/>
        <v>0</v>
      </c>
      <c r="W70" s="518"/>
      <c r="AA70" s="552"/>
      <c r="AJ70" s="552"/>
    </row>
    <row r="71" spans="2:41" ht="12.75" customHeight="1" x14ac:dyDescent="0.2">
      <c r="C71" s="108"/>
      <c r="D71" s="522"/>
      <c r="E71" s="134"/>
      <c r="F71" s="134"/>
      <c r="G71" s="523"/>
      <c r="H71" s="524"/>
      <c r="I71" s="113"/>
      <c r="J71" s="113"/>
      <c r="K71" s="525">
        <f>SUM(K61:K70)</f>
        <v>0</v>
      </c>
      <c r="L71" s="525">
        <f>SUM(L61:L70)</f>
        <v>0</v>
      </c>
      <c r="M71" s="525">
        <f>SUM(M61:M70)</f>
        <v>0</v>
      </c>
      <c r="N71" s="523"/>
      <c r="O71" s="526">
        <f t="shared" ref="O71:V71" si="25">SUM(O61:O70)</f>
        <v>0</v>
      </c>
      <c r="P71" s="526">
        <f t="shared" si="25"/>
        <v>0</v>
      </c>
      <c r="Q71" s="527"/>
      <c r="R71" s="526">
        <f t="shared" si="25"/>
        <v>0</v>
      </c>
      <c r="S71" s="526">
        <f t="shared" si="25"/>
        <v>0</v>
      </c>
      <c r="T71" s="526">
        <f t="shared" si="25"/>
        <v>0</v>
      </c>
      <c r="U71" s="528">
        <f t="shared" si="25"/>
        <v>0</v>
      </c>
      <c r="V71" s="1146">
        <f t="shared" si="25"/>
        <v>0</v>
      </c>
      <c r="W71" s="518"/>
      <c r="AA71" s="552"/>
      <c r="AJ71" s="552"/>
    </row>
    <row r="72" spans="2:41" ht="12.75" customHeight="1" x14ac:dyDescent="0.2">
      <c r="C72" s="116"/>
      <c r="D72" s="531"/>
      <c r="E72" s="168"/>
      <c r="F72" s="168"/>
      <c r="G72" s="235"/>
      <c r="H72" s="532"/>
      <c r="I72" s="235"/>
      <c r="J72" s="533"/>
      <c r="K72" s="534"/>
      <c r="L72" s="533"/>
      <c r="M72" s="534"/>
      <c r="N72" s="168"/>
      <c r="O72" s="533"/>
      <c r="P72" s="527"/>
      <c r="Q72" s="527"/>
      <c r="R72" s="527"/>
      <c r="S72" s="527"/>
      <c r="T72" s="527"/>
      <c r="U72" s="535"/>
      <c r="V72" s="1147"/>
      <c r="W72" s="537"/>
      <c r="AA72" s="552"/>
      <c r="AJ72" s="552"/>
    </row>
    <row r="73" spans="2:41" ht="12.75" customHeight="1" x14ac:dyDescent="0.2">
      <c r="I73" s="202"/>
      <c r="M73" s="366"/>
      <c r="N73" s="363"/>
      <c r="O73" s="365"/>
      <c r="P73" s="573"/>
      <c r="Q73" s="573"/>
      <c r="R73" s="573"/>
      <c r="S73" s="573"/>
      <c r="U73" s="521"/>
      <c r="V73" s="1152"/>
      <c r="W73" s="433"/>
      <c r="AA73" s="552"/>
      <c r="AJ73" s="552"/>
    </row>
    <row r="74" spans="2:41" ht="12.75" customHeight="1" x14ac:dyDescent="0.2">
      <c r="I74" s="202"/>
      <c r="M74" s="366"/>
      <c r="N74" s="363"/>
      <c r="O74" s="365"/>
      <c r="P74" s="573"/>
      <c r="Q74" s="573"/>
      <c r="R74" s="573"/>
      <c r="S74" s="573"/>
      <c r="U74" s="521"/>
      <c r="V74" s="1152"/>
      <c r="W74" s="433"/>
      <c r="AA74" s="552"/>
      <c r="AJ74" s="552"/>
    </row>
    <row r="75" spans="2:41" ht="12.75" customHeight="1" x14ac:dyDescent="0.2">
      <c r="C75" s="86" t="s">
        <v>290</v>
      </c>
      <c r="E75" s="566" t="str">
        <f>tab!G2</f>
        <v>2016/17</v>
      </c>
      <c r="I75" s="202"/>
      <c r="K75" s="517"/>
      <c r="L75" s="366"/>
      <c r="M75" s="366"/>
      <c r="O75" s="564"/>
      <c r="P75" s="506"/>
      <c r="Q75" s="506"/>
      <c r="R75" s="506"/>
      <c r="S75" s="506"/>
      <c r="T75" s="1133"/>
      <c r="V75" s="1150"/>
    </row>
    <row r="76" spans="2:41" ht="12.75" customHeight="1" x14ac:dyDescent="0.2">
      <c r="C76" s="363" t="s">
        <v>314</v>
      </c>
      <c r="E76" s="567">
        <f>tab!H3</f>
        <v>42644</v>
      </c>
      <c r="I76" s="202"/>
      <c r="K76" s="517"/>
      <c r="L76" s="366"/>
      <c r="M76" s="366"/>
      <c r="O76" s="564"/>
      <c r="P76" s="506"/>
      <c r="Q76" s="506"/>
      <c r="R76" s="506"/>
      <c r="S76" s="506"/>
      <c r="T76" s="1133"/>
      <c r="V76" s="1150"/>
    </row>
    <row r="77" spans="2:41" s="543" customFormat="1" ht="12.75" customHeight="1" x14ac:dyDescent="0.2">
      <c r="C77" s="104"/>
      <c r="D77" s="459"/>
      <c r="E77" s="460"/>
      <c r="F77" s="155"/>
      <c r="G77" s="210"/>
      <c r="H77" s="461"/>
      <c r="I77" s="462"/>
      <c r="J77" s="462"/>
      <c r="K77" s="463"/>
      <c r="L77" s="462"/>
      <c r="M77" s="464"/>
      <c r="N77" s="105"/>
      <c r="O77" s="465"/>
      <c r="P77" s="105"/>
      <c r="Q77" s="105"/>
      <c r="R77" s="105"/>
      <c r="S77" s="105"/>
      <c r="T77" s="1129"/>
      <c r="U77" s="467"/>
      <c r="V77" s="1144"/>
      <c r="W77" s="186"/>
      <c r="AC77" s="546"/>
      <c r="AD77" s="547"/>
      <c r="AE77" s="546"/>
      <c r="AF77" s="546"/>
      <c r="AG77" s="546"/>
      <c r="AH77" s="546"/>
      <c r="AI77" s="548"/>
      <c r="AJ77" s="549"/>
      <c r="AK77" s="550"/>
      <c r="AL77" s="551"/>
      <c r="AM77" s="548"/>
    </row>
    <row r="78" spans="2:41" s="543" customFormat="1" ht="12.75" customHeight="1" x14ac:dyDescent="0.2">
      <c r="C78" s="104"/>
      <c r="D78" s="574"/>
      <c r="E78" s="575"/>
      <c r="F78" s="576"/>
      <c r="G78" s="577"/>
      <c r="H78" s="578"/>
      <c r="I78" s="579"/>
      <c r="J78" s="579"/>
      <c r="K78" s="580"/>
      <c r="L78" s="579"/>
      <c r="M78" s="581"/>
      <c r="N78" s="105"/>
      <c r="O78" s="582"/>
      <c r="P78" s="583"/>
      <c r="Q78" s="583"/>
      <c r="R78" s="583"/>
      <c r="S78" s="583"/>
      <c r="T78" s="1135"/>
      <c r="U78" s="467"/>
      <c r="V78" s="1144"/>
      <c r="W78" s="186"/>
      <c r="AC78" s="546"/>
      <c r="AD78" s="547"/>
      <c r="AE78" s="546"/>
      <c r="AF78" s="546"/>
      <c r="AG78" s="546"/>
      <c r="AH78" s="546"/>
      <c r="AI78" s="548"/>
      <c r="AJ78" s="549"/>
      <c r="AK78" s="550"/>
      <c r="AL78" s="551"/>
      <c r="AM78" s="548"/>
    </row>
    <row r="79" spans="2:41" s="469" customFormat="1" ht="12.75" customHeight="1" x14ac:dyDescent="0.2">
      <c r="B79" s="362"/>
      <c r="C79" s="471"/>
      <c r="D79" s="1280" t="s">
        <v>457</v>
      </c>
      <c r="E79" s="1281"/>
      <c r="F79" s="1281"/>
      <c r="G79" s="1281"/>
      <c r="H79" s="1281"/>
      <c r="I79" s="1281"/>
      <c r="J79" s="1281"/>
      <c r="K79" s="1281"/>
      <c r="L79" s="1281"/>
      <c r="M79" s="1282"/>
      <c r="N79" s="472"/>
      <c r="O79" s="1280" t="s">
        <v>298</v>
      </c>
      <c r="P79" s="1281"/>
      <c r="Q79" s="1281"/>
      <c r="R79" s="1281"/>
      <c r="S79" s="1281"/>
      <c r="T79" s="1282"/>
      <c r="U79" s="473"/>
      <c r="V79" s="216"/>
      <c r="W79" s="474"/>
      <c r="X79" s="476"/>
      <c r="Y79" s="476"/>
      <c r="Z79" s="477"/>
      <c r="AA79" s="478"/>
      <c r="AB79" s="477"/>
      <c r="AN79" s="476"/>
      <c r="AO79" s="476"/>
    </row>
    <row r="80" spans="2:41" s="469" customFormat="1" ht="12.75" customHeight="1" x14ac:dyDescent="0.2">
      <c r="B80" s="362"/>
      <c r="C80" s="471"/>
      <c r="D80" s="479" t="s">
        <v>152</v>
      </c>
      <c r="E80" s="165" t="s">
        <v>296</v>
      </c>
      <c r="F80" s="165" t="s">
        <v>275</v>
      </c>
      <c r="G80" s="480" t="s">
        <v>235</v>
      </c>
      <c r="H80" s="481" t="s">
        <v>439</v>
      </c>
      <c r="I80" s="480" t="s">
        <v>333</v>
      </c>
      <c r="J80" s="480" t="s">
        <v>368</v>
      </c>
      <c r="K80" s="482" t="s">
        <v>299</v>
      </c>
      <c r="L80" s="483" t="s">
        <v>334</v>
      </c>
      <c r="M80" s="482" t="s">
        <v>238</v>
      </c>
      <c r="N80" s="259"/>
      <c r="O80" s="484" t="s">
        <v>502</v>
      </c>
      <c r="P80" s="484" t="s">
        <v>637</v>
      </c>
      <c r="Q80" s="584" t="s">
        <v>0</v>
      </c>
      <c r="R80" s="485"/>
      <c r="S80" s="487" t="s">
        <v>334</v>
      </c>
      <c r="T80" s="1130" t="s">
        <v>313</v>
      </c>
      <c r="U80" s="486" t="s">
        <v>467</v>
      </c>
      <c r="V80" s="216" t="s">
        <v>668</v>
      </c>
      <c r="W80" s="488"/>
      <c r="X80" s="476"/>
      <c r="Y80" s="490"/>
      <c r="Z80" s="491"/>
      <c r="AA80" s="492"/>
      <c r="AB80" s="491"/>
      <c r="AN80" s="476"/>
      <c r="AO80" s="490"/>
    </row>
    <row r="81" spans="2:41" s="469" customFormat="1" ht="12.75" customHeight="1" x14ac:dyDescent="0.2">
      <c r="B81" s="362"/>
      <c r="C81" s="471"/>
      <c r="D81" s="493"/>
      <c r="E81" s="165"/>
      <c r="F81" s="494"/>
      <c r="G81" s="480" t="s">
        <v>236</v>
      </c>
      <c r="H81" s="481" t="s">
        <v>440</v>
      </c>
      <c r="I81" s="480"/>
      <c r="J81" s="480"/>
      <c r="K81" s="482" t="s">
        <v>442</v>
      </c>
      <c r="L81" s="483"/>
      <c r="M81" s="482" t="s">
        <v>337</v>
      </c>
      <c r="N81" s="259"/>
      <c r="O81" s="484" t="s">
        <v>321</v>
      </c>
      <c r="P81" s="484" t="s">
        <v>636</v>
      </c>
      <c r="Q81" s="1176">
        <f>tab!$E$55</f>
        <v>0.62</v>
      </c>
      <c r="R81" s="485" t="s">
        <v>1</v>
      </c>
      <c r="S81" s="487" t="s">
        <v>367</v>
      </c>
      <c r="T81" s="1130" t="s">
        <v>434</v>
      </c>
      <c r="U81" s="486"/>
      <c r="V81" s="487" t="s">
        <v>367</v>
      </c>
      <c r="W81" s="495"/>
      <c r="X81" s="476"/>
      <c r="AO81" s="497"/>
    </row>
    <row r="82" spans="2:41" ht="12.75" customHeight="1" x14ac:dyDescent="0.2">
      <c r="C82" s="108"/>
      <c r="D82" s="222"/>
      <c r="E82" s="109"/>
      <c r="F82" s="109"/>
      <c r="G82" s="498"/>
      <c r="H82" s="499"/>
      <c r="I82" s="500"/>
      <c r="J82" s="500"/>
      <c r="K82" s="501"/>
      <c r="L82" s="498"/>
      <c r="M82" s="501"/>
      <c r="N82" s="498"/>
      <c r="O82" s="502"/>
      <c r="P82" s="503"/>
      <c r="Q82" s="503"/>
      <c r="R82" s="503"/>
      <c r="S82" s="503"/>
      <c r="T82" s="694"/>
      <c r="U82" s="138"/>
      <c r="V82" s="504"/>
      <c r="W82" s="188"/>
      <c r="X82" s="476"/>
      <c r="AC82" s="86"/>
      <c r="AD82" s="86"/>
      <c r="AL82" s="86"/>
      <c r="AM82" s="86"/>
      <c r="AO82" s="506"/>
    </row>
    <row r="83" spans="2:41" ht="12.75" customHeight="1" x14ac:dyDescent="0.2">
      <c r="C83" s="108"/>
      <c r="D83" s="507" t="str">
        <f>IF(dir!D61=0,"",dir!D61)</f>
        <v/>
      </c>
      <c r="E83" s="115" t="str">
        <f>IF(dir!E61=0,"",dir!E61)</f>
        <v/>
      </c>
      <c r="F83" s="115" t="str">
        <f>IF(dir!F61=0,"",dir!F61)</f>
        <v/>
      </c>
      <c r="G83" s="132" t="str">
        <f>IF(dir!G61="","",dir!G61+1)</f>
        <v/>
      </c>
      <c r="H83" s="508" t="str">
        <f>IF(dir!H61="","",dir!H61)</f>
        <v/>
      </c>
      <c r="I83" s="150" t="str">
        <f t="shared" ref="I83:I89" si="26">IF(I61=0,"",I61)</f>
        <v/>
      </c>
      <c r="J83" s="150" t="str">
        <f>IF(E83="","",(IF(dir!J61+1&gt;LOOKUP(I83,schaal2011,regels2011),dir!J61,dir!J61+1)))</f>
        <v/>
      </c>
      <c r="K83" s="509" t="str">
        <f>IF(dir!K61="","",dir!K61)</f>
        <v/>
      </c>
      <c r="L83" s="510" t="str">
        <f>IF(dir!L61="","",dir!L61)</f>
        <v/>
      </c>
      <c r="M83" s="568" t="str">
        <f t="shared" ref="M83:M92" si="27">(IF(L83="",(K83),(K83)-L83))</f>
        <v/>
      </c>
      <c r="N83" s="512"/>
      <c r="O83" s="569" t="str">
        <f>IF(I83="","",VLOOKUP(I83,tab!$A$68:$V$108,J83+2,FALSE))</f>
        <v/>
      </c>
      <c r="P83" s="570" t="str">
        <f t="shared" ref="P83:P92" si="28">IF(E83="","",(O83*M83*12))</f>
        <v/>
      </c>
      <c r="Q83" s="1173">
        <f>$Q$81</f>
        <v>0.62</v>
      </c>
      <c r="R83" s="570" t="str">
        <f>IF(E83="","",(P83)*Q83)</f>
        <v/>
      </c>
      <c r="S83" s="570">
        <f>IF(L83="",0,(((O83*12)*L83)*(1+tab!$D$55)*tab!$F$57))</f>
        <v>0</v>
      </c>
      <c r="T83" s="1134">
        <f t="shared" ref="T83:T92" si="29">IF(E83="",0,(P83+R83+S83))</f>
        <v>0</v>
      </c>
      <c r="U83" s="571">
        <f t="shared" ref="U83:U92" si="30">IF(G83&lt;25,0,IF(G83=25,25,IF(G83&lt;40,0,IF(G83=40,40,IF(G83&gt;=40,0)))))</f>
        <v>0</v>
      </c>
      <c r="V83" s="1151">
        <f t="shared" ref="V83:V92" si="31">IF(U83=25,(O83*1.08*(K83)/2),IF(U83=40,(O83*1.08*(K83)),IF(U83=0,0)))</f>
        <v>0</v>
      </c>
      <c r="W83" s="133"/>
      <c r="X83" s="476"/>
      <c r="AA83" s="552"/>
      <c r="AJ83" s="552"/>
    </row>
    <row r="84" spans="2:41" ht="12.75" customHeight="1" x14ac:dyDescent="0.2">
      <c r="C84" s="108"/>
      <c r="D84" s="507" t="str">
        <f>IF(dir!D62=0,"",dir!D62)</f>
        <v/>
      </c>
      <c r="E84" s="115" t="str">
        <f>IF(dir!E62=0,"",dir!E62)</f>
        <v/>
      </c>
      <c r="F84" s="115" t="str">
        <f>IF(dir!F62=0,"",dir!F62)</f>
        <v/>
      </c>
      <c r="G84" s="132" t="str">
        <f>IF(dir!G62="","",dir!G62+1)</f>
        <v/>
      </c>
      <c r="H84" s="508" t="str">
        <f>IF(dir!H62="","",dir!H62)</f>
        <v/>
      </c>
      <c r="I84" s="150" t="str">
        <f t="shared" si="26"/>
        <v/>
      </c>
      <c r="J84" s="150" t="str">
        <f>IF(E84="","",(IF(dir!J62+1&gt;LOOKUP(I84,schaal2011,regels2011),dir!J62,dir!J62+1)))</f>
        <v/>
      </c>
      <c r="K84" s="509" t="str">
        <f>IF(dir!K62="","",dir!K62)</f>
        <v/>
      </c>
      <c r="L84" s="510" t="str">
        <f>IF(dir!L62="","",dir!L62)</f>
        <v/>
      </c>
      <c r="M84" s="568" t="str">
        <f t="shared" si="27"/>
        <v/>
      </c>
      <c r="N84" s="512"/>
      <c r="O84" s="569" t="str">
        <f>IF(I84="","",VLOOKUP(I84,tab!$A$68:$V$108,J84+2,FALSE))</f>
        <v/>
      </c>
      <c r="P84" s="570" t="str">
        <f t="shared" si="28"/>
        <v/>
      </c>
      <c r="Q84" s="1173">
        <f t="shared" ref="Q84:Q91" si="32">$Q$81</f>
        <v>0.62</v>
      </c>
      <c r="R84" s="570" t="str">
        <f>IF(E84="","",(P84)*Q84)</f>
        <v/>
      </c>
      <c r="S84" s="570">
        <f>IF(L84="",0,(((O84*12)*L84)*(1+tab!$D$55)*tab!$F$57))</f>
        <v>0</v>
      </c>
      <c r="T84" s="1134">
        <f t="shared" si="29"/>
        <v>0</v>
      </c>
      <c r="U84" s="571">
        <f t="shared" si="30"/>
        <v>0</v>
      </c>
      <c r="V84" s="1151">
        <f t="shared" si="31"/>
        <v>0</v>
      </c>
      <c r="W84" s="518"/>
      <c r="X84" s="476"/>
      <c r="AA84" s="552"/>
      <c r="AJ84" s="552"/>
    </row>
    <row r="85" spans="2:41" ht="12.75" customHeight="1" x14ac:dyDescent="0.2">
      <c r="C85" s="108"/>
      <c r="D85" s="507" t="str">
        <f>IF(dir!D63=0,"",dir!D63)</f>
        <v/>
      </c>
      <c r="E85" s="115" t="str">
        <f>IF(dir!E63=0,"",dir!E63)</f>
        <v/>
      </c>
      <c r="F85" s="115" t="str">
        <f>IF(dir!F63=0,"",dir!F63)</f>
        <v/>
      </c>
      <c r="G85" s="132" t="str">
        <f>IF(dir!G63="","",dir!G63+1)</f>
        <v/>
      </c>
      <c r="H85" s="508" t="str">
        <f>IF(dir!H63="","",dir!H63)</f>
        <v/>
      </c>
      <c r="I85" s="150" t="str">
        <f t="shared" si="26"/>
        <v/>
      </c>
      <c r="J85" s="150" t="str">
        <f>IF(E85="","",(IF(dir!J63+1&gt;LOOKUP(I85,schaal2011,regels2011),dir!J63,dir!J63+1)))</f>
        <v/>
      </c>
      <c r="K85" s="509" t="str">
        <f>IF(dir!K63="","",dir!K63)</f>
        <v/>
      </c>
      <c r="L85" s="510" t="str">
        <f>IF(dir!L63="","",dir!L63)</f>
        <v/>
      </c>
      <c r="M85" s="568" t="str">
        <f t="shared" si="27"/>
        <v/>
      </c>
      <c r="N85" s="512"/>
      <c r="O85" s="569" t="str">
        <f>IF(I85="","",VLOOKUP(I85,tab!$A$68:$V$108,J85+2,FALSE))</f>
        <v/>
      </c>
      <c r="P85" s="570" t="str">
        <f t="shared" si="28"/>
        <v/>
      </c>
      <c r="Q85" s="1173">
        <f t="shared" si="32"/>
        <v>0.62</v>
      </c>
      <c r="R85" s="570" t="str">
        <f t="shared" ref="R85:R92" si="33">IF(E85="","",(P85)*Q85)</f>
        <v/>
      </c>
      <c r="S85" s="570">
        <f>IF(L85="",0,(((O85*12)*L85)*(1+tab!$D$55)*tab!$F$57))</f>
        <v>0</v>
      </c>
      <c r="T85" s="1134">
        <f t="shared" si="29"/>
        <v>0</v>
      </c>
      <c r="U85" s="571">
        <f t="shared" si="30"/>
        <v>0</v>
      </c>
      <c r="V85" s="1151">
        <f t="shared" si="31"/>
        <v>0</v>
      </c>
      <c r="W85" s="518"/>
      <c r="X85" s="476"/>
      <c r="AA85" s="552"/>
      <c r="AJ85" s="552"/>
    </row>
    <row r="86" spans="2:41" ht="12.75" customHeight="1" x14ac:dyDescent="0.2">
      <c r="C86" s="108"/>
      <c r="D86" s="507" t="str">
        <f>IF(dir!D64=0,"",dir!D64)</f>
        <v/>
      </c>
      <c r="E86" s="115" t="str">
        <f>IF(dir!E64=0,"",dir!E64)</f>
        <v/>
      </c>
      <c r="F86" s="115" t="str">
        <f>IF(dir!F64=0,"",dir!F64)</f>
        <v/>
      </c>
      <c r="G86" s="132" t="str">
        <f>IF(dir!G64="","",dir!G64+1)</f>
        <v/>
      </c>
      <c r="H86" s="508" t="str">
        <f>IF(dir!H64="","",dir!H64)</f>
        <v/>
      </c>
      <c r="I86" s="150" t="str">
        <f t="shared" si="26"/>
        <v/>
      </c>
      <c r="J86" s="150" t="str">
        <f>IF(E86="","",(IF(dir!J64+1&gt;LOOKUP(I86,schaal2011,regels2011),dir!J64,dir!J64+1)))</f>
        <v/>
      </c>
      <c r="K86" s="509" t="str">
        <f>IF(dir!K64="","",dir!K64)</f>
        <v/>
      </c>
      <c r="L86" s="510" t="str">
        <f>IF(dir!L64="","",dir!L64)</f>
        <v/>
      </c>
      <c r="M86" s="568" t="str">
        <f t="shared" si="27"/>
        <v/>
      </c>
      <c r="N86" s="512"/>
      <c r="O86" s="569" t="str">
        <f>IF(I86="","",VLOOKUP(I86,tab!$A$68:$V$108,J86+2,FALSE))</f>
        <v/>
      </c>
      <c r="P86" s="570" t="str">
        <f t="shared" si="28"/>
        <v/>
      </c>
      <c r="Q86" s="1173">
        <f t="shared" si="32"/>
        <v>0.62</v>
      </c>
      <c r="R86" s="570" t="str">
        <f t="shared" si="33"/>
        <v/>
      </c>
      <c r="S86" s="570">
        <f>IF(L86="",0,(((O86*12)*L86)*(1+tab!$D$55)*tab!$F$57))</f>
        <v>0</v>
      </c>
      <c r="T86" s="1134">
        <f t="shared" si="29"/>
        <v>0</v>
      </c>
      <c r="U86" s="571">
        <f t="shared" si="30"/>
        <v>0</v>
      </c>
      <c r="V86" s="1151">
        <f t="shared" si="31"/>
        <v>0</v>
      </c>
      <c r="W86" s="518"/>
      <c r="X86" s="476"/>
      <c r="AA86" s="552"/>
      <c r="AJ86" s="552"/>
    </row>
    <row r="87" spans="2:41" ht="12.75" customHeight="1" x14ac:dyDescent="0.2">
      <c r="C87" s="108"/>
      <c r="D87" s="507" t="str">
        <f>IF(dir!D65=0,"",dir!D65)</f>
        <v/>
      </c>
      <c r="E87" s="115" t="str">
        <f>IF(dir!E65=0,"",dir!E65)</f>
        <v/>
      </c>
      <c r="F87" s="115" t="str">
        <f>IF(dir!F65=0,"",dir!F65)</f>
        <v/>
      </c>
      <c r="G87" s="132" t="str">
        <f>IF(dir!G65="","",dir!G65+1)</f>
        <v/>
      </c>
      <c r="H87" s="508" t="str">
        <f>IF(dir!H65="","",dir!H65)</f>
        <v/>
      </c>
      <c r="I87" s="150" t="str">
        <f t="shared" si="26"/>
        <v/>
      </c>
      <c r="J87" s="150" t="str">
        <f>IF(E87="","",(IF(dir!J65+1&gt;LOOKUP(I87,schaal2011,regels2011),dir!J65,dir!J65+1)))</f>
        <v/>
      </c>
      <c r="K87" s="509" t="str">
        <f>IF(dir!K65="","",dir!K65)</f>
        <v/>
      </c>
      <c r="L87" s="510" t="str">
        <f>IF(dir!L65="","",dir!L65)</f>
        <v/>
      </c>
      <c r="M87" s="568" t="str">
        <f t="shared" si="27"/>
        <v/>
      </c>
      <c r="N87" s="512"/>
      <c r="O87" s="569" t="str">
        <f>IF(I87="","",VLOOKUP(I87,tab!$A$68:$V$108,J87+2,FALSE))</f>
        <v/>
      </c>
      <c r="P87" s="570" t="str">
        <f t="shared" si="28"/>
        <v/>
      </c>
      <c r="Q87" s="1173">
        <f t="shared" si="32"/>
        <v>0.62</v>
      </c>
      <c r="R87" s="570" t="str">
        <f t="shared" si="33"/>
        <v/>
      </c>
      <c r="S87" s="570">
        <f>IF(L87="",0,(((O87*12)*L87)*(1+tab!$D$55)*tab!$F$57))</f>
        <v>0</v>
      </c>
      <c r="T87" s="1134">
        <f t="shared" si="29"/>
        <v>0</v>
      </c>
      <c r="U87" s="571">
        <f t="shared" si="30"/>
        <v>0</v>
      </c>
      <c r="V87" s="1151">
        <f t="shared" si="31"/>
        <v>0</v>
      </c>
      <c r="W87" s="518"/>
      <c r="X87" s="476"/>
      <c r="AA87" s="552"/>
      <c r="AJ87" s="552"/>
    </row>
    <row r="88" spans="2:41" ht="12.75" customHeight="1" x14ac:dyDescent="0.2">
      <c r="C88" s="108"/>
      <c r="D88" s="507" t="str">
        <f>IF(dir!D66=0,"",dir!D66)</f>
        <v/>
      </c>
      <c r="E88" s="115" t="str">
        <f>IF(dir!E66=0,"",dir!E66)</f>
        <v/>
      </c>
      <c r="F88" s="115" t="str">
        <f>IF(dir!F66=0,"",dir!F66)</f>
        <v/>
      </c>
      <c r="G88" s="132" t="str">
        <f>IF(dir!G66="","",dir!G66+1)</f>
        <v/>
      </c>
      <c r="H88" s="508" t="str">
        <f>IF(dir!H66="","",dir!H66)</f>
        <v/>
      </c>
      <c r="I88" s="150" t="str">
        <f t="shared" si="26"/>
        <v/>
      </c>
      <c r="J88" s="150" t="str">
        <f>IF(E88="","",(IF(dir!J66+1&gt;LOOKUP(I88,schaal2011,regels2011),dir!J66,dir!J66+1)))</f>
        <v/>
      </c>
      <c r="K88" s="509" t="str">
        <f>IF(dir!K66="","",dir!K66)</f>
        <v/>
      </c>
      <c r="L88" s="510" t="str">
        <f>IF(dir!L66="","",dir!L66)</f>
        <v/>
      </c>
      <c r="M88" s="568" t="str">
        <f t="shared" si="27"/>
        <v/>
      </c>
      <c r="N88" s="512"/>
      <c r="O88" s="569" t="str">
        <f>IF(I88="","",VLOOKUP(I88,tab!$A$68:$V$108,J88+2,FALSE))</f>
        <v/>
      </c>
      <c r="P88" s="570" t="str">
        <f t="shared" si="28"/>
        <v/>
      </c>
      <c r="Q88" s="1173">
        <f t="shared" si="32"/>
        <v>0.62</v>
      </c>
      <c r="R88" s="570" t="str">
        <f t="shared" si="33"/>
        <v/>
      </c>
      <c r="S88" s="570">
        <f>IF(L88="",0,(((O88*12)*L88)*(1+tab!$D$55)*tab!$F$57))</f>
        <v>0</v>
      </c>
      <c r="T88" s="1134">
        <f t="shared" si="29"/>
        <v>0</v>
      </c>
      <c r="U88" s="571">
        <f t="shared" si="30"/>
        <v>0</v>
      </c>
      <c r="V88" s="1151">
        <f t="shared" si="31"/>
        <v>0</v>
      </c>
      <c r="W88" s="518"/>
      <c r="X88" s="476"/>
      <c r="AA88" s="552"/>
      <c r="AJ88" s="552"/>
    </row>
    <row r="89" spans="2:41" ht="12.75" customHeight="1" x14ac:dyDescent="0.2">
      <c r="C89" s="108"/>
      <c r="D89" s="507" t="str">
        <f>IF(dir!D67=0,"",dir!D67)</f>
        <v/>
      </c>
      <c r="E89" s="115" t="str">
        <f>IF(dir!E67=0,"",dir!E67)</f>
        <v/>
      </c>
      <c r="F89" s="115" t="str">
        <f>IF(dir!F67=0,"",dir!F67)</f>
        <v/>
      </c>
      <c r="G89" s="132" t="str">
        <f>IF(dir!G67="","",dir!G67+1)</f>
        <v/>
      </c>
      <c r="H89" s="508" t="str">
        <f>IF(dir!H67="","",dir!H67)</f>
        <v/>
      </c>
      <c r="I89" s="150" t="str">
        <f t="shared" si="26"/>
        <v/>
      </c>
      <c r="J89" s="150" t="str">
        <f>IF(E89="","",(IF(dir!J67+1&gt;LOOKUP(I89,schaal2011,regels2011),dir!J67,dir!J67+1)))</f>
        <v/>
      </c>
      <c r="K89" s="509" t="str">
        <f>IF(dir!K67="","",dir!K67)</f>
        <v/>
      </c>
      <c r="L89" s="510" t="str">
        <f>IF(dir!L67="","",dir!L67)</f>
        <v/>
      </c>
      <c r="M89" s="568" t="str">
        <f t="shared" si="27"/>
        <v/>
      </c>
      <c r="N89" s="512"/>
      <c r="O89" s="569" t="str">
        <f>IF(I89="","",VLOOKUP(I89,tab!$A$68:$V$108,J89+2,FALSE))</f>
        <v/>
      </c>
      <c r="P89" s="570" t="str">
        <f t="shared" si="28"/>
        <v/>
      </c>
      <c r="Q89" s="1173">
        <f t="shared" si="32"/>
        <v>0.62</v>
      </c>
      <c r="R89" s="570" t="str">
        <f t="shared" si="33"/>
        <v/>
      </c>
      <c r="S89" s="570">
        <f>IF(L89="",0,(((O89*12)*L89)*(1+tab!$D$55)*tab!$F$57))</f>
        <v>0</v>
      </c>
      <c r="T89" s="1134">
        <f t="shared" si="29"/>
        <v>0</v>
      </c>
      <c r="U89" s="571">
        <f t="shared" si="30"/>
        <v>0</v>
      </c>
      <c r="V89" s="1151">
        <f t="shared" si="31"/>
        <v>0</v>
      </c>
      <c r="W89" s="518"/>
      <c r="X89" s="476"/>
      <c r="AA89" s="552"/>
      <c r="AJ89" s="552"/>
    </row>
    <row r="90" spans="2:41" ht="12.75" customHeight="1" x14ac:dyDescent="0.2">
      <c r="C90" s="108"/>
      <c r="D90" s="507" t="str">
        <f>IF(dir!D68=0,"",dir!D68)</f>
        <v/>
      </c>
      <c r="E90" s="115" t="str">
        <f>IF(dir!E68=0,"",dir!E68)</f>
        <v/>
      </c>
      <c r="F90" s="115" t="str">
        <f>IF(dir!F68=0,"",dir!F68)</f>
        <v/>
      </c>
      <c r="G90" s="132" t="str">
        <f>IF(dir!G68="","",dir!G68+1)</f>
        <v/>
      </c>
      <c r="H90" s="508" t="str">
        <f>IF(dir!H68="","",dir!H68)</f>
        <v/>
      </c>
      <c r="I90" s="150" t="str">
        <f>IF(I68=0,"",I68)</f>
        <v/>
      </c>
      <c r="J90" s="150" t="str">
        <f>IF(E90="","",(IF(dir!J68+1&gt;LOOKUP(I90,schaal2011,regels2011),dir!J68,dir!J68+1)))</f>
        <v/>
      </c>
      <c r="K90" s="509" t="str">
        <f>IF(dir!K68="","",dir!K68)</f>
        <v/>
      </c>
      <c r="L90" s="510" t="str">
        <f>IF(dir!L68="","",dir!L68)</f>
        <v/>
      </c>
      <c r="M90" s="568" t="str">
        <f t="shared" si="27"/>
        <v/>
      </c>
      <c r="N90" s="512"/>
      <c r="O90" s="569" t="str">
        <f>IF(I90="","",VLOOKUP(I90,tab!$A$68:$V$108,J90+2,FALSE))</f>
        <v/>
      </c>
      <c r="P90" s="570" t="str">
        <f t="shared" si="28"/>
        <v/>
      </c>
      <c r="Q90" s="1173">
        <f t="shared" si="32"/>
        <v>0.62</v>
      </c>
      <c r="R90" s="570" t="str">
        <f t="shared" si="33"/>
        <v/>
      </c>
      <c r="S90" s="570">
        <f>IF(L90="",0,(((O90*12)*L90)*(1+tab!$D$55)*tab!$F$57))</f>
        <v>0</v>
      </c>
      <c r="T90" s="1134">
        <f t="shared" si="29"/>
        <v>0</v>
      </c>
      <c r="U90" s="571">
        <f t="shared" si="30"/>
        <v>0</v>
      </c>
      <c r="V90" s="1151">
        <f t="shared" si="31"/>
        <v>0</v>
      </c>
      <c r="W90" s="518"/>
      <c r="X90" s="476"/>
      <c r="AA90" s="552"/>
      <c r="AJ90" s="552"/>
    </row>
    <row r="91" spans="2:41" ht="12.75" customHeight="1" x14ac:dyDescent="0.2">
      <c r="C91" s="108"/>
      <c r="D91" s="507" t="str">
        <f>IF(dir!D69=0,"",dir!D69)</f>
        <v/>
      </c>
      <c r="E91" s="115" t="str">
        <f>IF(dir!E69=0,"",dir!E69)</f>
        <v/>
      </c>
      <c r="F91" s="115" t="str">
        <f>IF(dir!F69=0,"",dir!F69)</f>
        <v/>
      </c>
      <c r="G91" s="132" t="str">
        <f>IF(dir!G69="","",dir!G69+1)</f>
        <v/>
      </c>
      <c r="H91" s="508" t="str">
        <f>IF(dir!H69="","",dir!H69)</f>
        <v/>
      </c>
      <c r="I91" s="150" t="str">
        <f>IF(I69=0,"",I69)</f>
        <v/>
      </c>
      <c r="J91" s="150" t="str">
        <f>IF(E91="","",(IF(dir!J69+1&gt;LOOKUP(I91,schaal2011,regels2011),dir!J69,dir!J69+1)))</f>
        <v/>
      </c>
      <c r="K91" s="509" t="str">
        <f>IF(dir!K69="","",dir!K69)</f>
        <v/>
      </c>
      <c r="L91" s="510" t="str">
        <f>IF(dir!L69="","",dir!L69)</f>
        <v/>
      </c>
      <c r="M91" s="568" t="str">
        <f t="shared" si="27"/>
        <v/>
      </c>
      <c r="N91" s="512"/>
      <c r="O91" s="569" t="str">
        <f>IF(I91="","",VLOOKUP(I91,tab!$A$68:$V$108,J91+2,FALSE))</f>
        <v/>
      </c>
      <c r="P91" s="570" t="str">
        <f t="shared" si="28"/>
        <v/>
      </c>
      <c r="Q91" s="1173">
        <f t="shared" si="32"/>
        <v>0.62</v>
      </c>
      <c r="R91" s="570" t="str">
        <f t="shared" si="33"/>
        <v/>
      </c>
      <c r="S91" s="570">
        <f>IF(L91="",0,(((O91*12)*L91)*(1+tab!$D$55)*tab!$F$57))</f>
        <v>0</v>
      </c>
      <c r="T91" s="1134">
        <f t="shared" si="29"/>
        <v>0</v>
      </c>
      <c r="U91" s="571">
        <f t="shared" si="30"/>
        <v>0</v>
      </c>
      <c r="V91" s="1151">
        <f t="shared" si="31"/>
        <v>0</v>
      </c>
      <c r="W91" s="518"/>
      <c r="X91" s="476"/>
      <c r="AA91" s="552"/>
      <c r="AJ91" s="552"/>
    </row>
    <row r="92" spans="2:41" ht="12.75" customHeight="1" x14ac:dyDescent="0.2">
      <c r="C92" s="108"/>
      <c r="D92" s="507" t="str">
        <f>IF(dir!D70=0,"",dir!D70)</f>
        <v/>
      </c>
      <c r="E92" s="115" t="str">
        <f>IF(dir!E70=0,"",dir!E70)</f>
        <v/>
      </c>
      <c r="F92" s="115" t="str">
        <f>IF(dir!F70=0,"",dir!F70)</f>
        <v/>
      </c>
      <c r="G92" s="132" t="str">
        <f>IF(dir!G70="","",dir!G70+1)</f>
        <v/>
      </c>
      <c r="H92" s="508" t="str">
        <f>IF(dir!H70="","",dir!H70)</f>
        <v/>
      </c>
      <c r="I92" s="150" t="str">
        <f>IF(I70=0,"",I70)</f>
        <v/>
      </c>
      <c r="J92" s="150" t="str">
        <f>IF(E92="","",(IF(dir!J70+1&gt;LOOKUP(I92,schaal2011,regels2011),dir!J70,dir!J70+1)))</f>
        <v/>
      </c>
      <c r="K92" s="509" t="str">
        <f>IF(dir!K70="","",dir!K70)</f>
        <v/>
      </c>
      <c r="L92" s="510" t="str">
        <f>IF(dir!L70="","",dir!L70)</f>
        <v/>
      </c>
      <c r="M92" s="568" t="str">
        <f t="shared" si="27"/>
        <v/>
      </c>
      <c r="N92" s="512"/>
      <c r="O92" s="569" t="str">
        <f>IF(I92="","",VLOOKUP(I92,tab!$A$68:$V$108,J92+2,FALSE))</f>
        <v/>
      </c>
      <c r="P92" s="570" t="str">
        <f t="shared" si="28"/>
        <v/>
      </c>
      <c r="Q92" s="1173">
        <f>$Q$81</f>
        <v>0.62</v>
      </c>
      <c r="R92" s="570" t="str">
        <f t="shared" si="33"/>
        <v/>
      </c>
      <c r="S92" s="570">
        <f>IF(L92="",0,(((O92*12)*L92)*(1+tab!$D$55)*tab!$F$57))</f>
        <v>0</v>
      </c>
      <c r="T92" s="1134">
        <f t="shared" si="29"/>
        <v>0</v>
      </c>
      <c r="U92" s="571">
        <f t="shared" si="30"/>
        <v>0</v>
      </c>
      <c r="V92" s="1151">
        <f t="shared" si="31"/>
        <v>0</v>
      </c>
      <c r="W92" s="518"/>
      <c r="X92" s="476"/>
      <c r="AA92" s="552"/>
      <c r="AJ92" s="552"/>
    </row>
    <row r="93" spans="2:41" ht="12.75" customHeight="1" x14ac:dyDescent="0.2">
      <c r="C93" s="108"/>
      <c r="D93" s="522"/>
      <c r="E93" s="134"/>
      <c r="F93" s="134"/>
      <c r="G93" s="523"/>
      <c r="H93" s="524"/>
      <c r="I93" s="113"/>
      <c r="J93" s="113"/>
      <c r="K93" s="525">
        <f>SUM(K83:K92)</f>
        <v>0</v>
      </c>
      <c r="L93" s="525">
        <f>SUM(L83:L92)</f>
        <v>0</v>
      </c>
      <c r="M93" s="525">
        <f>SUM(M83:M92)</f>
        <v>0</v>
      </c>
      <c r="N93" s="523"/>
      <c r="O93" s="526">
        <f t="shared" ref="O93:V93" si="34">SUM(O83:O92)</f>
        <v>0</v>
      </c>
      <c r="P93" s="526">
        <f t="shared" si="34"/>
        <v>0</v>
      </c>
      <c r="Q93" s="527"/>
      <c r="R93" s="526">
        <f t="shared" si="34"/>
        <v>0</v>
      </c>
      <c r="S93" s="526">
        <f t="shared" si="34"/>
        <v>0</v>
      </c>
      <c r="T93" s="526">
        <f t="shared" si="34"/>
        <v>0</v>
      </c>
      <c r="U93" s="528">
        <f t="shared" si="34"/>
        <v>0</v>
      </c>
      <c r="V93" s="1146">
        <f t="shared" si="34"/>
        <v>0</v>
      </c>
      <c r="W93" s="518"/>
      <c r="X93" s="476"/>
      <c r="AA93" s="552"/>
      <c r="AJ93" s="552"/>
    </row>
    <row r="94" spans="2:41" ht="12.75" customHeight="1" x14ac:dyDescent="0.2">
      <c r="I94" s="202"/>
      <c r="K94" s="517"/>
      <c r="M94" s="366"/>
      <c r="O94" s="564"/>
      <c r="P94" s="506"/>
      <c r="Q94" s="506"/>
      <c r="R94" s="506"/>
      <c r="S94" s="506"/>
      <c r="T94" s="1133"/>
      <c r="V94" s="1150"/>
      <c r="X94" s="476"/>
    </row>
    <row r="95" spans="2:41" ht="12.75" customHeight="1" x14ac:dyDescent="0.2">
      <c r="I95" s="202"/>
      <c r="K95" s="517"/>
      <c r="M95" s="366"/>
      <c r="O95" s="564"/>
      <c r="P95" s="506"/>
      <c r="Q95" s="506"/>
      <c r="R95" s="506"/>
      <c r="S95" s="506"/>
      <c r="T95" s="1133"/>
      <c r="V95" s="1150"/>
      <c r="X95" s="476"/>
    </row>
    <row r="96" spans="2:41" ht="12.75" customHeight="1" x14ac:dyDescent="0.2">
      <c r="I96" s="202"/>
      <c r="K96" s="517"/>
      <c r="M96" s="366"/>
      <c r="O96" s="564"/>
      <c r="P96" s="506"/>
      <c r="Q96" s="506"/>
      <c r="R96" s="506"/>
      <c r="S96" s="506"/>
      <c r="T96" s="1133"/>
      <c r="V96" s="1150"/>
      <c r="X96" s="476"/>
    </row>
    <row r="97" spans="2:41" ht="12.75" customHeight="1" x14ac:dyDescent="0.2">
      <c r="C97" s="86" t="s">
        <v>290</v>
      </c>
      <c r="E97" s="566" t="str">
        <f>tab!H2</f>
        <v>2017/18</v>
      </c>
      <c r="I97" s="202"/>
      <c r="K97" s="517"/>
      <c r="M97" s="366"/>
      <c r="O97" s="564"/>
      <c r="P97" s="506"/>
      <c r="Q97" s="506"/>
      <c r="R97" s="506"/>
      <c r="S97" s="506"/>
      <c r="T97" s="1133"/>
      <c r="V97" s="1150"/>
      <c r="X97" s="476"/>
    </row>
    <row r="98" spans="2:41" ht="12.75" customHeight="1" x14ac:dyDescent="0.2">
      <c r="C98" s="363" t="s">
        <v>314</v>
      </c>
      <c r="E98" s="567">
        <f>tab!I3</f>
        <v>43009</v>
      </c>
      <c r="I98" s="202"/>
      <c r="K98" s="517"/>
      <c r="M98" s="366"/>
      <c r="O98" s="564"/>
      <c r="P98" s="506"/>
      <c r="Q98" s="506"/>
      <c r="R98" s="506"/>
      <c r="S98" s="506"/>
      <c r="T98" s="1133"/>
      <c r="V98" s="1150"/>
      <c r="X98" s="476"/>
    </row>
    <row r="99" spans="2:41" ht="12.75" customHeight="1" x14ac:dyDescent="0.2">
      <c r="I99" s="202"/>
      <c r="K99" s="517"/>
      <c r="M99" s="366"/>
      <c r="O99" s="564"/>
      <c r="P99" s="506"/>
      <c r="Q99" s="506"/>
      <c r="R99" s="506"/>
      <c r="S99" s="506"/>
      <c r="T99" s="1133"/>
      <c r="V99" s="1150"/>
      <c r="X99" s="476"/>
    </row>
    <row r="100" spans="2:41" ht="12.75" customHeight="1" x14ac:dyDescent="0.2">
      <c r="I100" s="202"/>
      <c r="K100" s="517"/>
      <c r="M100" s="366"/>
      <c r="O100" s="564"/>
      <c r="P100" s="506"/>
      <c r="Q100" s="506"/>
      <c r="R100" s="506"/>
      <c r="S100" s="506"/>
      <c r="T100" s="1133"/>
      <c r="V100" s="1150"/>
      <c r="X100" s="476"/>
    </row>
    <row r="101" spans="2:41" s="469" customFormat="1" ht="12.75" customHeight="1" x14ac:dyDescent="0.2">
      <c r="B101" s="362"/>
      <c r="C101" s="471"/>
      <c r="D101" s="1280" t="s">
        <v>457</v>
      </c>
      <c r="E101" s="1281"/>
      <c r="F101" s="1281"/>
      <c r="G101" s="1281"/>
      <c r="H101" s="1281"/>
      <c r="I101" s="1281"/>
      <c r="J101" s="1281"/>
      <c r="K101" s="1281"/>
      <c r="L101" s="1281"/>
      <c r="M101" s="1282"/>
      <c r="N101" s="472"/>
      <c r="O101" s="1280" t="s">
        <v>298</v>
      </c>
      <c r="P101" s="1281"/>
      <c r="Q101" s="1281"/>
      <c r="R101" s="1281"/>
      <c r="S101" s="1281"/>
      <c r="T101" s="1282"/>
      <c r="U101" s="473"/>
      <c r="V101" s="216"/>
      <c r="W101" s="474"/>
      <c r="X101" s="476"/>
      <c r="Y101" s="476"/>
      <c r="Z101" s="477"/>
      <c r="AA101" s="478"/>
      <c r="AB101" s="477"/>
      <c r="AN101" s="476"/>
      <c r="AO101" s="476"/>
    </row>
    <row r="102" spans="2:41" s="469" customFormat="1" ht="12.75" customHeight="1" x14ac:dyDescent="0.2">
      <c r="B102" s="362"/>
      <c r="C102" s="471"/>
      <c r="D102" s="479" t="s">
        <v>152</v>
      </c>
      <c r="E102" s="165" t="s">
        <v>296</v>
      </c>
      <c r="F102" s="165" t="s">
        <v>275</v>
      </c>
      <c r="G102" s="480" t="s">
        <v>235</v>
      </c>
      <c r="H102" s="481" t="s">
        <v>439</v>
      </c>
      <c r="I102" s="480" t="s">
        <v>333</v>
      </c>
      <c r="J102" s="480" t="s">
        <v>368</v>
      </c>
      <c r="K102" s="482" t="s">
        <v>299</v>
      </c>
      <c r="L102" s="483" t="s">
        <v>334</v>
      </c>
      <c r="M102" s="482" t="s">
        <v>238</v>
      </c>
      <c r="N102" s="259"/>
      <c r="O102" s="484" t="s">
        <v>502</v>
      </c>
      <c r="P102" s="484" t="s">
        <v>637</v>
      </c>
      <c r="Q102" s="584" t="s">
        <v>0</v>
      </c>
      <c r="R102" s="485"/>
      <c r="S102" s="487" t="s">
        <v>334</v>
      </c>
      <c r="T102" s="1130" t="s">
        <v>313</v>
      </c>
      <c r="U102" s="486" t="s">
        <v>467</v>
      </c>
      <c r="V102" s="216" t="s">
        <v>668</v>
      </c>
      <c r="W102" s="488"/>
      <c r="X102" s="476"/>
      <c r="Y102" s="490"/>
      <c r="Z102" s="491"/>
      <c r="AA102" s="492"/>
      <c r="AB102" s="491"/>
      <c r="AN102" s="476"/>
      <c r="AO102" s="490"/>
    </row>
    <row r="103" spans="2:41" s="469" customFormat="1" ht="12.75" customHeight="1" x14ac:dyDescent="0.2">
      <c r="B103" s="362"/>
      <c r="C103" s="471"/>
      <c r="D103" s="493"/>
      <c r="E103" s="165"/>
      <c r="F103" s="494"/>
      <c r="G103" s="480" t="s">
        <v>236</v>
      </c>
      <c r="H103" s="481" t="s">
        <v>440</v>
      </c>
      <c r="I103" s="480"/>
      <c r="J103" s="480"/>
      <c r="K103" s="482" t="s">
        <v>442</v>
      </c>
      <c r="L103" s="483"/>
      <c r="M103" s="482" t="s">
        <v>337</v>
      </c>
      <c r="N103" s="259"/>
      <c r="O103" s="484" t="s">
        <v>321</v>
      </c>
      <c r="P103" s="484" t="s">
        <v>636</v>
      </c>
      <c r="Q103" s="1176">
        <f>tab!$E$55</f>
        <v>0.62</v>
      </c>
      <c r="R103" s="485" t="s">
        <v>1</v>
      </c>
      <c r="S103" s="487" t="s">
        <v>367</v>
      </c>
      <c r="T103" s="1130" t="s">
        <v>434</v>
      </c>
      <c r="U103" s="486"/>
      <c r="V103" s="487" t="s">
        <v>367</v>
      </c>
      <c r="W103" s="495"/>
      <c r="X103" s="476"/>
      <c r="AO103" s="497"/>
    </row>
    <row r="104" spans="2:41" ht="12.75" customHeight="1" x14ac:dyDescent="0.2">
      <c r="C104" s="108"/>
      <c r="D104" s="222"/>
      <c r="E104" s="109"/>
      <c r="F104" s="109"/>
      <c r="G104" s="498"/>
      <c r="H104" s="499"/>
      <c r="I104" s="500"/>
      <c r="J104" s="500"/>
      <c r="K104" s="501"/>
      <c r="L104" s="498"/>
      <c r="M104" s="501"/>
      <c r="N104" s="498"/>
      <c r="O104" s="502"/>
      <c r="P104" s="503"/>
      <c r="Q104" s="503"/>
      <c r="R104" s="503"/>
      <c r="S104" s="503"/>
      <c r="T104" s="694"/>
      <c r="U104" s="138"/>
      <c r="V104" s="504"/>
      <c r="W104" s="188"/>
      <c r="X104" s="476"/>
      <c r="AC104" s="86"/>
      <c r="AD104" s="86"/>
      <c r="AL104" s="86"/>
      <c r="AM104" s="86"/>
      <c r="AO104" s="506"/>
    </row>
    <row r="105" spans="2:41" ht="12.75" customHeight="1" x14ac:dyDescent="0.2">
      <c r="C105" s="108"/>
      <c r="D105" s="507" t="str">
        <f>IF(dir!D83=0,"",dir!D83)</f>
        <v/>
      </c>
      <c r="E105" s="115" t="str">
        <f>IF(dir!E83=0,"-",dir!E83)</f>
        <v/>
      </c>
      <c r="F105" s="115" t="str">
        <f>IF(dir!F83=0,"-",dir!F83)</f>
        <v/>
      </c>
      <c r="G105" s="132" t="str">
        <f>IF(dir!G83="","",dir!G83+1)</f>
        <v/>
      </c>
      <c r="H105" s="508" t="str">
        <f>IF(dir!H83="","",dir!H83)</f>
        <v/>
      </c>
      <c r="I105" s="150" t="str">
        <f t="shared" ref="I105:I114" si="35">IF(I83=0,"",I83)</f>
        <v/>
      </c>
      <c r="J105" s="150" t="str">
        <f>IF(E105="","",(IF(dir!J83+1&gt;LOOKUP(I105,schaal2011,regels2011),dir!J83,dir!J83+1)))</f>
        <v/>
      </c>
      <c r="K105" s="509" t="str">
        <f>IF(dir!K83="","",dir!K83)</f>
        <v/>
      </c>
      <c r="L105" s="510" t="str">
        <f>IF(dir!L83="","",dir!L83)</f>
        <v/>
      </c>
      <c r="M105" s="568" t="str">
        <f t="shared" ref="M105:M114" si="36">(IF(L105="",(K105),(K105)-L105))</f>
        <v/>
      </c>
      <c r="N105" s="512"/>
      <c r="O105" s="569" t="str">
        <f>IF(I105="","",VLOOKUP(I105,tab!$A$68:$V$108,J105+2,FALSE))</f>
        <v/>
      </c>
      <c r="P105" s="570" t="str">
        <f t="shared" ref="P105:P114" si="37">IF(E105="","",(O105*M105*12))</f>
        <v/>
      </c>
      <c r="Q105" s="1173">
        <f>$Q$103</f>
        <v>0.62</v>
      </c>
      <c r="R105" s="570" t="str">
        <f>IF(E105="","",(P105)*Q105)</f>
        <v/>
      </c>
      <c r="S105" s="570">
        <f>IF(L105="",0,(((O105*12)*L105)*(1+tab!$D$55)*tab!$F$57))</f>
        <v>0</v>
      </c>
      <c r="T105" s="1134">
        <f t="shared" ref="T105:T114" si="38">IF(E105="",0,(P105+R105+S105))</f>
        <v>0</v>
      </c>
      <c r="U105" s="571">
        <f t="shared" ref="U105:U114" si="39">IF(G105&lt;25,0,IF(G105=25,25,IF(G105&lt;40,0,IF(G105=40,40,IF(G105&gt;=40,0)))))</f>
        <v>0</v>
      </c>
      <c r="V105" s="1151">
        <f t="shared" ref="V105:V114" si="40">IF(U105=25,(O105*1.08*(K105)/2),IF(U105=40,(O105*1.08*(K105)),IF(U105=0,0)))</f>
        <v>0</v>
      </c>
      <c r="W105" s="133"/>
      <c r="X105" s="476"/>
      <c r="AA105" s="552"/>
      <c r="AJ105" s="552"/>
    </row>
    <row r="106" spans="2:41" ht="12.75" customHeight="1" x14ac:dyDescent="0.2">
      <c r="C106" s="108"/>
      <c r="D106" s="507" t="str">
        <f>IF(dir!D84=0,"",dir!D84)</f>
        <v/>
      </c>
      <c r="E106" s="115" t="str">
        <f>IF(dir!E84=0,"-",dir!E84)</f>
        <v/>
      </c>
      <c r="F106" s="115" t="str">
        <f>IF(dir!F84=0,"-",dir!F84)</f>
        <v/>
      </c>
      <c r="G106" s="132" t="str">
        <f>IF(dir!G84="","",dir!G84+1)</f>
        <v/>
      </c>
      <c r="H106" s="508" t="str">
        <f>IF(dir!H84="","",dir!H84)</f>
        <v/>
      </c>
      <c r="I106" s="150" t="str">
        <f t="shared" si="35"/>
        <v/>
      </c>
      <c r="J106" s="150" t="str">
        <f>IF(E106="","",(IF(dir!J84+1&gt;LOOKUP(I106,schaal2011,regels2011),dir!J84,dir!J84+1)))</f>
        <v/>
      </c>
      <c r="K106" s="509" t="str">
        <f>IF(dir!K84="","",dir!K84)</f>
        <v/>
      </c>
      <c r="L106" s="510" t="str">
        <f>IF(dir!L84="","",dir!L84)</f>
        <v/>
      </c>
      <c r="M106" s="568" t="str">
        <f t="shared" si="36"/>
        <v/>
      </c>
      <c r="N106" s="512"/>
      <c r="O106" s="569" t="str">
        <f>IF(I106="","",VLOOKUP(I106,tab!$A$68:$V$108,J106+2,FALSE))</f>
        <v/>
      </c>
      <c r="P106" s="570" t="str">
        <f t="shared" si="37"/>
        <v/>
      </c>
      <c r="Q106" s="1173">
        <f t="shared" ref="Q106:Q114" si="41">$Q$103</f>
        <v>0.62</v>
      </c>
      <c r="R106" s="570" t="str">
        <f>IF(E106="","",(P106)*Q106)</f>
        <v/>
      </c>
      <c r="S106" s="570">
        <f>IF(L106="",0,(((O106*12)*L106)*(1+tab!$D$55)*tab!$F$57))</f>
        <v>0</v>
      </c>
      <c r="T106" s="1134">
        <f t="shared" si="38"/>
        <v>0</v>
      </c>
      <c r="U106" s="571">
        <f t="shared" si="39"/>
        <v>0</v>
      </c>
      <c r="V106" s="1151">
        <f t="shared" si="40"/>
        <v>0</v>
      </c>
      <c r="W106" s="518"/>
      <c r="X106" s="476"/>
      <c r="AA106" s="552"/>
      <c r="AJ106" s="552"/>
    </row>
    <row r="107" spans="2:41" ht="12.75" customHeight="1" x14ac:dyDescent="0.2">
      <c r="C107" s="108"/>
      <c r="D107" s="507" t="str">
        <f>IF(dir!D85=0,"",dir!D85)</f>
        <v/>
      </c>
      <c r="E107" s="115" t="str">
        <f>IF(dir!E85=0,"-",dir!E85)</f>
        <v/>
      </c>
      <c r="F107" s="115" t="str">
        <f>IF(dir!F85=0,"-",dir!F85)</f>
        <v/>
      </c>
      <c r="G107" s="132" t="str">
        <f>IF(dir!G85="","",dir!G85+1)</f>
        <v/>
      </c>
      <c r="H107" s="508" t="str">
        <f>IF(dir!H85="","",dir!H85)</f>
        <v/>
      </c>
      <c r="I107" s="150" t="str">
        <f t="shared" si="35"/>
        <v/>
      </c>
      <c r="J107" s="150" t="str">
        <f>IF(E107="","",(IF(dir!J85+1&gt;LOOKUP(I107,schaal2011,regels2011),dir!J85,dir!J85+1)))</f>
        <v/>
      </c>
      <c r="K107" s="509" t="str">
        <f>IF(dir!K85="","",dir!K85)</f>
        <v/>
      </c>
      <c r="L107" s="510" t="str">
        <f>IF(dir!L85="","",dir!L85)</f>
        <v/>
      </c>
      <c r="M107" s="568" t="str">
        <f t="shared" si="36"/>
        <v/>
      </c>
      <c r="N107" s="512"/>
      <c r="O107" s="569" t="str">
        <f>IF(I107="","",VLOOKUP(I107,tab!$A$68:$V$108,J107+2,FALSE))</f>
        <v/>
      </c>
      <c r="P107" s="570" t="str">
        <f t="shared" si="37"/>
        <v/>
      </c>
      <c r="Q107" s="1173">
        <f t="shared" si="41"/>
        <v>0.62</v>
      </c>
      <c r="R107" s="570" t="str">
        <f t="shared" ref="R107:R114" si="42">IF(E107="","",(P107)*Q107)</f>
        <v/>
      </c>
      <c r="S107" s="570">
        <f>IF(L107="",0,(((O107*12)*L107)*(1+tab!$D$55)*tab!$F$57))</f>
        <v>0</v>
      </c>
      <c r="T107" s="1134">
        <f t="shared" si="38"/>
        <v>0</v>
      </c>
      <c r="U107" s="571">
        <f t="shared" si="39"/>
        <v>0</v>
      </c>
      <c r="V107" s="1151">
        <f t="shared" si="40"/>
        <v>0</v>
      </c>
      <c r="W107" s="518"/>
      <c r="X107" s="476"/>
      <c r="AA107" s="552"/>
      <c r="AJ107" s="552"/>
    </row>
    <row r="108" spans="2:41" ht="12.75" customHeight="1" x14ac:dyDescent="0.2">
      <c r="C108" s="108"/>
      <c r="D108" s="507" t="str">
        <f>IF(dir!D86=0,"",dir!D86)</f>
        <v/>
      </c>
      <c r="E108" s="115" t="str">
        <f>IF(dir!E86=0,"-",dir!E86)</f>
        <v/>
      </c>
      <c r="F108" s="115" t="str">
        <f>IF(dir!F86=0,"-",dir!F86)</f>
        <v/>
      </c>
      <c r="G108" s="132" t="str">
        <f>IF(dir!G86="","",dir!G86+1)</f>
        <v/>
      </c>
      <c r="H108" s="508" t="str">
        <f>IF(dir!H86="","",dir!H86)</f>
        <v/>
      </c>
      <c r="I108" s="150" t="str">
        <f t="shared" si="35"/>
        <v/>
      </c>
      <c r="J108" s="150" t="str">
        <f>IF(E108="","",(IF(dir!J86+1&gt;LOOKUP(I108,schaal2011,regels2011),dir!J86,dir!J86+1)))</f>
        <v/>
      </c>
      <c r="K108" s="509" t="str">
        <f>IF(dir!K86="","",dir!K86)</f>
        <v/>
      </c>
      <c r="L108" s="510" t="str">
        <f>IF(dir!L86="","",dir!L86)</f>
        <v/>
      </c>
      <c r="M108" s="568" t="str">
        <f t="shared" si="36"/>
        <v/>
      </c>
      <c r="N108" s="512"/>
      <c r="O108" s="569" t="str">
        <f>IF(I108="","",VLOOKUP(I108,tab!$A$68:$V$108,J108+2,FALSE))</f>
        <v/>
      </c>
      <c r="P108" s="570" t="str">
        <f t="shared" si="37"/>
        <v/>
      </c>
      <c r="Q108" s="1173">
        <f t="shared" si="41"/>
        <v>0.62</v>
      </c>
      <c r="R108" s="570" t="str">
        <f t="shared" si="42"/>
        <v/>
      </c>
      <c r="S108" s="570">
        <f>IF(L108="",0,(((O108*12)*L108)*(1+tab!$D$55)*tab!$F$57))</f>
        <v>0</v>
      </c>
      <c r="T108" s="1134">
        <f t="shared" si="38"/>
        <v>0</v>
      </c>
      <c r="U108" s="571">
        <f t="shared" si="39"/>
        <v>0</v>
      </c>
      <c r="V108" s="1151">
        <f t="shared" si="40"/>
        <v>0</v>
      </c>
      <c r="W108" s="518"/>
      <c r="X108" s="476"/>
      <c r="AA108" s="552"/>
      <c r="AJ108" s="552"/>
    </row>
    <row r="109" spans="2:41" ht="12.75" customHeight="1" x14ac:dyDescent="0.2">
      <c r="C109" s="108"/>
      <c r="D109" s="507" t="str">
        <f>IF(dir!D87=0,"",dir!D87)</f>
        <v/>
      </c>
      <c r="E109" s="115" t="str">
        <f>IF(dir!E87=0,"-",dir!E87)</f>
        <v/>
      </c>
      <c r="F109" s="115" t="str">
        <f>IF(dir!F87=0,"-",dir!F87)</f>
        <v/>
      </c>
      <c r="G109" s="132" t="str">
        <f>IF(dir!G87="","",dir!G87+1)</f>
        <v/>
      </c>
      <c r="H109" s="508" t="str">
        <f>IF(dir!H87="","",dir!H87)</f>
        <v/>
      </c>
      <c r="I109" s="150" t="str">
        <f t="shared" si="35"/>
        <v/>
      </c>
      <c r="J109" s="150" t="str">
        <f>IF(E109="","",(IF(dir!J87+1&gt;LOOKUP(I109,schaal2011,regels2011),dir!J87,dir!J87+1)))</f>
        <v/>
      </c>
      <c r="K109" s="509" t="str">
        <f>IF(dir!K87="","",dir!K87)</f>
        <v/>
      </c>
      <c r="L109" s="510" t="str">
        <f>IF(dir!L87="","",dir!L87)</f>
        <v/>
      </c>
      <c r="M109" s="568" t="str">
        <f t="shared" si="36"/>
        <v/>
      </c>
      <c r="N109" s="512"/>
      <c r="O109" s="569" t="str">
        <f>IF(I109="","",VLOOKUP(I109,tab!$A$68:$V$108,J109+2,FALSE))</f>
        <v/>
      </c>
      <c r="P109" s="570" t="str">
        <f t="shared" si="37"/>
        <v/>
      </c>
      <c r="Q109" s="1173">
        <f t="shared" si="41"/>
        <v>0.62</v>
      </c>
      <c r="R109" s="570" t="str">
        <f t="shared" si="42"/>
        <v/>
      </c>
      <c r="S109" s="570">
        <f>IF(L109="",0,(((O109*12)*L109)*(1+tab!$D$55)*tab!$F$57))</f>
        <v>0</v>
      </c>
      <c r="T109" s="1134">
        <f t="shared" si="38"/>
        <v>0</v>
      </c>
      <c r="U109" s="571">
        <f t="shared" si="39"/>
        <v>0</v>
      </c>
      <c r="V109" s="1151">
        <f t="shared" si="40"/>
        <v>0</v>
      </c>
      <c r="W109" s="518"/>
      <c r="X109" s="476"/>
      <c r="AA109" s="552"/>
      <c r="AJ109" s="552"/>
    </row>
    <row r="110" spans="2:41" ht="12.75" customHeight="1" x14ac:dyDescent="0.2">
      <c r="C110" s="108"/>
      <c r="D110" s="507" t="str">
        <f>IF(dir!D88=0,"",dir!D88)</f>
        <v/>
      </c>
      <c r="E110" s="115" t="str">
        <f>IF(dir!E88=0,"-",dir!E88)</f>
        <v/>
      </c>
      <c r="F110" s="115" t="str">
        <f>IF(dir!F88=0,"-",dir!F88)</f>
        <v/>
      </c>
      <c r="G110" s="132" t="str">
        <f>IF(dir!G88="","",dir!G88+1)</f>
        <v/>
      </c>
      <c r="H110" s="508" t="str">
        <f>IF(dir!H88="","",dir!H88)</f>
        <v/>
      </c>
      <c r="I110" s="150" t="str">
        <f t="shared" si="35"/>
        <v/>
      </c>
      <c r="J110" s="150" t="str">
        <f>IF(E110="","",(IF(dir!J88+1&gt;LOOKUP(I110,schaal2011,regels2011),dir!J88,dir!J88+1)))</f>
        <v/>
      </c>
      <c r="K110" s="509" t="str">
        <f>IF(dir!K88="","",dir!K88)</f>
        <v/>
      </c>
      <c r="L110" s="510" t="str">
        <f>IF(dir!L88="","",dir!L88)</f>
        <v/>
      </c>
      <c r="M110" s="568" t="str">
        <f t="shared" si="36"/>
        <v/>
      </c>
      <c r="N110" s="512"/>
      <c r="O110" s="569" t="str">
        <f>IF(I110="","",VLOOKUP(I110,tab!$A$68:$V$108,J110+2,FALSE))</f>
        <v/>
      </c>
      <c r="P110" s="570" t="str">
        <f t="shared" si="37"/>
        <v/>
      </c>
      <c r="Q110" s="1173">
        <f t="shared" si="41"/>
        <v>0.62</v>
      </c>
      <c r="R110" s="570" t="str">
        <f t="shared" si="42"/>
        <v/>
      </c>
      <c r="S110" s="570">
        <f>IF(L110="",0,(((O110*12)*L110)*(1+tab!$D$55)*tab!$F$57))</f>
        <v>0</v>
      </c>
      <c r="T110" s="1134">
        <f t="shared" si="38"/>
        <v>0</v>
      </c>
      <c r="U110" s="571">
        <f t="shared" si="39"/>
        <v>0</v>
      </c>
      <c r="V110" s="1151">
        <f t="shared" si="40"/>
        <v>0</v>
      </c>
      <c r="W110" s="518"/>
      <c r="X110" s="476"/>
      <c r="AA110" s="552"/>
      <c r="AJ110" s="552"/>
    </row>
    <row r="111" spans="2:41" ht="12.75" customHeight="1" x14ac:dyDescent="0.2">
      <c r="C111" s="108"/>
      <c r="D111" s="507" t="str">
        <f>IF(dir!D89=0,"",dir!D89)</f>
        <v/>
      </c>
      <c r="E111" s="115" t="str">
        <f>IF(dir!E89=0,"-",dir!E89)</f>
        <v/>
      </c>
      <c r="F111" s="115" t="str">
        <f>IF(dir!F89=0,"-",dir!F89)</f>
        <v/>
      </c>
      <c r="G111" s="132" t="str">
        <f>IF(dir!G89="","",dir!G89+1)</f>
        <v/>
      </c>
      <c r="H111" s="508" t="str">
        <f>IF(dir!H89="","",dir!H89)</f>
        <v/>
      </c>
      <c r="I111" s="150" t="str">
        <f t="shared" si="35"/>
        <v/>
      </c>
      <c r="J111" s="150" t="str">
        <f>IF(E111="","",(IF(dir!J89+1&gt;LOOKUP(I111,schaal2011,regels2011),dir!J89,dir!J89+1)))</f>
        <v/>
      </c>
      <c r="K111" s="509" t="str">
        <f>IF(dir!K89="","",dir!K89)</f>
        <v/>
      </c>
      <c r="L111" s="510" t="str">
        <f>IF(dir!L89="","",dir!L89)</f>
        <v/>
      </c>
      <c r="M111" s="568" t="str">
        <f t="shared" si="36"/>
        <v/>
      </c>
      <c r="N111" s="512"/>
      <c r="O111" s="569" t="str">
        <f>IF(I111="","",VLOOKUP(I111,tab!$A$68:$V$108,J111+2,FALSE))</f>
        <v/>
      </c>
      <c r="P111" s="570" t="str">
        <f t="shared" si="37"/>
        <v/>
      </c>
      <c r="Q111" s="1173">
        <f t="shared" si="41"/>
        <v>0.62</v>
      </c>
      <c r="R111" s="570" t="str">
        <f t="shared" si="42"/>
        <v/>
      </c>
      <c r="S111" s="570">
        <f>IF(L111="",0,(((O111*12)*L111)*(1+tab!$D$55)*tab!$F$57))</f>
        <v>0</v>
      </c>
      <c r="T111" s="1134">
        <f t="shared" si="38"/>
        <v>0</v>
      </c>
      <c r="U111" s="571">
        <f t="shared" si="39"/>
        <v>0</v>
      </c>
      <c r="V111" s="1151">
        <f t="shared" si="40"/>
        <v>0</v>
      </c>
      <c r="W111" s="518"/>
      <c r="X111" s="476"/>
      <c r="AA111" s="552"/>
      <c r="AJ111" s="552"/>
    </row>
    <row r="112" spans="2:41" ht="12.75" customHeight="1" x14ac:dyDescent="0.2">
      <c r="C112" s="108"/>
      <c r="D112" s="507" t="str">
        <f>IF(dir!D90=0,"",dir!D90)</f>
        <v/>
      </c>
      <c r="E112" s="115" t="str">
        <f>IF(dir!E90=0,"-",dir!E90)</f>
        <v/>
      </c>
      <c r="F112" s="115" t="str">
        <f>IF(dir!F90=0,"-",dir!F90)</f>
        <v/>
      </c>
      <c r="G112" s="132" t="str">
        <f>IF(dir!G90="","",dir!G90+1)</f>
        <v/>
      </c>
      <c r="H112" s="508" t="str">
        <f>IF(dir!H90="","",dir!H90)</f>
        <v/>
      </c>
      <c r="I112" s="150" t="str">
        <f t="shared" si="35"/>
        <v/>
      </c>
      <c r="J112" s="150" t="str">
        <f>IF(E112="","",(IF(dir!J90+1&gt;LOOKUP(I112,schaal2011,regels2011),dir!J90,dir!J90+1)))</f>
        <v/>
      </c>
      <c r="K112" s="509" t="str">
        <f>IF(dir!K90="","",dir!K90)</f>
        <v/>
      </c>
      <c r="L112" s="510" t="str">
        <f>IF(dir!L90="","",dir!L90)</f>
        <v/>
      </c>
      <c r="M112" s="568" t="str">
        <f t="shared" si="36"/>
        <v/>
      </c>
      <c r="N112" s="512"/>
      <c r="O112" s="569" t="str">
        <f>IF(I112="","",VLOOKUP(I112,tab!$A$68:$V$108,J112+2,FALSE))</f>
        <v/>
      </c>
      <c r="P112" s="570" t="str">
        <f t="shared" si="37"/>
        <v/>
      </c>
      <c r="Q112" s="1173">
        <f t="shared" si="41"/>
        <v>0.62</v>
      </c>
      <c r="R112" s="570" t="str">
        <f t="shared" si="42"/>
        <v/>
      </c>
      <c r="S112" s="570">
        <f>IF(L112="",0,(((O112*12)*L112)*(1+tab!$D$55)*tab!$F$57))</f>
        <v>0</v>
      </c>
      <c r="T112" s="1134">
        <f t="shared" si="38"/>
        <v>0</v>
      </c>
      <c r="U112" s="571">
        <f t="shared" si="39"/>
        <v>0</v>
      </c>
      <c r="V112" s="1151">
        <f t="shared" si="40"/>
        <v>0</v>
      </c>
      <c r="W112" s="518"/>
      <c r="X112" s="476"/>
      <c r="AA112" s="552"/>
      <c r="AJ112" s="552"/>
    </row>
    <row r="113" spans="3:36" ht="12.75" customHeight="1" x14ac:dyDescent="0.2">
      <c r="C113" s="108"/>
      <c r="D113" s="507" t="str">
        <f>IF(dir!D91=0,"",dir!D91)</f>
        <v/>
      </c>
      <c r="E113" s="115" t="str">
        <f>IF(dir!E91=0,"-",dir!E91)</f>
        <v/>
      </c>
      <c r="F113" s="115" t="str">
        <f>IF(dir!F91=0,"-",dir!F91)</f>
        <v/>
      </c>
      <c r="G113" s="132" t="str">
        <f>IF(dir!G91="","",dir!G91+1)</f>
        <v/>
      </c>
      <c r="H113" s="508" t="str">
        <f>IF(dir!H91="","",dir!H91)</f>
        <v/>
      </c>
      <c r="I113" s="150" t="str">
        <f t="shared" si="35"/>
        <v/>
      </c>
      <c r="J113" s="150" t="str">
        <f>IF(E113="","",(IF(dir!J91+1&gt;LOOKUP(I113,schaal2011,regels2011),dir!J91,dir!J91+1)))</f>
        <v/>
      </c>
      <c r="K113" s="509" t="str">
        <f>IF(dir!K91="","",dir!K91)</f>
        <v/>
      </c>
      <c r="L113" s="510" t="str">
        <f>IF(dir!L91="","",dir!L91)</f>
        <v/>
      </c>
      <c r="M113" s="568" t="str">
        <f t="shared" si="36"/>
        <v/>
      </c>
      <c r="N113" s="512"/>
      <c r="O113" s="569" t="str">
        <f>IF(I113="","",VLOOKUP(I113,tab!$A$68:$V$108,J113+2,FALSE))</f>
        <v/>
      </c>
      <c r="P113" s="570" t="str">
        <f t="shared" si="37"/>
        <v/>
      </c>
      <c r="Q113" s="1173">
        <f t="shared" si="41"/>
        <v>0.62</v>
      </c>
      <c r="R113" s="570" t="str">
        <f t="shared" si="42"/>
        <v/>
      </c>
      <c r="S113" s="570">
        <f>IF(L113="",0,(((O113*12)*L113)*(1+tab!$D$55)*tab!$F$57))</f>
        <v>0</v>
      </c>
      <c r="T113" s="1134">
        <f t="shared" si="38"/>
        <v>0</v>
      </c>
      <c r="U113" s="571">
        <f t="shared" si="39"/>
        <v>0</v>
      </c>
      <c r="V113" s="1151">
        <f t="shared" si="40"/>
        <v>0</v>
      </c>
      <c r="W113" s="518"/>
      <c r="X113" s="476"/>
      <c r="AA113" s="552"/>
      <c r="AJ113" s="552"/>
    </row>
    <row r="114" spans="3:36" ht="12.75" customHeight="1" x14ac:dyDescent="0.2">
      <c r="C114" s="108"/>
      <c r="D114" s="507" t="str">
        <f>IF(dir!D92=0,"",dir!D92)</f>
        <v/>
      </c>
      <c r="E114" s="115" t="str">
        <f>IF(dir!E92=0,"-",dir!E92)</f>
        <v/>
      </c>
      <c r="F114" s="115" t="str">
        <f>IF(dir!F92=0,"-",dir!F92)</f>
        <v/>
      </c>
      <c r="G114" s="132" t="str">
        <f>IF(dir!G92="","",dir!G92+1)</f>
        <v/>
      </c>
      <c r="H114" s="508" t="str">
        <f>IF(dir!H92="","",dir!H92)</f>
        <v/>
      </c>
      <c r="I114" s="150" t="str">
        <f t="shared" si="35"/>
        <v/>
      </c>
      <c r="J114" s="150" t="str">
        <f>IF(E114="","",(IF(dir!J92+1&gt;LOOKUP(I114,schaal2011,regels2011),dir!J92,dir!J92+1)))</f>
        <v/>
      </c>
      <c r="K114" s="509" t="str">
        <f>IF(dir!K92="","",dir!K92)</f>
        <v/>
      </c>
      <c r="L114" s="510" t="str">
        <f>IF(dir!L92="","",dir!L92)</f>
        <v/>
      </c>
      <c r="M114" s="568" t="str">
        <f t="shared" si="36"/>
        <v/>
      </c>
      <c r="N114" s="512"/>
      <c r="O114" s="569" t="str">
        <f>IF(I114="","",VLOOKUP(I114,tab!$A$68:$V$108,J114+2,FALSE))</f>
        <v/>
      </c>
      <c r="P114" s="570" t="str">
        <f t="shared" si="37"/>
        <v/>
      </c>
      <c r="Q114" s="1173">
        <f t="shared" si="41"/>
        <v>0.62</v>
      </c>
      <c r="R114" s="570" t="str">
        <f t="shared" si="42"/>
        <v/>
      </c>
      <c r="S114" s="570">
        <f>IF(L114="",0,(((O114*12)*L114)*(1+tab!$D$55)*tab!$F$57))</f>
        <v>0</v>
      </c>
      <c r="T114" s="1134">
        <f t="shared" si="38"/>
        <v>0</v>
      </c>
      <c r="U114" s="571">
        <f t="shared" si="39"/>
        <v>0</v>
      </c>
      <c r="V114" s="1151">
        <f t="shared" si="40"/>
        <v>0</v>
      </c>
      <c r="W114" s="518"/>
      <c r="X114" s="476"/>
      <c r="AA114" s="552"/>
      <c r="AJ114" s="552"/>
    </row>
    <row r="115" spans="3:36" ht="12.75" customHeight="1" x14ac:dyDescent="0.2">
      <c r="C115" s="108"/>
      <c r="D115" s="522"/>
      <c r="E115" s="134"/>
      <c r="F115" s="134"/>
      <c r="G115" s="523"/>
      <c r="H115" s="524"/>
      <c r="I115" s="113"/>
      <c r="J115" s="113"/>
      <c r="K115" s="525">
        <f>SUM(K105:K114)</f>
        <v>0</v>
      </c>
      <c r="L115" s="525">
        <f>SUM(L105:L114)</f>
        <v>0</v>
      </c>
      <c r="M115" s="525">
        <f>SUM(M105:M114)</f>
        <v>0</v>
      </c>
      <c r="N115" s="523"/>
      <c r="O115" s="526">
        <f t="shared" ref="O115:V115" si="43">SUM(O105:O114)</f>
        <v>0</v>
      </c>
      <c r="P115" s="526">
        <f t="shared" si="43"/>
        <v>0</v>
      </c>
      <c r="Q115" s="527"/>
      <c r="R115" s="526">
        <f t="shared" si="43"/>
        <v>0</v>
      </c>
      <c r="S115" s="526">
        <f t="shared" si="43"/>
        <v>0</v>
      </c>
      <c r="T115" s="526">
        <f t="shared" si="43"/>
        <v>0</v>
      </c>
      <c r="U115" s="528">
        <f t="shared" si="43"/>
        <v>0</v>
      </c>
      <c r="V115" s="1146">
        <f t="shared" si="43"/>
        <v>0</v>
      </c>
      <c r="W115" s="518"/>
      <c r="X115" s="476"/>
      <c r="AA115" s="552"/>
      <c r="AJ115" s="552"/>
    </row>
    <row r="116" spans="3:36" ht="12.75" customHeight="1" x14ac:dyDescent="0.2">
      <c r="C116" s="116"/>
      <c r="D116" s="531"/>
      <c r="E116" s="168"/>
      <c r="F116" s="168"/>
      <c r="G116" s="235"/>
      <c r="H116" s="532"/>
      <c r="I116" s="235"/>
      <c r="J116" s="533"/>
      <c r="K116" s="534"/>
      <c r="L116" s="533"/>
      <c r="M116" s="534"/>
      <c r="N116" s="168"/>
      <c r="O116" s="533"/>
      <c r="P116" s="527"/>
      <c r="Q116" s="527"/>
      <c r="R116" s="527"/>
      <c r="S116" s="527"/>
      <c r="T116" s="527"/>
      <c r="U116" s="535"/>
      <c r="V116" s="1147"/>
      <c r="W116" s="537"/>
      <c r="X116" s="476"/>
      <c r="AA116" s="552"/>
      <c r="AJ116" s="552"/>
    </row>
    <row r="117" spans="3:36" ht="12.75" customHeight="1" x14ac:dyDescent="0.2">
      <c r="I117" s="202"/>
      <c r="K117" s="517"/>
      <c r="M117" s="366"/>
      <c r="O117" s="564"/>
      <c r="P117" s="506"/>
      <c r="Q117" s="506"/>
      <c r="R117" s="506"/>
      <c r="S117" s="506"/>
      <c r="T117" s="1133"/>
      <c r="V117" s="1150"/>
      <c r="X117" s="476"/>
    </row>
    <row r="118" spans="3:36" x14ac:dyDescent="0.2">
      <c r="X118" s="476"/>
    </row>
    <row r="119" spans="3:36" x14ac:dyDescent="0.2">
      <c r="X119" s="476"/>
    </row>
    <row r="120" spans="3:36" x14ac:dyDescent="0.2">
      <c r="X120" s="476"/>
    </row>
    <row r="121" spans="3:36" x14ac:dyDescent="0.2">
      <c r="X121" s="476"/>
    </row>
    <row r="122" spans="3:36" x14ac:dyDescent="0.2">
      <c r="X122" s="476"/>
    </row>
    <row r="123" spans="3:36" x14ac:dyDescent="0.2">
      <c r="X123" s="476"/>
    </row>
  </sheetData>
  <sheetProtection password="DFB1" sheet="1" objects="1" scenarios="1"/>
  <mergeCells count="10">
    <mergeCell ref="D12:M12"/>
    <mergeCell ref="O12:T12"/>
    <mergeCell ref="D101:M101"/>
    <mergeCell ref="O101:T101"/>
    <mergeCell ref="D79:M79"/>
    <mergeCell ref="O79:T79"/>
    <mergeCell ref="D34:M34"/>
    <mergeCell ref="O34:T34"/>
    <mergeCell ref="D57:M57"/>
    <mergeCell ref="O57:T57"/>
  </mergeCells>
  <phoneticPr fontId="0" type="noConversion"/>
  <dataValidations count="3">
    <dataValidation type="list" allowBlank="1" showInputMessage="1" showErrorMessage="1" sqref="I117 I94:I100">
      <formula1>"LIOa,LIOb,J1,J2,J3,J4,J5,J6,1,2,3,4,5,6,7,8,9,10,11,12,13,14,15,LA,LB,LC,LD,LE,ID1,ID2,ID3"</formula1>
    </dataValidation>
    <dataValidation type="list" allowBlank="1" showInputMessage="1" showErrorMessage="1" sqref="I105:I114 I16:I25 I61:I70 I83:I92 I38:I47">
      <formula1>"AA,AB,AC,AD,AE,DA,DB,DBuit,DC,DCuit,DD,DE,meerh bas DA11, meerh sbo DB10, meerh sbo DB11, meerh sbo DC13, meerh sbo DCuit15"</formula1>
    </dataValidation>
    <dataValidation type="list" allowBlank="1" showInputMessage="1" showErrorMessage="1" sqref="I75:I76 I50:I56">
      <formula1>"LA,LB,LC,LD,LE"</formula1>
    </dataValidation>
  </dataValidations>
  <pageMargins left="0.74803149606299213" right="0.74803149606299213" top="0.98425196850393704" bottom="0.98425196850393704" header="0.51181102362204722" footer="0.51181102362204722"/>
  <pageSetup paperSize="9" scale="50" orientation="landscape" r:id="rId1"/>
  <headerFooter alignWithMargins="0">
    <oddHeader>&amp;L&amp;"Arial,Vet"&amp;F&amp;R&amp;"Arial,Vet"&amp;A</oddHeader>
    <oddFooter>&amp;L&amp;"Arial,Vet"PO-Raad&amp;C&amp;"Arial,Vet"&amp;D&amp;R&amp;"Arial,Vet"pagina &amp;P</oddFooter>
  </headerFooter>
  <rowBreaks count="1" manualBreakCount="1">
    <brk id="50" min="1" max="30"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9"/>
  <dimension ref="B1:AP342"/>
  <sheetViews>
    <sheetView showGridLines="0" zoomScale="85" zoomScaleNormal="85" workbookViewId="0">
      <pane ySplit="15" topLeftCell="A16" activePane="bottomLeft" state="frozen"/>
      <selection activeCell="B2" sqref="B2"/>
      <selection pane="bottomLeft" activeCell="B2" sqref="B2"/>
    </sheetView>
  </sheetViews>
  <sheetFormatPr defaultColWidth="9.140625" defaultRowHeight="12.75" x14ac:dyDescent="0.2"/>
  <cols>
    <col min="1" max="1" width="3.7109375" style="86" customWidth="1"/>
    <col min="2" max="3" width="2.7109375" style="86" customWidth="1"/>
    <col min="4" max="4" width="10.7109375" style="363" customWidth="1"/>
    <col min="5" max="6" width="20.7109375" style="363" customWidth="1"/>
    <col min="7" max="7" width="8.7109375" style="202" customWidth="1"/>
    <col min="8" max="8" width="8.7109375" style="364" customWidth="1"/>
    <col min="9" max="10" width="8.7109375" style="365" customWidth="1"/>
    <col min="11" max="11" width="8.7109375" style="366" customWidth="1"/>
    <col min="12" max="12" width="8.7109375" style="365" customWidth="1"/>
    <col min="13" max="13" width="8.7109375" style="367" customWidth="1"/>
    <col min="14" max="14" width="0.85546875" style="86" customWidth="1"/>
    <col min="15" max="15" width="9.7109375" style="368" customWidth="1"/>
    <col min="16" max="16" width="9.7109375" style="86" customWidth="1"/>
    <col min="17" max="17" width="9.7109375" style="202" customWidth="1"/>
    <col min="18" max="18" width="9.7109375" style="585" customWidth="1"/>
    <col min="19" max="19" width="9.7109375" style="86" customWidth="1"/>
    <col min="20" max="20" width="9.7109375" style="573" customWidth="1"/>
    <col min="21" max="21" width="8.7109375" style="586" hidden="1" customWidth="1"/>
    <col min="22" max="22" width="8.7109375" style="1140" customWidth="1"/>
    <col min="23" max="23" width="3" style="86" customWidth="1"/>
    <col min="24" max="24" width="2.7109375" style="86" customWidth="1"/>
    <col min="25" max="26" width="20.7109375" style="86" customWidth="1"/>
    <col min="27" max="30" width="10.7109375" style="244" customWidth="1"/>
    <col min="31" max="31" width="10.7109375" style="587" customWidth="1"/>
    <col min="32" max="38" width="8.85546875" style="86" customWidth="1"/>
    <col min="39" max="39" width="8.85546875" style="202" customWidth="1"/>
    <col min="40" max="40" width="8.85546875" style="372" customWidth="1"/>
    <col min="41" max="74" width="8.85546875" style="86" customWidth="1"/>
    <col min="75" max="16384" width="9.140625" style="86"/>
  </cols>
  <sheetData>
    <row r="1" spans="2:42" ht="12.75" customHeight="1" x14ac:dyDescent="0.2"/>
    <row r="2" spans="2:42" x14ac:dyDescent="0.2">
      <c r="B2" s="81"/>
      <c r="C2" s="82"/>
      <c r="D2" s="374"/>
      <c r="E2" s="374"/>
      <c r="F2" s="374"/>
      <c r="G2" s="203"/>
      <c r="H2" s="375"/>
      <c r="I2" s="376"/>
      <c r="J2" s="376"/>
      <c r="K2" s="377"/>
      <c r="L2" s="376"/>
      <c r="M2" s="378"/>
      <c r="N2" s="82"/>
      <c r="O2" s="379"/>
      <c r="P2" s="82"/>
      <c r="Q2" s="203"/>
      <c r="R2" s="588"/>
      <c r="S2" s="82"/>
      <c r="T2" s="1125"/>
      <c r="U2" s="589"/>
      <c r="V2" s="1141"/>
      <c r="W2" s="82"/>
      <c r="X2" s="85"/>
    </row>
    <row r="3" spans="2:42" x14ac:dyDescent="0.2">
      <c r="B3" s="87"/>
      <c r="C3" s="88"/>
      <c r="D3" s="303"/>
      <c r="E3" s="303"/>
      <c r="F3" s="303"/>
      <c r="G3" s="204"/>
      <c r="H3" s="384"/>
      <c r="I3" s="385"/>
      <c r="J3" s="385"/>
      <c r="K3" s="386"/>
      <c r="L3" s="385"/>
      <c r="M3" s="387"/>
      <c r="N3" s="88"/>
      <c r="O3" s="388"/>
      <c r="P3" s="88"/>
      <c r="Q3" s="204"/>
      <c r="R3" s="590"/>
      <c r="S3" s="88"/>
      <c r="T3" s="538"/>
      <c r="U3" s="591"/>
      <c r="V3" s="1142"/>
      <c r="W3" s="88"/>
      <c r="X3" s="91"/>
    </row>
    <row r="4" spans="2:42" s="592" customFormat="1" ht="18.75" x14ac:dyDescent="0.3">
      <c r="B4" s="593"/>
      <c r="C4" s="179" t="s">
        <v>456</v>
      </c>
      <c r="D4" s="594"/>
      <c r="E4" s="594"/>
      <c r="F4" s="594"/>
      <c r="G4" s="595"/>
      <c r="H4" s="596"/>
      <c r="I4" s="597"/>
      <c r="J4" s="597"/>
      <c r="K4" s="598"/>
      <c r="L4" s="597"/>
      <c r="M4" s="599"/>
      <c r="N4" s="594"/>
      <c r="O4" s="600"/>
      <c r="P4" s="594"/>
      <c r="Q4" s="595"/>
      <c r="R4" s="601"/>
      <c r="S4" s="594"/>
      <c r="T4" s="1137"/>
      <c r="U4" s="602"/>
      <c r="V4" s="603"/>
      <c r="W4" s="594"/>
      <c r="X4" s="604"/>
      <c r="AA4" s="605"/>
      <c r="AB4" s="605"/>
      <c r="AC4" s="605"/>
      <c r="AD4" s="605"/>
      <c r="AE4" s="606"/>
      <c r="AF4" s="607"/>
      <c r="AG4" s="607"/>
      <c r="AH4" s="607"/>
      <c r="AI4" s="607"/>
      <c r="AJ4" s="608"/>
      <c r="AK4" s="609"/>
      <c r="AL4" s="610"/>
      <c r="AM4" s="611"/>
      <c r="AN4" s="608"/>
    </row>
    <row r="5" spans="2:42" s="412" customFormat="1" ht="18.75" x14ac:dyDescent="0.3">
      <c r="B5" s="413"/>
      <c r="C5" s="414" t="str">
        <f>geg!G12</f>
        <v>Basisschool</v>
      </c>
      <c r="D5" s="422"/>
      <c r="E5" s="422"/>
      <c r="F5" s="422"/>
      <c r="G5" s="417"/>
      <c r="H5" s="418"/>
      <c r="I5" s="419"/>
      <c r="J5" s="419"/>
      <c r="K5" s="420"/>
      <c r="L5" s="419"/>
      <c r="M5" s="421"/>
      <c r="N5" s="422"/>
      <c r="O5" s="423"/>
      <c r="P5" s="422"/>
      <c r="Q5" s="417"/>
      <c r="R5" s="601"/>
      <c r="S5" s="422"/>
      <c r="T5" s="1127"/>
      <c r="U5" s="612"/>
      <c r="V5" s="425"/>
      <c r="W5" s="422"/>
      <c r="X5" s="426"/>
      <c r="AA5" s="605"/>
      <c r="AB5" s="605"/>
      <c r="AC5" s="605"/>
      <c r="AD5" s="605"/>
      <c r="AE5" s="606"/>
      <c r="AF5" s="427"/>
      <c r="AG5" s="427"/>
      <c r="AH5" s="427"/>
      <c r="AI5" s="427"/>
      <c r="AJ5" s="429"/>
      <c r="AK5" s="430"/>
      <c r="AL5" s="431"/>
      <c r="AM5" s="432"/>
      <c r="AN5" s="429"/>
    </row>
    <row r="6" spans="2:42" ht="12.75" customHeight="1" x14ac:dyDescent="0.2">
      <c r="B6" s="87"/>
      <c r="C6" s="88"/>
      <c r="D6" s="88"/>
      <c r="E6" s="88"/>
      <c r="F6" s="303"/>
      <c r="G6" s="204"/>
      <c r="H6" s="384"/>
      <c r="I6" s="385"/>
      <c r="J6" s="385"/>
      <c r="K6" s="386"/>
      <c r="L6" s="385"/>
      <c r="M6" s="387"/>
      <c r="N6" s="88"/>
      <c r="O6" s="388"/>
      <c r="P6" s="88"/>
      <c r="Q6" s="204"/>
      <c r="R6" s="590"/>
      <c r="S6" s="88"/>
      <c r="T6" s="538"/>
      <c r="U6" s="591"/>
      <c r="V6" s="1142"/>
      <c r="W6" s="88"/>
      <c r="X6" s="91"/>
      <c r="AF6" s="433"/>
      <c r="AG6" s="433"/>
      <c r="AH6" s="433"/>
      <c r="AI6" s="433"/>
      <c r="AJ6" s="366"/>
      <c r="AK6" s="365"/>
      <c r="AL6" s="367"/>
      <c r="AM6" s="434"/>
      <c r="AN6" s="366"/>
    </row>
    <row r="7" spans="2:42" ht="12.75" customHeight="1" x14ac:dyDescent="0.2">
      <c r="B7" s="87"/>
      <c r="C7" s="88"/>
      <c r="D7" s="88"/>
      <c r="E7" s="88"/>
      <c r="F7" s="303"/>
      <c r="G7" s="204"/>
      <c r="H7" s="384"/>
      <c r="I7" s="385"/>
      <c r="J7" s="385"/>
      <c r="K7" s="386"/>
      <c r="L7" s="385"/>
      <c r="M7" s="387"/>
      <c r="N7" s="88"/>
      <c r="O7" s="388"/>
      <c r="P7" s="88"/>
      <c r="Q7" s="204"/>
      <c r="R7" s="590"/>
      <c r="S7" s="88"/>
      <c r="T7" s="538"/>
      <c r="U7" s="591"/>
      <c r="V7" s="1142"/>
      <c r="W7" s="88"/>
      <c r="X7" s="91"/>
      <c r="AF7" s="433"/>
      <c r="AG7" s="433"/>
      <c r="AH7" s="433"/>
      <c r="AI7" s="433"/>
      <c r="AJ7" s="366"/>
      <c r="AK7" s="365"/>
      <c r="AL7" s="367"/>
      <c r="AM7" s="434"/>
      <c r="AN7" s="366"/>
    </row>
    <row r="8" spans="2:42" s="435" customFormat="1" ht="12.75" customHeight="1" x14ac:dyDescent="0.25">
      <c r="B8" s="436"/>
      <c r="C8" s="88" t="s">
        <v>290</v>
      </c>
      <c r="D8" s="303"/>
      <c r="E8" s="541" t="str">
        <f>dir!E8</f>
        <v>2013/14</v>
      </c>
      <c r="F8" s="440"/>
      <c r="G8" s="441"/>
      <c r="H8" s="442"/>
      <c r="I8" s="443"/>
      <c r="J8" s="443"/>
      <c r="K8" s="444"/>
      <c r="L8" s="443"/>
      <c r="M8" s="445"/>
      <c r="N8" s="437"/>
      <c r="O8" s="446"/>
      <c r="P8" s="437"/>
      <c r="Q8" s="613"/>
      <c r="R8" s="614"/>
      <c r="S8" s="437"/>
      <c r="T8" s="1128"/>
      <c r="U8" s="615"/>
      <c r="V8" s="1143"/>
      <c r="W8" s="437"/>
      <c r="X8" s="448"/>
      <c r="AA8" s="616"/>
      <c r="AB8" s="616"/>
      <c r="AC8" s="617"/>
      <c r="AD8" s="617"/>
      <c r="AE8" s="618"/>
      <c r="AF8" s="449"/>
      <c r="AG8" s="449"/>
      <c r="AH8" s="449"/>
      <c r="AI8" s="449"/>
      <c r="AJ8" s="451"/>
      <c r="AK8" s="452"/>
      <c r="AL8" s="453"/>
      <c r="AM8" s="454"/>
      <c r="AN8" s="451"/>
    </row>
    <row r="9" spans="2:42" ht="12.75" customHeight="1" x14ac:dyDescent="0.2">
      <c r="B9" s="87"/>
      <c r="C9" s="88" t="s">
        <v>314</v>
      </c>
      <c r="D9" s="303"/>
      <c r="E9" s="455">
        <f>dir!E9</f>
        <v>41548</v>
      </c>
      <c r="F9" s="456"/>
      <c r="G9" s="90"/>
      <c r="H9" s="457"/>
      <c r="I9" s="385"/>
      <c r="J9" s="385"/>
      <c r="K9" s="386"/>
      <c r="L9" s="385"/>
      <c r="M9" s="387"/>
      <c r="N9" s="88"/>
      <c r="O9" s="388"/>
      <c r="P9" s="88"/>
      <c r="Q9" s="204"/>
      <c r="R9" s="590"/>
      <c r="S9" s="88"/>
      <c r="T9" s="538"/>
      <c r="U9" s="591"/>
      <c r="V9" s="1142"/>
      <c r="W9" s="88"/>
      <c r="X9" s="91"/>
      <c r="AA9" s="245"/>
      <c r="AB9" s="245"/>
      <c r="AF9" s="433"/>
      <c r="AG9" s="433"/>
      <c r="AH9" s="433"/>
      <c r="AI9" s="433"/>
      <c r="AJ9" s="366"/>
      <c r="AK9" s="365"/>
      <c r="AL9" s="367"/>
      <c r="AM9" s="434"/>
      <c r="AN9" s="366"/>
    </row>
    <row r="10" spans="2:42" ht="12.75" customHeight="1" x14ac:dyDescent="0.25">
      <c r="B10" s="87"/>
      <c r="C10" s="88"/>
      <c r="D10" s="619"/>
      <c r="E10" s="620"/>
      <c r="F10" s="456"/>
      <c r="G10" s="90"/>
      <c r="H10" s="457"/>
      <c r="I10" s="385"/>
      <c r="J10" s="385"/>
      <c r="K10" s="386"/>
      <c r="L10" s="385"/>
      <c r="M10" s="387"/>
      <c r="N10" s="88"/>
      <c r="O10" s="388"/>
      <c r="P10" s="88"/>
      <c r="Q10" s="204"/>
      <c r="R10" s="590"/>
      <c r="S10" s="88"/>
      <c r="T10" s="538"/>
      <c r="U10" s="591"/>
      <c r="V10" s="1142"/>
      <c r="W10" s="88"/>
      <c r="X10" s="91"/>
      <c r="AA10" s="245"/>
      <c r="AB10" s="245"/>
      <c r="AF10" s="433"/>
      <c r="AG10" s="433"/>
      <c r="AH10" s="433"/>
      <c r="AI10" s="433"/>
      <c r="AJ10" s="366"/>
      <c r="AK10" s="365"/>
      <c r="AL10" s="367"/>
      <c r="AM10" s="434"/>
      <c r="AN10" s="366"/>
    </row>
    <row r="11" spans="2:42" ht="12.75" customHeight="1" x14ac:dyDescent="0.2">
      <c r="B11" s="87"/>
      <c r="C11" s="621"/>
      <c r="D11" s="622"/>
      <c r="E11" s="623"/>
      <c r="F11" s="622"/>
      <c r="G11" s="624"/>
      <c r="H11" s="625"/>
      <c r="I11" s="626"/>
      <c r="J11" s="626"/>
      <c r="K11" s="627"/>
      <c r="L11" s="626"/>
      <c r="M11" s="628"/>
      <c r="N11" s="629"/>
      <c r="O11" s="630"/>
      <c r="P11" s="629"/>
      <c r="Q11" s="624"/>
      <c r="R11" s="631"/>
      <c r="S11" s="629"/>
      <c r="T11" s="1138"/>
      <c r="U11" s="632"/>
      <c r="V11" s="1153"/>
      <c r="W11" s="124"/>
      <c r="X11" s="91"/>
      <c r="AF11" s="433"/>
      <c r="AG11" s="433"/>
      <c r="AH11" s="433"/>
      <c r="AI11" s="433"/>
      <c r="AJ11" s="366"/>
      <c r="AK11" s="365"/>
      <c r="AL11" s="367"/>
      <c r="AM11" s="434"/>
      <c r="AN11" s="366"/>
    </row>
    <row r="12" spans="2:42" s="124" customFormat="1" ht="12.75" customHeight="1" x14ac:dyDescent="0.2">
      <c r="B12" s="120"/>
      <c r="C12" s="214"/>
      <c r="D12" s="157" t="s">
        <v>457</v>
      </c>
      <c r="E12" s="633"/>
      <c r="F12" s="633"/>
      <c r="G12" s="633"/>
      <c r="H12" s="633"/>
      <c r="I12" s="634"/>
      <c r="J12" s="634"/>
      <c r="K12" s="634"/>
      <c r="L12" s="634"/>
      <c r="M12" s="634"/>
      <c r="N12" s="472"/>
      <c r="O12" s="1277" t="s">
        <v>298</v>
      </c>
      <c r="P12" s="1279"/>
      <c r="Q12" s="1279"/>
      <c r="R12" s="1279"/>
      <c r="S12" s="1279"/>
      <c r="T12" s="1279"/>
      <c r="U12" s="473"/>
      <c r="V12" s="216"/>
      <c r="W12" s="635"/>
      <c r="X12" s="475"/>
      <c r="Y12" s="476"/>
      <c r="Z12" s="476"/>
      <c r="AA12" s="357"/>
      <c r="AB12" s="357"/>
      <c r="AC12" s="357"/>
      <c r="AD12" s="357"/>
      <c r="AE12" s="357"/>
      <c r="AO12" s="476"/>
      <c r="AP12" s="476"/>
    </row>
    <row r="13" spans="2:42" s="124" customFormat="1" ht="12.75" customHeight="1" x14ac:dyDescent="0.2">
      <c r="B13" s="120"/>
      <c r="C13" s="214"/>
      <c r="D13" s="165" t="s">
        <v>152</v>
      </c>
      <c r="E13" s="165" t="s">
        <v>296</v>
      </c>
      <c r="F13" s="165" t="s">
        <v>275</v>
      </c>
      <c r="G13" s="480" t="s">
        <v>235</v>
      </c>
      <c r="H13" s="481" t="s">
        <v>439</v>
      </c>
      <c r="I13" s="480" t="s">
        <v>333</v>
      </c>
      <c r="J13" s="480" t="s">
        <v>368</v>
      </c>
      <c r="K13" s="482" t="s">
        <v>238</v>
      </c>
      <c r="L13" s="483" t="s">
        <v>334</v>
      </c>
      <c r="M13" s="482" t="s">
        <v>238</v>
      </c>
      <c r="N13" s="259"/>
      <c r="O13" s="584" t="s">
        <v>502</v>
      </c>
      <c r="P13" s="484" t="s">
        <v>637</v>
      </c>
      <c r="Q13" s="584" t="s">
        <v>0</v>
      </c>
      <c r="R13" s="485"/>
      <c r="S13" s="487" t="s">
        <v>334</v>
      </c>
      <c r="T13" s="1130" t="s">
        <v>313</v>
      </c>
      <c r="U13" s="486" t="s">
        <v>467</v>
      </c>
      <c r="V13" s="216" t="s">
        <v>668</v>
      </c>
      <c r="W13" s="636"/>
      <c r="X13" s="489"/>
      <c r="Y13" s="490"/>
      <c r="Z13" s="490"/>
      <c r="AA13" s="350" t="s">
        <v>444</v>
      </c>
      <c r="AB13" s="350" t="s">
        <v>445</v>
      </c>
      <c r="AC13" s="350" t="s">
        <v>237</v>
      </c>
      <c r="AD13" s="350" t="s">
        <v>326</v>
      </c>
      <c r="AE13" s="637" t="s">
        <v>300</v>
      </c>
      <c r="AO13" s="476"/>
      <c r="AP13" s="490"/>
    </row>
    <row r="14" spans="2:42" s="124" customFormat="1" ht="12.75" customHeight="1" x14ac:dyDescent="0.2">
      <c r="B14" s="120"/>
      <c r="C14" s="214"/>
      <c r="D14" s="633"/>
      <c r="E14" s="165"/>
      <c r="F14" s="494"/>
      <c r="G14" s="480" t="s">
        <v>236</v>
      </c>
      <c r="H14" s="481" t="s">
        <v>440</v>
      </c>
      <c r="I14" s="480"/>
      <c r="J14" s="480"/>
      <c r="K14" s="482" t="s">
        <v>443</v>
      </c>
      <c r="L14" s="483"/>
      <c r="M14" s="482" t="s">
        <v>337</v>
      </c>
      <c r="N14" s="259"/>
      <c r="O14" s="584" t="s">
        <v>321</v>
      </c>
      <c r="P14" s="484" t="s">
        <v>636</v>
      </c>
      <c r="Q14" s="1176">
        <f>tab!$D$55</f>
        <v>0.62</v>
      </c>
      <c r="R14" s="485" t="s">
        <v>1</v>
      </c>
      <c r="S14" s="487" t="s">
        <v>367</v>
      </c>
      <c r="T14" s="1130" t="s">
        <v>434</v>
      </c>
      <c r="U14" s="486"/>
      <c r="V14" s="487" t="s">
        <v>367</v>
      </c>
      <c r="X14" s="96"/>
      <c r="AA14" s="637" t="s">
        <v>441</v>
      </c>
      <c r="AB14" s="637" t="s">
        <v>441</v>
      </c>
      <c r="AC14" s="350"/>
      <c r="AD14" s="350" t="s">
        <v>300</v>
      </c>
      <c r="AE14" s="637"/>
      <c r="AP14" s="638"/>
    </row>
    <row r="15" spans="2:42" ht="12.75" customHeight="1" x14ac:dyDescent="0.2">
      <c r="B15" s="87"/>
      <c r="C15" s="108"/>
      <c r="D15" s="109"/>
      <c r="E15" s="109"/>
      <c r="F15" s="109"/>
      <c r="G15" s="113"/>
      <c r="H15" s="499"/>
      <c r="I15" s="500"/>
      <c r="J15" s="500"/>
      <c r="K15" s="501"/>
      <c r="L15" s="498"/>
      <c r="M15" s="501"/>
      <c r="N15" s="109"/>
      <c r="O15" s="502"/>
      <c r="P15" s="503"/>
      <c r="Q15" s="503"/>
      <c r="R15" s="639"/>
      <c r="S15" s="503"/>
      <c r="T15" s="694"/>
      <c r="U15" s="138"/>
      <c r="V15" s="504"/>
      <c r="W15" s="124"/>
      <c r="X15" s="91"/>
      <c r="AE15" s="637"/>
      <c r="AM15" s="86"/>
      <c r="AN15" s="86"/>
      <c r="AP15" s="506"/>
    </row>
    <row r="16" spans="2:42" ht="12.75" customHeight="1" x14ac:dyDescent="0.2">
      <c r="B16" s="87"/>
      <c r="C16" s="108"/>
      <c r="D16" s="115"/>
      <c r="E16" s="115" t="s">
        <v>631</v>
      </c>
      <c r="F16" s="115"/>
      <c r="G16" s="132"/>
      <c r="H16" s="508">
        <v>25934</v>
      </c>
      <c r="I16" s="132" t="s">
        <v>242</v>
      </c>
      <c r="J16" s="150">
        <v>15</v>
      </c>
      <c r="K16" s="509">
        <v>1</v>
      </c>
      <c r="L16" s="510">
        <v>0.125</v>
      </c>
      <c r="M16" s="511">
        <f t="shared" ref="M16:M47" si="0">(IF(L16=0,(K16),(K16)-L16))</f>
        <v>0.875</v>
      </c>
      <c r="N16" s="109"/>
      <c r="O16" s="513">
        <f>IF(I16="","",VLOOKUP(I16,tab!$A$68:$V$108,J16+2,FALSE))</f>
        <v>3274</v>
      </c>
      <c r="P16" s="514">
        <f t="shared" ref="P16:P47" si="1">IF(E16=0,"",(O16*M16*12))</f>
        <v>34377</v>
      </c>
      <c r="Q16" s="1173">
        <f>$Q$14</f>
        <v>0.62</v>
      </c>
      <c r="R16" s="641">
        <f t="shared" ref="R16:R47" si="2">IF(E16=0,"",(P16)*Q16)</f>
        <v>21313.74</v>
      </c>
      <c r="S16" s="514">
        <f>IF(L16="",0,(((O16*12)*L16)*(1+tab!$D$55)*tab!$F$57))</f>
        <v>6236.97</v>
      </c>
      <c r="T16" s="1131">
        <f t="shared" ref="T16:T47" si="3">IF(E16=0,0,(P16+R16+S16))</f>
        <v>61927.710000000006</v>
      </c>
      <c r="U16" s="219">
        <f t="shared" ref="U16:U47" si="4">IF(G16&lt;25,0,IF(G16=25,25,IF(G16&lt;40,0,IF(G16=40,40,IF(G16&gt;=40,0)))))</f>
        <v>0</v>
      </c>
      <c r="V16" s="1145">
        <f t="shared" ref="V16:V47" si="5">IF(U16=25,(O16*1.08*(K16)/2),IF(U16=40,(O16*1.08*(K16)),IF(U16=0,0)))</f>
        <v>0</v>
      </c>
      <c r="W16" s="469"/>
      <c r="X16" s="516"/>
      <c r="Y16" s="506"/>
      <c r="Z16" s="506"/>
      <c r="AA16" s="642" t="b">
        <f>DATE(YEAR(tab!$E$3),MONTH(H16),DAY(H16))&gt;tab!$E$3</f>
        <v>0</v>
      </c>
      <c r="AB16" s="643">
        <f t="shared" ref="AB16:AB47" si="6">YEAR($E$9)-YEAR(H16)-AA16</f>
        <v>42</v>
      </c>
      <c r="AC16" s="244">
        <f t="shared" ref="AC16:AC47" si="7">IF((H16=""),30,AB16)</f>
        <v>42</v>
      </c>
      <c r="AD16" s="244">
        <f t="shared" ref="AD16:AD47" si="8">IF((AC16)&gt;50,50,(AC16))</f>
        <v>42</v>
      </c>
      <c r="AE16" s="643">
        <f t="shared" ref="AE16:AE47" si="9">ROUND(AD16*K16,2)</f>
        <v>42</v>
      </c>
      <c r="AM16" s="86"/>
      <c r="AN16" s="86"/>
      <c r="AO16" s="506"/>
      <c r="AP16" s="369"/>
    </row>
    <row r="17" spans="2:42" ht="12.75" customHeight="1" x14ac:dyDescent="0.2">
      <c r="B17" s="87"/>
      <c r="C17" s="108"/>
      <c r="D17" s="115"/>
      <c r="E17" s="115"/>
      <c r="F17" s="115"/>
      <c r="G17" s="132"/>
      <c r="H17" s="508"/>
      <c r="I17" s="132"/>
      <c r="J17" s="150"/>
      <c r="K17" s="509"/>
      <c r="L17" s="510"/>
      <c r="M17" s="511">
        <f t="shared" si="0"/>
        <v>0</v>
      </c>
      <c r="N17" s="109"/>
      <c r="O17" s="513" t="str">
        <f>IF(I17="","",VLOOKUP(I17,tab!$A$68:$V$108,J17+2,FALSE))</f>
        <v/>
      </c>
      <c r="P17" s="514" t="str">
        <f t="shared" si="1"/>
        <v/>
      </c>
      <c r="Q17" s="1173">
        <f>$Q$14</f>
        <v>0.62</v>
      </c>
      <c r="R17" s="641" t="str">
        <f t="shared" si="2"/>
        <v/>
      </c>
      <c r="S17" s="514">
        <f>IF(L17="",0,(((O17*12)*L17)*(1+tab!$D$55)*tab!$F$57))</f>
        <v>0</v>
      </c>
      <c r="T17" s="1131">
        <f t="shared" si="3"/>
        <v>0</v>
      </c>
      <c r="U17" s="219">
        <f t="shared" si="4"/>
        <v>0</v>
      </c>
      <c r="V17" s="1145">
        <f t="shared" si="5"/>
        <v>0</v>
      </c>
      <c r="W17" s="469"/>
      <c r="X17" s="516"/>
      <c r="Y17" s="506"/>
      <c r="Z17" s="506"/>
      <c r="AA17" s="642" t="b">
        <f>DATE(YEAR(tab!$E$3),MONTH(H17),DAY(H17))&gt;tab!$E$3</f>
        <v>0</v>
      </c>
      <c r="AB17" s="643">
        <f t="shared" si="6"/>
        <v>113</v>
      </c>
      <c r="AC17" s="244">
        <f t="shared" si="7"/>
        <v>30</v>
      </c>
      <c r="AD17" s="244">
        <f t="shared" si="8"/>
        <v>30</v>
      </c>
      <c r="AE17" s="643">
        <f t="shared" si="9"/>
        <v>0</v>
      </c>
      <c r="AM17" s="86"/>
      <c r="AN17" s="86"/>
      <c r="AO17" s="506"/>
      <c r="AP17" s="369"/>
    </row>
    <row r="18" spans="2:42" ht="12.75" customHeight="1" x14ac:dyDescent="0.2">
      <c r="B18" s="87"/>
      <c r="C18" s="108"/>
      <c r="D18" s="115"/>
      <c r="E18" s="115"/>
      <c r="F18" s="115"/>
      <c r="G18" s="132"/>
      <c r="H18" s="508"/>
      <c r="I18" s="132"/>
      <c r="J18" s="150"/>
      <c r="K18" s="509"/>
      <c r="L18" s="510"/>
      <c r="M18" s="511">
        <f t="shared" si="0"/>
        <v>0</v>
      </c>
      <c r="N18" s="109"/>
      <c r="O18" s="513" t="str">
        <f>IF(I18="","",VLOOKUP(I18,tab!$A$68:$V$108,J18+2,FALSE))</f>
        <v/>
      </c>
      <c r="P18" s="514" t="str">
        <f t="shared" si="1"/>
        <v/>
      </c>
      <c r="Q18" s="1173">
        <f t="shared" ref="Q18:Q70" si="10">$Q$14</f>
        <v>0.62</v>
      </c>
      <c r="R18" s="641" t="str">
        <f t="shared" si="2"/>
        <v/>
      </c>
      <c r="S18" s="514">
        <f>IF(L18="",0,(((O18*12)*L18)*(1+tab!$D$55)*tab!$F$57))</f>
        <v>0</v>
      </c>
      <c r="T18" s="1131">
        <f t="shared" si="3"/>
        <v>0</v>
      </c>
      <c r="U18" s="219">
        <f t="shared" si="4"/>
        <v>0</v>
      </c>
      <c r="V18" s="1145">
        <f t="shared" si="5"/>
        <v>0</v>
      </c>
      <c r="W18" s="644"/>
      <c r="X18" s="519"/>
      <c r="Y18" s="520"/>
      <c r="Z18" s="520"/>
      <c r="AA18" s="642" t="b">
        <f>DATE(YEAR(tab!$E$3),MONTH(H18),DAY(H18))&gt;tab!$E$3</f>
        <v>0</v>
      </c>
      <c r="AB18" s="643">
        <f t="shared" si="6"/>
        <v>113</v>
      </c>
      <c r="AC18" s="244">
        <f t="shared" si="7"/>
        <v>30</v>
      </c>
      <c r="AD18" s="244">
        <f t="shared" si="8"/>
        <v>30</v>
      </c>
      <c r="AE18" s="643">
        <f t="shared" si="9"/>
        <v>0</v>
      </c>
      <c r="AM18" s="86"/>
      <c r="AN18" s="86"/>
      <c r="AO18" s="369"/>
      <c r="AP18" s="506"/>
    </row>
    <row r="19" spans="2:42" ht="12.75" customHeight="1" x14ac:dyDescent="0.2">
      <c r="B19" s="87"/>
      <c r="C19" s="108"/>
      <c r="D19" s="115"/>
      <c r="E19" s="115"/>
      <c r="F19" s="115"/>
      <c r="G19" s="132"/>
      <c r="H19" s="508"/>
      <c r="I19" s="132"/>
      <c r="J19" s="150"/>
      <c r="K19" s="509"/>
      <c r="L19" s="510"/>
      <c r="M19" s="511">
        <f t="shared" si="0"/>
        <v>0</v>
      </c>
      <c r="N19" s="109"/>
      <c r="O19" s="513" t="str">
        <f>IF(I19="","",VLOOKUP(I19,tab!$A$68:$V$108,J19+2,FALSE))</f>
        <v/>
      </c>
      <c r="P19" s="514" t="str">
        <f t="shared" si="1"/>
        <v/>
      </c>
      <c r="Q19" s="1173">
        <f t="shared" si="10"/>
        <v>0.62</v>
      </c>
      <c r="R19" s="641" t="str">
        <f t="shared" si="2"/>
        <v/>
      </c>
      <c r="S19" s="514">
        <f>IF(L19="",0,(((O19*12)*L19)*(1+tab!$D$55)*tab!$F$57))</f>
        <v>0</v>
      </c>
      <c r="T19" s="1131">
        <f t="shared" si="3"/>
        <v>0</v>
      </c>
      <c r="U19" s="219">
        <f t="shared" si="4"/>
        <v>0</v>
      </c>
      <c r="V19" s="1145">
        <f t="shared" si="5"/>
        <v>0</v>
      </c>
      <c r="W19" s="644"/>
      <c r="X19" s="519"/>
      <c r="Y19" s="520"/>
      <c r="Z19" s="520"/>
      <c r="AA19" s="642" t="b">
        <f>DATE(YEAR(tab!$E$3),MONTH(H19),DAY(H19))&gt;tab!$E$3</f>
        <v>0</v>
      </c>
      <c r="AB19" s="643">
        <f t="shared" si="6"/>
        <v>113</v>
      </c>
      <c r="AC19" s="244">
        <f t="shared" si="7"/>
        <v>30</v>
      </c>
      <c r="AD19" s="244">
        <f t="shared" si="8"/>
        <v>30</v>
      </c>
      <c r="AE19" s="643">
        <f t="shared" si="9"/>
        <v>0</v>
      </c>
      <c r="AM19" s="86"/>
      <c r="AN19" s="86"/>
      <c r="AO19" s="369"/>
      <c r="AP19" s="506"/>
    </row>
    <row r="20" spans="2:42" ht="12.75" customHeight="1" x14ac:dyDescent="0.2">
      <c r="B20" s="87"/>
      <c r="C20" s="108"/>
      <c r="D20" s="115"/>
      <c r="E20" s="115"/>
      <c r="F20" s="115"/>
      <c r="G20" s="132"/>
      <c r="H20" s="508"/>
      <c r="I20" s="132"/>
      <c r="J20" s="150"/>
      <c r="K20" s="509"/>
      <c r="L20" s="510"/>
      <c r="M20" s="511">
        <f t="shared" si="0"/>
        <v>0</v>
      </c>
      <c r="N20" s="109"/>
      <c r="O20" s="513" t="str">
        <f>IF(I20="","",VLOOKUP(I20,tab!$A$68:$V$108,J20+2,FALSE))</f>
        <v/>
      </c>
      <c r="P20" s="514" t="str">
        <f t="shared" si="1"/>
        <v/>
      </c>
      <c r="Q20" s="1173">
        <f t="shared" si="10"/>
        <v>0.62</v>
      </c>
      <c r="R20" s="641" t="str">
        <f t="shared" si="2"/>
        <v/>
      </c>
      <c r="S20" s="514">
        <f>IF(L20="",0,(((O20*12)*L20)*(1+tab!$D$55)*tab!$F$57))</f>
        <v>0</v>
      </c>
      <c r="T20" s="1131">
        <f t="shared" si="3"/>
        <v>0</v>
      </c>
      <c r="U20" s="219">
        <f t="shared" si="4"/>
        <v>0</v>
      </c>
      <c r="V20" s="1145">
        <f t="shared" si="5"/>
        <v>0</v>
      </c>
      <c r="W20" s="469"/>
      <c r="X20" s="516"/>
      <c r="Y20" s="506"/>
      <c r="Z20" s="506"/>
      <c r="AA20" s="642" t="b">
        <f>DATE(YEAR(tab!$E$3),MONTH(H20),DAY(H20))&gt;tab!$E$3</f>
        <v>0</v>
      </c>
      <c r="AB20" s="643">
        <f t="shared" si="6"/>
        <v>113</v>
      </c>
      <c r="AC20" s="244">
        <f t="shared" si="7"/>
        <v>30</v>
      </c>
      <c r="AD20" s="244">
        <f t="shared" si="8"/>
        <v>30</v>
      </c>
      <c r="AE20" s="643">
        <f t="shared" si="9"/>
        <v>0</v>
      </c>
      <c r="AM20" s="86"/>
      <c r="AN20" s="86"/>
      <c r="AO20" s="506"/>
    </row>
    <row r="21" spans="2:42" ht="12.75" customHeight="1" x14ac:dyDescent="0.2">
      <c r="B21" s="87"/>
      <c r="C21" s="108"/>
      <c r="D21" s="115"/>
      <c r="E21" s="115"/>
      <c r="F21" s="115"/>
      <c r="G21" s="132"/>
      <c r="H21" s="508"/>
      <c r="I21" s="132"/>
      <c r="J21" s="150"/>
      <c r="K21" s="509"/>
      <c r="L21" s="510"/>
      <c r="M21" s="511">
        <f t="shared" si="0"/>
        <v>0</v>
      </c>
      <c r="N21" s="109"/>
      <c r="O21" s="513" t="str">
        <f>IF(I21="","",VLOOKUP(I21,tab!$A$68:$V$108,J21+2,FALSE))</f>
        <v/>
      </c>
      <c r="P21" s="514" t="str">
        <f t="shared" si="1"/>
        <v/>
      </c>
      <c r="Q21" s="1173">
        <f t="shared" si="10"/>
        <v>0.62</v>
      </c>
      <c r="R21" s="641" t="str">
        <f t="shared" si="2"/>
        <v/>
      </c>
      <c r="S21" s="514">
        <f>IF(L21="",0,(((O21*12)*L21)*(1+tab!$D$55)*tab!$F$57))</f>
        <v>0</v>
      </c>
      <c r="T21" s="1131">
        <f t="shared" si="3"/>
        <v>0</v>
      </c>
      <c r="U21" s="219">
        <f t="shared" si="4"/>
        <v>0</v>
      </c>
      <c r="V21" s="1145">
        <f t="shared" si="5"/>
        <v>0</v>
      </c>
      <c r="W21" s="469"/>
      <c r="X21" s="516"/>
      <c r="Y21" s="506"/>
      <c r="Z21" s="506"/>
      <c r="AA21" s="642" t="b">
        <f>DATE(YEAR(tab!$E$3),MONTH(H21),DAY(H21))&gt;tab!$E$3</f>
        <v>0</v>
      </c>
      <c r="AB21" s="643">
        <f t="shared" si="6"/>
        <v>113</v>
      </c>
      <c r="AC21" s="244">
        <f t="shared" si="7"/>
        <v>30</v>
      </c>
      <c r="AD21" s="244">
        <f t="shared" si="8"/>
        <v>30</v>
      </c>
      <c r="AE21" s="643">
        <f t="shared" si="9"/>
        <v>0</v>
      </c>
      <c r="AM21" s="86"/>
      <c r="AN21" s="86"/>
      <c r="AO21" s="506"/>
    </row>
    <row r="22" spans="2:42" ht="12.75" customHeight="1" x14ac:dyDescent="0.2">
      <c r="B22" s="87"/>
      <c r="C22" s="108"/>
      <c r="D22" s="115"/>
      <c r="E22" s="115"/>
      <c r="F22" s="115"/>
      <c r="G22" s="132"/>
      <c r="H22" s="508"/>
      <c r="I22" s="132"/>
      <c r="J22" s="150"/>
      <c r="K22" s="509"/>
      <c r="L22" s="510"/>
      <c r="M22" s="511">
        <f t="shared" si="0"/>
        <v>0</v>
      </c>
      <c r="N22" s="109"/>
      <c r="O22" s="513" t="str">
        <f>IF(I22="","",VLOOKUP(I22,tab!$A$68:$V$108,J22+2,FALSE))</f>
        <v/>
      </c>
      <c r="P22" s="514" t="str">
        <f t="shared" si="1"/>
        <v/>
      </c>
      <c r="Q22" s="1173">
        <f t="shared" si="10"/>
        <v>0.62</v>
      </c>
      <c r="R22" s="641" t="str">
        <f t="shared" si="2"/>
        <v/>
      </c>
      <c r="S22" s="514">
        <f>IF(L22="",0,(((O22*12)*L22)*(1+tab!$D$55)*tab!$F$57))</f>
        <v>0</v>
      </c>
      <c r="T22" s="1131">
        <f t="shared" si="3"/>
        <v>0</v>
      </c>
      <c r="U22" s="219">
        <f t="shared" si="4"/>
        <v>0</v>
      </c>
      <c r="V22" s="1145">
        <f t="shared" si="5"/>
        <v>0</v>
      </c>
      <c r="W22" s="124"/>
      <c r="X22" s="91"/>
      <c r="AA22" s="642" t="b">
        <f>DATE(YEAR(tab!$E$3),MONTH(H22),DAY(H22))&gt;tab!$E$3</f>
        <v>0</v>
      </c>
      <c r="AB22" s="643">
        <f t="shared" si="6"/>
        <v>113</v>
      </c>
      <c r="AC22" s="244">
        <f t="shared" si="7"/>
        <v>30</v>
      </c>
      <c r="AD22" s="244">
        <f t="shared" si="8"/>
        <v>30</v>
      </c>
      <c r="AE22" s="643">
        <f t="shared" si="9"/>
        <v>0</v>
      </c>
      <c r="AM22" s="86"/>
      <c r="AN22" s="86"/>
    </row>
    <row r="23" spans="2:42" ht="12.75" customHeight="1" x14ac:dyDescent="0.2">
      <c r="B23" s="87"/>
      <c r="C23" s="108"/>
      <c r="D23" s="115"/>
      <c r="E23" s="115"/>
      <c r="F23" s="115"/>
      <c r="G23" s="132"/>
      <c r="H23" s="508"/>
      <c r="I23" s="132"/>
      <c r="J23" s="150"/>
      <c r="K23" s="509"/>
      <c r="L23" s="510"/>
      <c r="M23" s="511">
        <f t="shared" si="0"/>
        <v>0</v>
      </c>
      <c r="N23" s="109"/>
      <c r="O23" s="513" t="str">
        <f>IF(I23="","",VLOOKUP(I23,tab!$A$68:$V$108,J23+2,FALSE))</f>
        <v/>
      </c>
      <c r="P23" s="514" t="str">
        <f t="shared" si="1"/>
        <v/>
      </c>
      <c r="Q23" s="1173">
        <f t="shared" si="10"/>
        <v>0.62</v>
      </c>
      <c r="R23" s="641" t="str">
        <f t="shared" si="2"/>
        <v/>
      </c>
      <c r="S23" s="514">
        <f>IF(L23="",0,(((O23*12)*L23)*(1+tab!$D$55)*tab!$F$57))</f>
        <v>0</v>
      </c>
      <c r="T23" s="1131">
        <f t="shared" si="3"/>
        <v>0</v>
      </c>
      <c r="U23" s="219">
        <f t="shared" si="4"/>
        <v>0</v>
      </c>
      <c r="V23" s="1145">
        <f t="shared" si="5"/>
        <v>0</v>
      </c>
      <c r="W23" s="124"/>
      <c r="X23" s="91"/>
      <c r="AA23" s="642" t="b">
        <f>DATE(YEAR(tab!$E$3),MONTH(H23),DAY(H23))&gt;tab!$E$3</f>
        <v>0</v>
      </c>
      <c r="AB23" s="643">
        <f t="shared" si="6"/>
        <v>113</v>
      </c>
      <c r="AC23" s="244">
        <f t="shared" si="7"/>
        <v>30</v>
      </c>
      <c r="AD23" s="244">
        <f t="shared" si="8"/>
        <v>30</v>
      </c>
      <c r="AE23" s="643">
        <f t="shared" si="9"/>
        <v>0</v>
      </c>
    </row>
    <row r="24" spans="2:42" ht="12.75" customHeight="1" x14ac:dyDescent="0.2">
      <c r="B24" s="87"/>
      <c r="C24" s="108"/>
      <c r="D24" s="115"/>
      <c r="E24" s="115"/>
      <c r="F24" s="115"/>
      <c r="G24" s="132"/>
      <c r="H24" s="508"/>
      <c r="I24" s="132"/>
      <c r="J24" s="150"/>
      <c r="K24" s="509"/>
      <c r="L24" s="510"/>
      <c r="M24" s="511">
        <f t="shared" si="0"/>
        <v>0</v>
      </c>
      <c r="N24" s="109"/>
      <c r="O24" s="513" t="str">
        <f>IF(I24="","",VLOOKUP(I24,tab!$A$68:$V$108,J24+2,FALSE))</f>
        <v/>
      </c>
      <c r="P24" s="514" t="str">
        <f t="shared" si="1"/>
        <v/>
      </c>
      <c r="Q24" s="1173">
        <f t="shared" si="10"/>
        <v>0.62</v>
      </c>
      <c r="R24" s="641" t="str">
        <f t="shared" si="2"/>
        <v/>
      </c>
      <c r="S24" s="514">
        <f>IF(L24="",0,(((O24*12)*L24)*(1+tab!$D$55)*tab!$F$57))</f>
        <v>0</v>
      </c>
      <c r="T24" s="1131">
        <f t="shared" si="3"/>
        <v>0</v>
      </c>
      <c r="U24" s="219">
        <f t="shared" si="4"/>
        <v>0</v>
      </c>
      <c r="V24" s="1145">
        <f t="shared" si="5"/>
        <v>0</v>
      </c>
      <c r="W24" s="124"/>
      <c r="X24" s="91"/>
      <c r="AA24" s="642" t="b">
        <f>DATE(YEAR(tab!$E$3),MONTH(H24),DAY(H24))&gt;tab!$E$3</f>
        <v>0</v>
      </c>
      <c r="AB24" s="643">
        <f t="shared" si="6"/>
        <v>113</v>
      </c>
      <c r="AC24" s="244">
        <f t="shared" si="7"/>
        <v>30</v>
      </c>
      <c r="AD24" s="244">
        <f t="shared" si="8"/>
        <v>30</v>
      </c>
      <c r="AE24" s="643">
        <f t="shared" si="9"/>
        <v>0</v>
      </c>
    </row>
    <row r="25" spans="2:42" ht="12.75" customHeight="1" x14ac:dyDescent="0.2">
      <c r="B25" s="87"/>
      <c r="C25" s="108"/>
      <c r="D25" s="115"/>
      <c r="E25" s="115"/>
      <c r="F25" s="115"/>
      <c r="G25" s="132"/>
      <c r="H25" s="508"/>
      <c r="I25" s="132"/>
      <c r="J25" s="150"/>
      <c r="K25" s="509"/>
      <c r="L25" s="510"/>
      <c r="M25" s="511">
        <f t="shared" si="0"/>
        <v>0</v>
      </c>
      <c r="N25" s="109"/>
      <c r="O25" s="513" t="str">
        <f>IF(I25="","",VLOOKUP(I25,tab!$A$68:$V$108,J25+2,FALSE))</f>
        <v/>
      </c>
      <c r="P25" s="514" t="str">
        <f t="shared" si="1"/>
        <v/>
      </c>
      <c r="Q25" s="1173">
        <f t="shared" si="10"/>
        <v>0.62</v>
      </c>
      <c r="R25" s="641" t="str">
        <f t="shared" si="2"/>
        <v/>
      </c>
      <c r="S25" s="514">
        <f>IF(L25="",0,(((O25*12)*L25)*(1+tab!$D$55)*tab!$F$57))</f>
        <v>0</v>
      </c>
      <c r="T25" s="1131">
        <f t="shared" si="3"/>
        <v>0</v>
      </c>
      <c r="U25" s="219">
        <f t="shared" si="4"/>
        <v>0</v>
      </c>
      <c r="V25" s="1145">
        <f t="shared" si="5"/>
        <v>0</v>
      </c>
      <c r="W25" s="124"/>
      <c r="X25" s="91"/>
      <c r="AA25" s="642" t="b">
        <f>DATE(YEAR(tab!$E$3),MONTH(H25),DAY(H25))&gt;tab!$E$3</f>
        <v>0</v>
      </c>
      <c r="AB25" s="643">
        <f t="shared" si="6"/>
        <v>113</v>
      </c>
      <c r="AC25" s="244">
        <f t="shared" si="7"/>
        <v>30</v>
      </c>
      <c r="AD25" s="244">
        <f t="shared" si="8"/>
        <v>30</v>
      </c>
      <c r="AE25" s="643">
        <f t="shared" si="9"/>
        <v>0</v>
      </c>
    </row>
    <row r="26" spans="2:42" ht="12.75" customHeight="1" x14ac:dyDescent="0.2">
      <c r="B26" s="87"/>
      <c r="C26" s="108"/>
      <c r="D26" s="115"/>
      <c r="E26" s="115"/>
      <c r="F26" s="115"/>
      <c r="G26" s="132"/>
      <c r="H26" s="508"/>
      <c r="I26" s="132"/>
      <c r="J26" s="150"/>
      <c r="K26" s="509"/>
      <c r="L26" s="510"/>
      <c r="M26" s="511">
        <f t="shared" si="0"/>
        <v>0</v>
      </c>
      <c r="N26" s="109"/>
      <c r="O26" s="513" t="str">
        <f>IF(I26="","",VLOOKUP(I26,tab!$A$68:$V$108,J26+2,FALSE))</f>
        <v/>
      </c>
      <c r="P26" s="514" t="str">
        <f t="shared" si="1"/>
        <v/>
      </c>
      <c r="Q26" s="1173">
        <f t="shared" si="10"/>
        <v>0.62</v>
      </c>
      <c r="R26" s="641" t="str">
        <f t="shared" si="2"/>
        <v/>
      </c>
      <c r="S26" s="514">
        <f>IF(L26="",0,(((O26*12)*L26)*(1+tab!$D$55)*tab!$F$57))</f>
        <v>0</v>
      </c>
      <c r="T26" s="1131">
        <f t="shared" si="3"/>
        <v>0</v>
      </c>
      <c r="U26" s="219">
        <f t="shared" si="4"/>
        <v>0</v>
      </c>
      <c r="V26" s="1145">
        <f t="shared" si="5"/>
        <v>0</v>
      </c>
      <c r="W26" s="124"/>
      <c r="X26" s="91"/>
      <c r="AA26" s="642" t="b">
        <f>DATE(YEAR(tab!$E$3),MONTH(H26),DAY(H26))&gt;tab!$E$3</f>
        <v>0</v>
      </c>
      <c r="AB26" s="643">
        <f t="shared" si="6"/>
        <v>113</v>
      </c>
      <c r="AC26" s="244">
        <f t="shared" si="7"/>
        <v>30</v>
      </c>
      <c r="AD26" s="244">
        <f t="shared" si="8"/>
        <v>30</v>
      </c>
      <c r="AE26" s="643">
        <f t="shared" si="9"/>
        <v>0</v>
      </c>
    </row>
    <row r="27" spans="2:42" ht="12.75" customHeight="1" x14ac:dyDescent="0.2">
      <c r="B27" s="87"/>
      <c r="C27" s="108"/>
      <c r="D27" s="115"/>
      <c r="E27" s="115"/>
      <c r="F27" s="115"/>
      <c r="G27" s="132"/>
      <c r="H27" s="508"/>
      <c r="I27" s="132"/>
      <c r="J27" s="150"/>
      <c r="K27" s="509"/>
      <c r="L27" s="510"/>
      <c r="M27" s="511">
        <f t="shared" si="0"/>
        <v>0</v>
      </c>
      <c r="N27" s="109"/>
      <c r="O27" s="513" t="str">
        <f>IF(I27="","",VLOOKUP(I27,tab!$A$68:$V$108,J27+2,FALSE))</f>
        <v/>
      </c>
      <c r="P27" s="514" t="str">
        <f t="shared" si="1"/>
        <v/>
      </c>
      <c r="Q27" s="1173">
        <f t="shared" si="10"/>
        <v>0.62</v>
      </c>
      <c r="R27" s="641" t="str">
        <f t="shared" si="2"/>
        <v/>
      </c>
      <c r="S27" s="514">
        <f>IF(L27="",0,(((O27*12)*L27)*(1+tab!$D$55)*tab!$F$57))</f>
        <v>0</v>
      </c>
      <c r="T27" s="1131">
        <f t="shared" si="3"/>
        <v>0</v>
      </c>
      <c r="U27" s="219">
        <f t="shared" si="4"/>
        <v>0</v>
      </c>
      <c r="V27" s="1145">
        <f t="shared" si="5"/>
        <v>0</v>
      </c>
      <c r="W27" s="124"/>
      <c r="X27" s="91"/>
      <c r="AA27" s="642" t="b">
        <f>DATE(YEAR(tab!$E$3),MONTH(H27),DAY(H27))&gt;tab!$E$3</f>
        <v>0</v>
      </c>
      <c r="AB27" s="643">
        <f t="shared" si="6"/>
        <v>113</v>
      </c>
      <c r="AC27" s="244">
        <f t="shared" si="7"/>
        <v>30</v>
      </c>
      <c r="AD27" s="244">
        <f t="shared" si="8"/>
        <v>30</v>
      </c>
      <c r="AE27" s="643">
        <f t="shared" si="9"/>
        <v>0</v>
      </c>
    </row>
    <row r="28" spans="2:42" ht="12.75" customHeight="1" x14ac:dyDescent="0.2">
      <c r="B28" s="87"/>
      <c r="C28" s="108"/>
      <c r="D28" s="115"/>
      <c r="E28" s="115"/>
      <c r="F28" s="115"/>
      <c r="G28" s="132"/>
      <c r="H28" s="508"/>
      <c r="I28" s="132"/>
      <c r="J28" s="150"/>
      <c r="K28" s="509"/>
      <c r="L28" s="510"/>
      <c r="M28" s="511">
        <f t="shared" si="0"/>
        <v>0</v>
      </c>
      <c r="N28" s="109"/>
      <c r="O28" s="513" t="str">
        <f>IF(I28="","",VLOOKUP(I28,tab!$A$68:$V$108,J28+2,FALSE))</f>
        <v/>
      </c>
      <c r="P28" s="514" t="str">
        <f t="shared" si="1"/>
        <v/>
      </c>
      <c r="Q28" s="1173">
        <f t="shared" si="10"/>
        <v>0.62</v>
      </c>
      <c r="R28" s="641" t="str">
        <f t="shared" si="2"/>
        <v/>
      </c>
      <c r="S28" s="514">
        <f>IF(L28="",0,(((O28*12)*L28)*(1+tab!$D$55)*tab!$F$57))</f>
        <v>0</v>
      </c>
      <c r="T28" s="1131">
        <f t="shared" si="3"/>
        <v>0</v>
      </c>
      <c r="U28" s="219">
        <f t="shared" si="4"/>
        <v>0</v>
      </c>
      <c r="V28" s="1145">
        <f t="shared" si="5"/>
        <v>0</v>
      </c>
      <c r="W28" s="124"/>
      <c r="X28" s="91"/>
      <c r="AA28" s="642" t="b">
        <f>DATE(YEAR(tab!$E$3),MONTH(H28),DAY(H28))&gt;tab!$E$3</f>
        <v>0</v>
      </c>
      <c r="AB28" s="643">
        <f t="shared" si="6"/>
        <v>113</v>
      </c>
      <c r="AC28" s="244">
        <f t="shared" si="7"/>
        <v>30</v>
      </c>
      <c r="AD28" s="244">
        <f t="shared" si="8"/>
        <v>30</v>
      </c>
      <c r="AE28" s="643">
        <f t="shared" si="9"/>
        <v>0</v>
      </c>
    </row>
    <row r="29" spans="2:42" ht="12.75" customHeight="1" x14ac:dyDescent="0.2">
      <c r="B29" s="87"/>
      <c r="C29" s="108"/>
      <c r="D29" s="115"/>
      <c r="E29" s="115"/>
      <c r="F29" s="115"/>
      <c r="G29" s="132"/>
      <c r="H29" s="508"/>
      <c r="I29" s="132"/>
      <c r="J29" s="150"/>
      <c r="K29" s="509"/>
      <c r="L29" s="510"/>
      <c r="M29" s="511">
        <f t="shared" si="0"/>
        <v>0</v>
      </c>
      <c r="N29" s="109"/>
      <c r="O29" s="513" t="str">
        <f>IF(I29="","",VLOOKUP(I29,tab!$A$68:$V$108,J29+2,FALSE))</f>
        <v/>
      </c>
      <c r="P29" s="514" t="str">
        <f t="shared" si="1"/>
        <v/>
      </c>
      <c r="Q29" s="1173">
        <f t="shared" si="10"/>
        <v>0.62</v>
      </c>
      <c r="R29" s="641" t="str">
        <f t="shared" si="2"/>
        <v/>
      </c>
      <c r="S29" s="514">
        <f>IF(L29="",0,(((O29*12)*L29)*(1+tab!$D$55)*tab!$F$57))</f>
        <v>0</v>
      </c>
      <c r="T29" s="1131">
        <f t="shared" si="3"/>
        <v>0</v>
      </c>
      <c r="U29" s="219">
        <f t="shared" si="4"/>
        <v>0</v>
      </c>
      <c r="V29" s="1145">
        <f t="shared" si="5"/>
        <v>0</v>
      </c>
      <c r="W29" s="124"/>
      <c r="X29" s="91"/>
      <c r="AA29" s="642" t="b">
        <f>DATE(YEAR(tab!$E$3),MONTH(H29),DAY(H29))&gt;tab!$E$3</f>
        <v>0</v>
      </c>
      <c r="AB29" s="643">
        <f t="shared" si="6"/>
        <v>113</v>
      </c>
      <c r="AC29" s="244">
        <f t="shared" si="7"/>
        <v>30</v>
      </c>
      <c r="AD29" s="244">
        <f t="shared" si="8"/>
        <v>30</v>
      </c>
      <c r="AE29" s="643">
        <f t="shared" si="9"/>
        <v>0</v>
      </c>
    </row>
    <row r="30" spans="2:42" ht="12.75" customHeight="1" x14ac:dyDescent="0.2">
      <c r="B30" s="87"/>
      <c r="C30" s="108"/>
      <c r="D30" s="115"/>
      <c r="E30" s="115"/>
      <c r="F30" s="115"/>
      <c r="G30" s="132"/>
      <c r="H30" s="508"/>
      <c r="I30" s="132"/>
      <c r="J30" s="150"/>
      <c r="K30" s="509"/>
      <c r="L30" s="510"/>
      <c r="M30" s="511">
        <f t="shared" si="0"/>
        <v>0</v>
      </c>
      <c r="N30" s="109"/>
      <c r="O30" s="513" t="str">
        <f>IF(I30="","",VLOOKUP(I30,tab!$A$68:$V$108,J30+2,FALSE))</f>
        <v/>
      </c>
      <c r="P30" s="514" t="str">
        <f t="shared" si="1"/>
        <v/>
      </c>
      <c r="Q30" s="1173">
        <f t="shared" si="10"/>
        <v>0.62</v>
      </c>
      <c r="R30" s="641" t="str">
        <f t="shared" si="2"/>
        <v/>
      </c>
      <c r="S30" s="514">
        <f>IF(L30="",0,(((O30*12)*L30)*(1+tab!$D$55)*tab!$F$57))</f>
        <v>0</v>
      </c>
      <c r="T30" s="1131">
        <f t="shared" si="3"/>
        <v>0</v>
      </c>
      <c r="U30" s="219">
        <f t="shared" si="4"/>
        <v>0</v>
      </c>
      <c r="V30" s="1145">
        <f t="shared" si="5"/>
        <v>0</v>
      </c>
      <c r="W30" s="124"/>
      <c r="X30" s="91"/>
      <c r="AA30" s="642" t="b">
        <f>DATE(YEAR(tab!$E$3),MONTH(H30),DAY(H30))&gt;tab!$E$3</f>
        <v>0</v>
      </c>
      <c r="AB30" s="643">
        <f t="shared" si="6"/>
        <v>113</v>
      </c>
      <c r="AC30" s="244">
        <f t="shared" si="7"/>
        <v>30</v>
      </c>
      <c r="AD30" s="244">
        <f t="shared" si="8"/>
        <v>30</v>
      </c>
      <c r="AE30" s="643">
        <f t="shared" si="9"/>
        <v>0</v>
      </c>
    </row>
    <row r="31" spans="2:42" ht="12.75" customHeight="1" x14ac:dyDescent="0.2">
      <c r="B31" s="87"/>
      <c r="C31" s="108"/>
      <c r="D31" s="115"/>
      <c r="E31" s="115"/>
      <c r="F31" s="115"/>
      <c r="G31" s="132"/>
      <c r="H31" s="508"/>
      <c r="I31" s="132"/>
      <c r="J31" s="150"/>
      <c r="K31" s="509"/>
      <c r="L31" s="510"/>
      <c r="M31" s="511">
        <f t="shared" si="0"/>
        <v>0</v>
      </c>
      <c r="N31" s="109"/>
      <c r="O31" s="513" t="str">
        <f>IF(I31="","",VLOOKUP(I31,tab!$A$68:$V$108,J31+2,FALSE))</f>
        <v/>
      </c>
      <c r="P31" s="514" t="str">
        <f t="shared" si="1"/>
        <v/>
      </c>
      <c r="Q31" s="1173">
        <f t="shared" si="10"/>
        <v>0.62</v>
      </c>
      <c r="R31" s="641" t="str">
        <f t="shared" si="2"/>
        <v/>
      </c>
      <c r="S31" s="514">
        <f>IF(L31="",0,(((O31*12)*L31)*(1+tab!$D$55)*tab!$F$57))</f>
        <v>0</v>
      </c>
      <c r="T31" s="1131">
        <f t="shared" si="3"/>
        <v>0</v>
      </c>
      <c r="U31" s="219">
        <f t="shared" si="4"/>
        <v>0</v>
      </c>
      <c r="V31" s="1145">
        <f t="shared" si="5"/>
        <v>0</v>
      </c>
      <c r="W31" s="124"/>
      <c r="X31" s="91"/>
      <c r="AA31" s="642" t="b">
        <f>DATE(YEAR(tab!$E$3),MONTH(H31),DAY(H31))&gt;tab!$E$3</f>
        <v>0</v>
      </c>
      <c r="AB31" s="643">
        <f t="shared" si="6"/>
        <v>113</v>
      </c>
      <c r="AC31" s="244">
        <f t="shared" si="7"/>
        <v>30</v>
      </c>
      <c r="AD31" s="244">
        <f t="shared" si="8"/>
        <v>30</v>
      </c>
      <c r="AE31" s="643">
        <f t="shared" si="9"/>
        <v>0</v>
      </c>
    </row>
    <row r="32" spans="2:42" ht="12.75" customHeight="1" x14ac:dyDescent="0.2">
      <c r="B32" s="87"/>
      <c r="C32" s="108"/>
      <c r="D32" s="115"/>
      <c r="E32" s="115"/>
      <c r="F32" s="115"/>
      <c r="G32" s="132"/>
      <c r="H32" s="508"/>
      <c r="I32" s="132"/>
      <c r="J32" s="150"/>
      <c r="K32" s="509"/>
      <c r="L32" s="510"/>
      <c r="M32" s="511">
        <f t="shared" si="0"/>
        <v>0</v>
      </c>
      <c r="N32" s="109"/>
      <c r="O32" s="513" t="str">
        <f>IF(I32="","",VLOOKUP(I32,tab!$A$68:$V$108,J32+2,FALSE))</f>
        <v/>
      </c>
      <c r="P32" s="514" t="str">
        <f t="shared" si="1"/>
        <v/>
      </c>
      <c r="Q32" s="1173">
        <f t="shared" si="10"/>
        <v>0.62</v>
      </c>
      <c r="R32" s="641" t="str">
        <f t="shared" si="2"/>
        <v/>
      </c>
      <c r="S32" s="514">
        <f>IF(L32="",0,(((O32*12)*L32)*(1+tab!$D$55)*tab!$F$57))</f>
        <v>0</v>
      </c>
      <c r="T32" s="1131">
        <f t="shared" si="3"/>
        <v>0</v>
      </c>
      <c r="U32" s="219">
        <f>IF(G32&lt;25,0,IF(G32=25,25,IF(G32&lt;40,0,IF(G32=40,40,IF(G32&gt;=40,0)))))</f>
        <v>0</v>
      </c>
      <c r="V32" s="1145">
        <f t="shared" si="5"/>
        <v>0</v>
      </c>
      <c r="W32" s="124"/>
      <c r="X32" s="91"/>
      <c r="AA32" s="642" t="b">
        <f>DATE(YEAR(tab!$E$3),MONTH(H32),DAY(H32))&gt;tab!$E$3</f>
        <v>0</v>
      </c>
      <c r="AB32" s="643">
        <f t="shared" si="6"/>
        <v>113</v>
      </c>
      <c r="AC32" s="244">
        <f t="shared" si="7"/>
        <v>30</v>
      </c>
      <c r="AD32" s="244">
        <f>IF((AC32)&gt;50,50,(AC32))</f>
        <v>30</v>
      </c>
      <c r="AE32" s="643">
        <f t="shared" si="9"/>
        <v>0</v>
      </c>
    </row>
    <row r="33" spans="2:31" ht="12.75" customHeight="1" x14ac:dyDescent="0.2">
      <c r="B33" s="87"/>
      <c r="C33" s="108"/>
      <c r="D33" s="115"/>
      <c r="E33" s="115"/>
      <c r="F33" s="115"/>
      <c r="G33" s="132"/>
      <c r="H33" s="508"/>
      <c r="I33" s="132"/>
      <c r="J33" s="150"/>
      <c r="K33" s="509"/>
      <c r="L33" s="510"/>
      <c r="M33" s="511">
        <f t="shared" si="0"/>
        <v>0</v>
      </c>
      <c r="N33" s="109"/>
      <c r="O33" s="513" t="str">
        <f>IF(I33="","",VLOOKUP(I33,tab!$A$68:$V$108,J33+2,FALSE))</f>
        <v/>
      </c>
      <c r="P33" s="514" t="str">
        <f t="shared" si="1"/>
        <v/>
      </c>
      <c r="Q33" s="1173">
        <f t="shared" si="10"/>
        <v>0.62</v>
      </c>
      <c r="R33" s="641" t="str">
        <f t="shared" si="2"/>
        <v/>
      </c>
      <c r="S33" s="514">
        <f>IF(L33="",0,(((O33*12)*L33)*(1+tab!$D$55)*tab!$F$57))</f>
        <v>0</v>
      </c>
      <c r="T33" s="1131">
        <f t="shared" si="3"/>
        <v>0</v>
      </c>
      <c r="U33" s="219">
        <f t="shared" si="4"/>
        <v>0</v>
      </c>
      <c r="V33" s="1145">
        <f t="shared" si="5"/>
        <v>0</v>
      </c>
      <c r="W33" s="124"/>
      <c r="X33" s="91"/>
      <c r="AA33" s="642" t="b">
        <f>DATE(YEAR(tab!$E$3),MONTH(H33),DAY(H33))&gt;tab!$E$3</f>
        <v>0</v>
      </c>
      <c r="AB33" s="643">
        <f t="shared" si="6"/>
        <v>113</v>
      </c>
      <c r="AC33" s="244">
        <f t="shared" si="7"/>
        <v>30</v>
      </c>
      <c r="AD33" s="244">
        <f t="shared" si="8"/>
        <v>30</v>
      </c>
      <c r="AE33" s="643">
        <f t="shared" si="9"/>
        <v>0</v>
      </c>
    </row>
    <row r="34" spans="2:31" ht="12.75" customHeight="1" x14ac:dyDescent="0.2">
      <c r="B34" s="87"/>
      <c r="C34" s="108"/>
      <c r="D34" s="115"/>
      <c r="E34" s="115"/>
      <c r="F34" s="115"/>
      <c r="G34" s="132"/>
      <c r="H34" s="508"/>
      <c r="I34" s="132"/>
      <c r="J34" s="150"/>
      <c r="K34" s="509"/>
      <c r="L34" s="510"/>
      <c r="M34" s="511">
        <f t="shared" si="0"/>
        <v>0</v>
      </c>
      <c r="N34" s="109"/>
      <c r="O34" s="513" t="str">
        <f>IF(I34="","",VLOOKUP(I34,tab!$A$68:$V$108,J34+2,FALSE))</f>
        <v/>
      </c>
      <c r="P34" s="514" t="str">
        <f t="shared" si="1"/>
        <v/>
      </c>
      <c r="Q34" s="1173">
        <f t="shared" si="10"/>
        <v>0.62</v>
      </c>
      <c r="R34" s="641" t="str">
        <f t="shared" si="2"/>
        <v/>
      </c>
      <c r="S34" s="514">
        <f>IF(L34="",0,(((O34*12)*L34)*(1+tab!$D$55)*tab!$F$57))</f>
        <v>0</v>
      </c>
      <c r="T34" s="1131">
        <f t="shared" si="3"/>
        <v>0</v>
      </c>
      <c r="U34" s="219">
        <f t="shared" si="4"/>
        <v>0</v>
      </c>
      <c r="V34" s="1145">
        <f t="shared" si="5"/>
        <v>0</v>
      </c>
      <c r="W34" s="124"/>
      <c r="X34" s="91"/>
      <c r="AA34" s="642" t="b">
        <f>DATE(YEAR(tab!$E$3),MONTH(H34),DAY(H34))&gt;tab!$E$3</f>
        <v>0</v>
      </c>
      <c r="AB34" s="643">
        <f t="shared" si="6"/>
        <v>113</v>
      </c>
      <c r="AC34" s="244">
        <f t="shared" si="7"/>
        <v>30</v>
      </c>
      <c r="AD34" s="244">
        <f t="shared" si="8"/>
        <v>30</v>
      </c>
      <c r="AE34" s="643">
        <f t="shared" si="9"/>
        <v>0</v>
      </c>
    </row>
    <row r="35" spans="2:31" ht="12.75" customHeight="1" x14ac:dyDescent="0.2">
      <c r="B35" s="87"/>
      <c r="C35" s="108"/>
      <c r="D35" s="115"/>
      <c r="E35" s="115"/>
      <c r="F35" s="115"/>
      <c r="G35" s="132"/>
      <c r="H35" s="508"/>
      <c r="I35" s="132"/>
      <c r="J35" s="150"/>
      <c r="K35" s="509"/>
      <c r="L35" s="510"/>
      <c r="M35" s="511">
        <f t="shared" si="0"/>
        <v>0</v>
      </c>
      <c r="N35" s="109"/>
      <c r="O35" s="513" t="str">
        <f>IF(I35="","",VLOOKUP(I35,tab!$A$68:$V$108,J35+2,FALSE))</f>
        <v/>
      </c>
      <c r="P35" s="514" t="str">
        <f t="shared" si="1"/>
        <v/>
      </c>
      <c r="Q35" s="1173">
        <f t="shared" si="10"/>
        <v>0.62</v>
      </c>
      <c r="R35" s="641" t="str">
        <f t="shared" si="2"/>
        <v/>
      </c>
      <c r="S35" s="514">
        <f>IF(L35="",0,(((O35*12)*L35)*(1+tab!$D$55)*tab!$F$57))</f>
        <v>0</v>
      </c>
      <c r="T35" s="1131">
        <f t="shared" si="3"/>
        <v>0</v>
      </c>
      <c r="U35" s="219">
        <f t="shared" si="4"/>
        <v>0</v>
      </c>
      <c r="V35" s="1145">
        <f t="shared" si="5"/>
        <v>0</v>
      </c>
      <c r="W35" s="124"/>
      <c r="X35" s="91"/>
      <c r="AA35" s="642" t="b">
        <f>DATE(YEAR(tab!$E$3),MONTH(H35),DAY(H35))&gt;tab!$E$3</f>
        <v>0</v>
      </c>
      <c r="AB35" s="643">
        <f t="shared" si="6"/>
        <v>113</v>
      </c>
      <c r="AC35" s="244">
        <f t="shared" si="7"/>
        <v>30</v>
      </c>
      <c r="AD35" s="244">
        <f t="shared" si="8"/>
        <v>30</v>
      </c>
      <c r="AE35" s="643">
        <f t="shared" si="9"/>
        <v>0</v>
      </c>
    </row>
    <row r="36" spans="2:31" ht="12.75" customHeight="1" x14ac:dyDescent="0.2">
      <c r="B36" s="87"/>
      <c r="C36" s="108"/>
      <c r="D36" s="115"/>
      <c r="E36" s="115"/>
      <c r="F36" s="115"/>
      <c r="G36" s="132"/>
      <c r="H36" s="508"/>
      <c r="I36" s="132"/>
      <c r="J36" s="150"/>
      <c r="K36" s="509"/>
      <c r="L36" s="510"/>
      <c r="M36" s="511">
        <f t="shared" si="0"/>
        <v>0</v>
      </c>
      <c r="N36" s="109"/>
      <c r="O36" s="513" t="str">
        <f>IF(I36="","",VLOOKUP(I36,tab!$A$68:$V$108,J36+2,FALSE))</f>
        <v/>
      </c>
      <c r="P36" s="514" t="str">
        <f t="shared" si="1"/>
        <v/>
      </c>
      <c r="Q36" s="1173">
        <f t="shared" si="10"/>
        <v>0.62</v>
      </c>
      <c r="R36" s="641" t="str">
        <f t="shared" si="2"/>
        <v/>
      </c>
      <c r="S36" s="514">
        <f>IF(L36="",0,(((O36*12)*L36)*(1+tab!$D$55)*tab!$F$57))</f>
        <v>0</v>
      </c>
      <c r="T36" s="1131">
        <f t="shared" si="3"/>
        <v>0</v>
      </c>
      <c r="U36" s="219">
        <f t="shared" si="4"/>
        <v>0</v>
      </c>
      <c r="V36" s="1145">
        <f t="shared" si="5"/>
        <v>0</v>
      </c>
      <c r="W36" s="124"/>
      <c r="X36" s="91"/>
      <c r="AA36" s="642" t="b">
        <f>DATE(YEAR(tab!$E$3),MONTH(H36),DAY(H36))&gt;tab!$E$3</f>
        <v>0</v>
      </c>
      <c r="AB36" s="643">
        <f t="shared" si="6"/>
        <v>113</v>
      </c>
      <c r="AC36" s="244">
        <f t="shared" si="7"/>
        <v>30</v>
      </c>
      <c r="AD36" s="244">
        <f t="shared" si="8"/>
        <v>30</v>
      </c>
      <c r="AE36" s="643">
        <f t="shared" si="9"/>
        <v>0</v>
      </c>
    </row>
    <row r="37" spans="2:31" ht="12.75" customHeight="1" x14ac:dyDescent="0.2">
      <c r="B37" s="87"/>
      <c r="C37" s="108"/>
      <c r="D37" s="115"/>
      <c r="E37" s="115"/>
      <c r="F37" s="115"/>
      <c r="G37" s="132"/>
      <c r="H37" s="508"/>
      <c r="I37" s="132"/>
      <c r="J37" s="150"/>
      <c r="K37" s="509"/>
      <c r="L37" s="510"/>
      <c r="M37" s="511">
        <f t="shared" si="0"/>
        <v>0</v>
      </c>
      <c r="N37" s="109"/>
      <c r="O37" s="513" t="str">
        <f>IF(I37="","",VLOOKUP(I37,tab!$A$68:$V$108,J37+2,FALSE))</f>
        <v/>
      </c>
      <c r="P37" s="514" t="str">
        <f t="shared" si="1"/>
        <v/>
      </c>
      <c r="Q37" s="1173">
        <f t="shared" si="10"/>
        <v>0.62</v>
      </c>
      <c r="R37" s="641" t="str">
        <f t="shared" si="2"/>
        <v/>
      </c>
      <c r="S37" s="514">
        <f>IF(L37="",0,(((O37*12)*L37)*(1+tab!$D$55)*tab!$F$57))</f>
        <v>0</v>
      </c>
      <c r="T37" s="1131">
        <f t="shared" si="3"/>
        <v>0</v>
      </c>
      <c r="U37" s="219">
        <f t="shared" si="4"/>
        <v>0</v>
      </c>
      <c r="V37" s="1145">
        <f t="shared" si="5"/>
        <v>0</v>
      </c>
      <c r="W37" s="124"/>
      <c r="X37" s="91"/>
      <c r="AA37" s="642" t="b">
        <f>DATE(YEAR(tab!$E$3),MONTH(H37),DAY(H37))&gt;tab!$E$3</f>
        <v>0</v>
      </c>
      <c r="AB37" s="643">
        <f t="shared" si="6"/>
        <v>113</v>
      </c>
      <c r="AC37" s="244">
        <f t="shared" si="7"/>
        <v>30</v>
      </c>
      <c r="AD37" s="244">
        <f t="shared" si="8"/>
        <v>30</v>
      </c>
      <c r="AE37" s="643">
        <f t="shared" si="9"/>
        <v>0</v>
      </c>
    </row>
    <row r="38" spans="2:31" ht="12.75" customHeight="1" x14ac:dyDescent="0.2">
      <c r="B38" s="87"/>
      <c r="C38" s="108"/>
      <c r="D38" s="115"/>
      <c r="E38" s="115"/>
      <c r="F38" s="115"/>
      <c r="G38" s="132"/>
      <c r="H38" s="508"/>
      <c r="I38" s="132"/>
      <c r="J38" s="150"/>
      <c r="K38" s="509"/>
      <c r="L38" s="510"/>
      <c r="M38" s="511">
        <f t="shared" si="0"/>
        <v>0</v>
      </c>
      <c r="N38" s="109"/>
      <c r="O38" s="513" t="str">
        <f>IF(I38="","",VLOOKUP(I38,tab!$A$68:$V$108,J38+2,FALSE))</f>
        <v/>
      </c>
      <c r="P38" s="514" t="str">
        <f t="shared" si="1"/>
        <v/>
      </c>
      <c r="Q38" s="1173">
        <f t="shared" si="10"/>
        <v>0.62</v>
      </c>
      <c r="R38" s="641" t="str">
        <f t="shared" si="2"/>
        <v/>
      </c>
      <c r="S38" s="514">
        <f>IF(L38="",0,(((O38*12)*L38)*(1+tab!$D$55)*tab!$F$57))</f>
        <v>0</v>
      </c>
      <c r="T38" s="1131">
        <f t="shared" si="3"/>
        <v>0</v>
      </c>
      <c r="U38" s="219">
        <f t="shared" si="4"/>
        <v>0</v>
      </c>
      <c r="V38" s="1145">
        <f t="shared" si="5"/>
        <v>0</v>
      </c>
      <c r="W38" s="124"/>
      <c r="X38" s="91"/>
      <c r="AA38" s="642" t="b">
        <f>DATE(YEAR(tab!$E$3),MONTH(H38),DAY(H38))&gt;tab!$E$3</f>
        <v>0</v>
      </c>
      <c r="AB38" s="643">
        <f t="shared" si="6"/>
        <v>113</v>
      </c>
      <c r="AC38" s="244">
        <f t="shared" si="7"/>
        <v>30</v>
      </c>
      <c r="AD38" s="244">
        <f t="shared" si="8"/>
        <v>30</v>
      </c>
      <c r="AE38" s="643">
        <f t="shared" si="9"/>
        <v>0</v>
      </c>
    </row>
    <row r="39" spans="2:31" ht="12.75" customHeight="1" x14ac:dyDescent="0.2">
      <c r="B39" s="87"/>
      <c r="C39" s="108"/>
      <c r="D39" s="115"/>
      <c r="E39" s="115"/>
      <c r="F39" s="115"/>
      <c r="G39" s="132"/>
      <c r="H39" s="508"/>
      <c r="I39" s="132"/>
      <c r="J39" s="150"/>
      <c r="K39" s="509"/>
      <c r="L39" s="510"/>
      <c r="M39" s="511">
        <f t="shared" si="0"/>
        <v>0</v>
      </c>
      <c r="N39" s="109"/>
      <c r="O39" s="513" t="str">
        <f>IF(I39="","",VLOOKUP(I39,tab!$A$68:$V$108,J39+2,FALSE))</f>
        <v/>
      </c>
      <c r="P39" s="514" t="str">
        <f t="shared" si="1"/>
        <v/>
      </c>
      <c r="Q39" s="1173">
        <f t="shared" si="10"/>
        <v>0.62</v>
      </c>
      <c r="R39" s="641" t="str">
        <f t="shared" si="2"/>
        <v/>
      </c>
      <c r="S39" s="514">
        <f>IF(L39="",0,(((O39*12)*L39)*(1+tab!$D$55)*tab!$F$57))</f>
        <v>0</v>
      </c>
      <c r="T39" s="1131">
        <f t="shared" si="3"/>
        <v>0</v>
      </c>
      <c r="U39" s="219">
        <f t="shared" si="4"/>
        <v>0</v>
      </c>
      <c r="V39" s="1145">
        <f t="shared" si="5"/>
        <v>0</v>
      </c>
      <c r="W39" s="124"/>
      <c r="X39" s="91"/>
      <c r="AA39" s="642" t="b">
        <f>DATE(YEAR(tab!$E$3),MONTH(H39),DAY(H39))&gt;tab!$E$3</f>
        <v>0</v>
      </c>
      <c r="AB39" s="643">
        <f t="shared" si="6"/>
        <v>113</v>
      </c>
      <c r="AC39" s="244">
        <f t="shared" si="7"/>
        <v>30</v>
      </c>
      <c r="AD39" s="244">
        <f t="shared" si="8"/>
        <v>30</v>
      </c>
      <c r="AE39" s="643">
        <f t="shared" si="9"/>
        <v>0</v>
      </c>
    </row>
    <row r="40" spans="2:31" ht="12.75" customHeight="1" x14ac:dyDescent="0.2">
      <c r="B40" s="87"/>
      <c r="C40" s="108"/>
      <c r="D40" s="115"/>
      <c r="E40" s="115"/>
      <c r="F40" s="115"/>
      <c r="G40" s="132"/>
      <c r="H40" s="508"/>
      <c r="I40" s="132"/>
      <c r="J40" s="150"/>
      <c r="K40" s="509"/>
      <c r="L40" s="510"/>
      <c r="M40" s="511">
        <f t="shared" si="0"/>
        <v>0</v>
      </c>
      <c r="N40" s="109"/>
      <c r="O40" s="513" t="str">
        <f>IF(I40="","",VLOOKUP(I40,tab!$A$68:$V$108,J40+2,FALSE))</f>
        <v/>
      </c>
      <c r="P40" s="514" t="str">
        <f t="shared" si="1"/>
        <v/>
      </c>
      <c r="Q40" s="1173">
        <f t="shared" si="10"/>
        <v>0.62</v>
      </c>
      <c r="R40" s="641" t="str">
        <f t="shared" si="2"/>
        <v/>
      </c>
      <c r="S40" s="514">
        <f>IF(L40="",0,(((O40*12)*L40)*(1+tab!$D$55)*tab!$F$57))</f>
        <v>0</v>
      </c>
      <c r="T40" s="1131">
        <f t="shared" si="3"/>
        <v>0</v>
      </c>
      <c r="U40" s="219">
        <f t="shared" si="4"/>
        <v>0</v>
      </c>
      <c r="V40" s="1145">
        <f t="shared" si="5"/>
        <v>0</v>
      </c>
      <c r="W40" s="124"/>
      <c r="X40" s="91"/>
      <c r="AA40" s="642" t="b">
        <f>DATE(YEAR(tab!$E$3),MONTH(H40),DAY(H40))&gt;tab!$E$3</f>
        <v>0</v>
      </c>
      <c r="AB40" s="643">
        <f t="shared" si="6"/>
        <v>113</v>
      </c>
      <c r="AC40" s="244">
        <f t="shared" si="7"/>
        <v>30</v>
      </c>
      <c r="AD40" s="244">
        <f t="shared" si="8"/>
        <v>30</v>
      </c>
      <c r="AE40" s="643">
        <f t="shared" si="9"/>
        <v>0</v>
      </c>
    </row>
    <row r="41" spans="2:31" ht="12.75" customHeight="1" x14ac:dyDescent="0.2">
      <c r="B41" s="87"/>
      <c r="C41" s="108"/>
      <c r="D41" s="115"/>
      <c r="E41" s="115"/>
      <c r="F41" s="115"/>
      <c r="G41" s="132"/>
      <c r="H41" s="508"/>
      <c r="I41" s="132"/>
      <c r="J41" s="150"/>
      <c r="K41" s="509"/>
      <c r="L41" s="510"/>
      <c r="M41" s="511">
        <f t="shared" si="0"/>
        <v>0</v>
      </c>
      <c r="N41" s="109"/>
      <c r="O41" s="513" t="str">
        <f>IF(I41="","",VLOOKUP(I41,tab!$A$68:$V$108,J41+2,FALSE))</f>
        <v/>
      </c>
      <c r="P41" s="514" t="str">
        <f t="shared" si="1"/>
        <v/>
      </c>
      <c r="Q41" s="1173">
        <f t="shared" si="10"/>
        <v>0.62</v>
      </c>
      <c r="R41" s="641" t="str">
        <f t="shared" si="2"/>
        <v/>
      </c>
      <c r="S41" s="514">
        <f>IF(L41="",0,(((O41*12)*L41)*(1+tab!$D$55)*tab!$F$57))</f>
        <v>0</v>
      </c>
      <c r="T41" s="1131">
        <f t="shared" si="3"/>
        <v>0</v>
      </c>
      <c r="U41" s="219">
        <f t="shared" si="4"/>
        <v>0</v>
      </c>
      <c r="V41" s="1145">
        <f t="shared" si="5"/>
        <v>0</v>
      </c>
      <c r="W41" s="124"/>
      <c r="X41" s="91"/>
      <c r="AA41" s="642" t="b">
        <f>DATE(YEAR(tab!$E$3),MONTH(H41),DAY(H41))&gt;tab!$E$3</f>
        <v>0</v>
      </c>
      <c r="AB41" s="643">
        <f t="shared" si="6"/>
        <v>113</v>
      </c>
      <c r="AC41" s="244">
        <f t="shared" si="7"/>
        <v>30</v>
      </c>
      <c r="AD41" s="244">
        <f t="shared" si="8"/>
        <v>30</v>
      </c>
      <c r="AE41" s="643">
        <f t="shared" si="9"/>
        <v>0</v>
      </c>
    </row>
    <row r="42" spans="2:31" ht="12.75" customHeight="1" x14ac:dyDescent="0.2">
      <c r="B42" s="87"/>
      <c r="C42" s="108"/>
      <c r="D42" s="115"/>
      <c r="E42" s="115"/>
      <c r="F42" s="115"/>
      <c r="G42" s="132"/>
      <c r="H42" s="508"/>
      <c r="I42" s="132"/>
      <c r="J42" s="150"/>
      <c r="K42" s="509"/>
      <c r="L42" s="510"/>
      <c r="M42" s="511">
        <f t="shared" si="0"/>
        <v>0</v>
      </c>
      <c r="N42" s="109"/>
      <c r="O42" s="513" t="str">
        <f>IF(I42="","",VLOOKUP(I42,tab!$A$68:$V$108,J42+2,FALSE))</f>
        <v/>
      </c>
      <c r="P42" s="514" t="str">
        <f t="shared" si="1"/>
        <v/>
      </c>
      <c r="Q42" s="1173">
        <f t="shared" si="10"/>
        <v>0.62</v>
      </c>
      <c r="R42" s="641" t="str">
        <f t="shared" si="2"/>
        <v/>
      </c>
      <c r="S42" s="514">
        <f>IF(L42="",0,(((O42*12)*L42)*(1+tab!$D$55)*tab!$F$57))</f>
        <v>0</v>
      </c>
      <c r="T42" s="1131">
        <f t="shared" si="3"/>
        <v>0</v>
      </c>
      <c r="U42" s="219">
        <f t="shared" si="4"/>
        <v>0</v>
      </c>
      <c r="V42" s="1145">
        <f t="shared" si="5"/>
        <v>0</v>
      </c>
      <c r="W42" s="124"/>
      <c r="X42" s="91"/>
      <c r="AA42" s="642" t="b">
        <f>DATE(YEAR(tab!$E$3),MONTH(H42),DAY(H42))&gt;tab!$E$3</f>
        <v>0</v>
      </c>
      <c r="AB42" s="643">
        <f t="shared" si="6"/>
        <v>113</v>
      </c>
      <c r="AC42" s="244">
        <f t="shared" si="7"/>
        <v>30</v>
      </c>
      <c r="AD42" s="244">
        <f t="shared" si="8"/>
        <v>30</v>
      </c>
      <c r="AE42" s="643">
        <f t="shared" si="9"/>
        <v>0</v>
      </c>
    </row>
    <row r="43" spans="2:31" ht="12.75" customHeight="1" x14ac:dyDescent="0.2">
      <c r="B43" s="87"/>
      <c r="C43" s="108"/>
      <c r="D43" s="115"/>
      <c r="E43" s="115"/>
      <c r="F43" s="115"/>
      <c r="G43" s="132"/>
      <c r="H43" s="508"/>
      <c r="I43" s="132"/>
      <c r="J43" s="150"/>
      <c r="K43" s="509"/>
      <c r="L43" s="510"/>
      <c r="M43" s="511">
        <f t="shared" si="0"/>
        <v>0</v>
      </c>
      <c r="N43" s="109"/>
      <c r="O43" s="513" t="str">
        <f>IF(I43="","",VLOOKUP(I43,tab!$A$68:$V$108,J43+2,FALSE))</f>
        <v/>
      </c>
      <c r="P43" s="514" t="str">
        <f t="shared" si="1"/>
        <v/>
      </c>
      <c r="Q43" s="1173">
        <f t="shared" si="10"/>
        <v>0.62</v>
      </c>
      <c r="R43" s="641" t="str">
        <f t="shared" si="2"/>
        <v/>
      </c>
      <c r="S43" s="514">
        <f>IF(L43="",0,(((O43*12)*L43)*(1+tab!$D$55)*tab!$F$57))</f>
        <v>0</v>
      </c>
      <c r="T43" s="1131">
        <f t="shared" si="3"/>
        <v>0</v>
      </c>
      <c r="U43" s="219">
        <f t="shared" si="4"/>
        <v>0</v>
      </c>
      <c r="V43" s="1145">
        <f t="shared" si="5"/>
        <v>0</v>
      </c>
      <c r="W43" s="124"/>
      <c r="X43" s="91"/>
      <c r="AA43" s="642" t="b">
        <f>DATE(YEAR(tab!$E$3),MONTH(H43),DAY(H43))&gt;tab!$E$3</f>
        <v>0</v>
      </c>
      <c r="AB43" s="643">
        <f t="shared" si="6"/>
        <v>113</v>
      </c>
      <c r="AC43" s="244">
        <f t="shared" si="7"/>
        <v>30</v>
      </c>
      <c r="AD43" s="244">
        <f t="shared" si="8"/>
        <v>30</v>
      </c>
      <c r="AE43" s="643">
        <f t="shared" si="9"/>
        <v>0</v>
      </c>
    </row>
    <row r="44" spans="2:31" ht="12.75" customHeight="1" x14ac:dyDescent="0.2">
      <c r="B44" s="87"/>
      <c r="C44" s="108"/>
      <c r="D44" s="115"/>
      <c r="E44" s="115"/>
      <c r="F44" s="115"/>
      <c r="G44" s="132"/>
      <c r="H44" s="508"/>
      <c r="I44" s="132"/>
      <c r="J44" s="150"/>
      <c r="K44" s="509"/>
      <c r="L44" s="510"/>
      <c r="M44" s="511">
        <f t="shared" si="0"/>
        <v>0</v>
      </c>
      <c r="N44" s="109"/>
      <c r="O44" s="513" t="str">
        <f>IF(I44="","",VLOOKUP(I44,tab!$A$68:$V$108,J44+2,FALSE))</f>
        <v/>
      </c>
      <c r="P44" s="514" t="str">
        <f t="shared" si="1"/>
        <v/>
      </c>
      <c r="Q44" s="1173">
        <f t="shared" si="10"/>
        <v>0.62</v>
      </c>
      <c r="R44" s="641" t="str">
        <f t="shared" si="2"/>
        <v/>
      </c>
      <c r="S44" s="514">
        <f>IF(L44="",0,(((O44*12)*L44)*(1+tab!$D$55)*tab!$F$57))</f>
        <v>0</v>
      </c>
      <c r="T44" s="1131">
        <f t="shared" si="3"/>
        <v>0</v>
      </c>
      <c r="U44" s="219">
        <f t="shared" si="4"/>
        <v>0</v>
      </c>
      <c r="V44" s="1145">
        <f t="shared" si="5"/>
        <v>0</v>
      </c>
      <c r="W44" s="124"/>
      <c r="X44" s="91"/>
      <c r="AA44" s="642" t="b">
        <f>DATE(YEAR(tab!$E$3),MONTH(H44),DAY(H44))&gt;tab!$E$3</f>
        <v>0</v>
      </c>
      <c r="AB44" s="643">
        <f t="shared" si="6"/>
        <v>113</v>
      </c>
      <c r="AC44" s="244">
        <f t="shared" si="7"/>
        <v>30</v>
      </c>
      <c r="AD44" s="244">
        <f t="shared" si="8"/>
        <v>30</v>
      </c>
      <c r="AE44" s="643">
        <f t="shared" si="9"/>
        <v>0</v>
      </c>
    </row>
    <row r="45" spans="2:31" ht="12.75" customHeight="1" x14ac:dyDescent="0.2">
      <c r="B45" s="87"/>
      <c r="C45" s="108"/>
      <c r="D45" s="115"/>
      <c r="E45" s="115"/>
      <c r="F45" s="115"/>
      <c r="G45" s="132"/>
      <c r="H45" s="508"/>
      <c r="I45" s="132"/>
      <c r="J45" s="150"/>
      <c r="K45" s="509"/>
      <c r="L45" s="510"/>
      <c r="M45" s="511">
        <f t="shared" si="0"/>
        <v>0</v>
      </c>
      <c r="N45" s="109"/>
      <c r="O45" s="513" t="str">
        <f>IF(I45="","",VLOOKUP(I45,tab!$A$68:$V$108,J45+2,FALSE))</f>
        <v/>
      </c>
      <c r="P45" s="514" t="str">
        <f t="shared" si="1"/>
        <v/>
      </c>
      <c r="Q45" s="1173">
        <f t="shared" si="10"/>
        <v>0.62</v>
      </c>
      <c r="R45" s="641" t="str">
        <f t="shared" si="2"/>
        <v/>
      </c>
      <c r="S45" s="514">
        <f>IF(L45="",0,(((O45*12)*L45)*(1+tab!$D$55)*tab!$F$57))</f>
        <v>0</v>
      </c>
      <c r="T45" s="1131">
        <f t="shared" si="3"/>
        <v>0</v>
      </c>
      <c r="U45" s="219">
        <f t="shared" si="4"/>
        <v>0</v>
      </c>
      <c r="V45" s="1145">
        <f t="shared" si="5"/>
        <v>0</v>
      </c>
      <c r="W45" s="124"/>
      <c r="X45" s="91"/>
      <c r="AA45" s="642" t="b">
        <f>DATE(YEAR(tab!$E$3),MONTH(H45),DAY(H45))&gt;tab!$E$3</f>
        <v>0</v>
      </c>
      <c r="AB45" s="643">
        <f t="shared" si="6"/>
        <v>113</v>
      </c>
      <c r="AC45" s="244">
        <f t="shared" si="7"/>
        <v>30</v>
      </c>
      <c r="AD45" s="244">
        <f t="shared" si="8"/>
        <v>30</v>
      </c>
      <c r="AE45" s="643">
        <f t="shared" si="9"/>
        <v>0</v>
      </c>
    </row>
    <row r="46" spans="2:31" ht="12.75" customHeight="1" x14ac:dyDescent="0.2">
      <c r="B46" s="87"/>
      <c r="C46" s="108"/>
      <c r="D46" s="115"/>
      <c r="E46" s="115"/>
      <c r="F46" s="115"/>
      <c r="G46" s="132"/>
      <c r="H46" s="508"/>
      <c r="I46" s="132"/>
      <c r="J46" s="150"/>
      <c r="K46" s="509"/>
      <c r="L46" s="510"/>
      <c r="M46" s="511">
        <f t="shared" si="0"/>
        <v>0</v>
      </c>
      <c r="N46" s="109"/>
      <c r="O46" s="513" t="str">
        <f>IF(I46="","",VLOOKUP(I46,tab!$A$68:$V$108,J46+2,FALSE))</f>
        <v/>
      </c>
      <c r="P46" s="514" t="str">
        <f t="shared" si="1"/>
        <v/>
      </c>
      <c r="Q46" s="1173">
        <f t="shared" si="10"/>
        <v>0.62</v>
      </c>
      <c r="R46" s="641" t="str">
        <f t="shared" si="2"/>
        <v/>
      </c>
      <c r="S46" s="514">
        <f>IF(L46="",0,(((O46*12)*L46)*(1+tab!$D$55)*tab!$F$57))</f>
        <v>0</v>
      </c>
      <c r="T46" s="1131">
        <f t="shared" si="3"/>
        <v>0</v>
      </c>
      <c r="U46" s="219">
        <f t="shared" si="4"/>
        <v>0</v>
      </c>
      <c r="V46" s="1145">
        <f t="shared" si="5"/>
        <v>0</v>
      </c>
      <c r="W46" s="124"/>
      <c r="X46" s="91"/>
      <c r="AA46" s="642" t="b">
        <f>DATE(YEAR(tab!$E$3),MONTH(H46),DAY(H46))&gt;tab!$E$3</f>
        <v>0</v>
      </c>
      <c r="AB46" s="643">
        <f t="shared" si="6"/>
        <v>113</v>
      </c>
      <c r="AC46" s="244">
        <f t="shared" si="7"/>
        <v>30</v>
      </c>
      <c r="AD46" s="244">
        <f t="shared" si="8"/>
        <v>30</v>
      </c>
      <c r="AE46" s="643">
        <f t="shared" si="9"/>
        <v>0</v>
      </c>
    </row>
    <row r="47" spans="2:31" ht="12.75" customHeight="1" x14ac:dyDescent="0.2">
      <c r="B47" s="87"/>
      <c r="C47" s="108"/>
      <c r="D47" s="115"/>
      <c r="E47" s="115"/>
      <c r="F47" s="115"/>
      <c r="G47" s="132"/>
      <c r="H47" s="508"/>
      <c r="I47" s="132"/>
      <c r="J47" s="150"/>
      <c r="K47" s="509"/>
      <c r="L47" s="510"/>
      <c r="M47" s="511">
        <f t="shared" si="0"/>
        <v>0</v>
      </c>
      <c r="N47" s="109"/>
      <c r="O47" s="513" t="str">
        <f>IF(I47="","",VLOOKUP(I47,tab!$A$68:$V$108,J47+2,FALSE))</f>
        <v/>
      </c>
      <c r="P47" s="514" t="str">
        <f t="shared" si="1"/>
        <v/>
      </c>
      <c r="Q47" s="1173">
        <f t="shared" si="10"/>
        <v>0.62</v>
      </c>
      <c r="R47" s="641" t="str">
        <f t="shared" si="2"/>
        <v/>
      </c>
      <c r="S47" s="514">
        <f>IF(L47="",0,(((O47*12)*L47)*(1+tab!$D$55)*tab!$F$57))</f>
        <v>0</v>
      </c>
      <c r="T47" s="1131">
        <f t="shared" si="3"/>
        <v>0</v>
      </c>
      <c r="U47" s="219">
        <f t="shared" si="4"/>
        <v>0</v>
      </c>
      <c r="V47" s="1145">
        <f t="shared" si="5"/>
        <v>0</v>
      </c>
      <c r="W47" s="124"/>
      <c r="X47" s="91"/>
      <c r="AA47" s="642" t="b">
        <f>DATE(YEAR(tab!$E$3),MONTH(H47),DAY(H47))&gt;tab!$E$3</f>
        <v>0</v>
      </c>
      <c r="AB47" s="643">
        <f t="shared" si="6"/>
        <v>113</v>
      </c>
      <c r="AC47" s="244">
        <f t="shared" si="7"/>
        <v>30</v>
      </c>
      <c r="AD47" s="244">
        <f t="shared" si="8"/>
        <v>30</v>
      </c>
      <c r="AE47" s="643">
        <f t="shared" si="9"/>
        <v>0</v>
      </c>
    </row>
    <row r="48" spans="2:31" ht="12.75" customHeight="1" x14ac:dyDescent="0.2">
      <c r="B48" s="87"/>
      <c r="C48" s="108"/>
      <c r="D48" s="115"/>
      <c r="E48" s="115"/>
      <c r="F48" s="115"/>
      <c r="G48" s="132"/>
      <c r="H48" s="508"/>
      <c r="I48" s="132"/>
      <c r="J48" s="150"/>
      <c r="K48" s="509"/>
      <c r="L48" s="510"/>
      <c r="M48" s="511">
        <f t="shared" ref="M48:M70" si="11">(IF(L48=0,(K48),(K48)-L48))</f>
        <v>0</v>
      </c>
      <c r="N48" s="109"/>
      <c r="O48" s="513" t="str">
        <f>IF(I48="","",VLOOKUP(I48,tab!$A$68:$V$108,J48+2,FALSE))</f>
        <v/>
      </c>
      <c r="P48" s="514" t="str">
        <f t="shared" ref="P48:P70" si="12">IF(E48=0,"",(O48*M48*12))</f>
        <v/>
      </c>
      <c r="Q48" s="1173">
        <f t="shared" si="10"/>
        <v>0.62</v>
      </c>
      <c r="R48" s="641" t="str">
        <f t="shared" ref="R48:R70" si="13">IF(E48=0,"",(P48)*Q48)</f>
        <v/>
      </c>
      <c r="S48" s="514">
        <f>IF(L48="",0,(((O48*12)*L48)*(1+tab!$D$55)*tab!$F$57))</f>
        <v>0</v>
      </c>
      <c r="T48" s="1131">
        <f t="shared" ref="T48:T70" si="14">IF(E48=0,0,(P48+R48+S48))</f>
        <v>0</v>
      </c>
      <c r="U48" s="219">
        <f t="shared" ref="U48:U70" si="15">IF(G48&lt;25,0,IF(G48=25,25,IF(G48&lt;40,0,IF(G48=40,40,IF(G48&gt;=40,0)))))</f>
        <v>0</v>
      </c>
      <c r="V48" s="1145">
        <f t="shared" ref="V48:V70" si="16">IF(U48=25,(O48*1.08*(K48)/2),IF(U48=40,(O48*1.08*(K48)),IF(U48=0,0)))</f>
        <v>0</v>
      </c>
      <c r="W48" s="124"/>
      <c r="X48" s="91"/>
      <c r="AA48" s="642" t="b">
        <f>DATE(YEAR(tab!$E$3),MONTH(H48),DAY(H48))&gt;tab!$E$3</f>
        <v>0</v>
      </c>
      <c r="AB48" s="643">
        <f t="shared" ref="AB48:AB70" si="17">YEAR($E$9)-YEAR(H48)-AA48</f>
        <v>113</v>
      </c>
      <c r="AC48" s="244">
        <f t="shared" ref="AC48:AC70" si="18">IF((H48=""),30,AB48)</f>
        <v>30</v>
      </c>
      <c r="AD48" s="244">
        <f t="shared" ref="AD48:AD70" si="19">IF((AC48)&gt;50,50,(AC48))</f>
        <v>30</v>
      </c>
      <c r="AE48" s="643">
        <f t="shared" ref="AE48:AE70" si="20">ROUND(AD48*K48,2)</f>
        <v>0</v>
      </c>
    </row>
    <row r="49" spans="2:31" ht="12.75" customHeight="1" x14ac:dyDescent="0.2">
      <c r="B49" s="87"/>
      <c r="C49" s="108"/>
      <c r="D49" s="115"/>
      <c r="E49" s="115"/>
      <c r="F49" s="115"/>
      <c r="G49" s="132"/>
      <c r="H49" s="508"/>
      <c r="I49" s="132"/>
      <c r="J49" s="150"/>
      <c r="K49" s="509"/>
      <c r="L49" s="510"/>
      <c r="M49" s="511">
        <f t="shared" si="11"/>
        <v>0</v>
      </c>
      <c r="N49" s="109"/>
      <c r="O49" s="513" t="str">
        <f>IF(I49="","",VLOOKUP(I49,tab!$A$68:$V$108,J49+2,FALSE))</f>
        <v/>
      </c>
      <c r="P49" s="514" t="str">
        <f t="shared" si="12"/>
        <v/>
      </c>
      <c r="Q49" s="1173">
        <f t="shared" si="10"/>
        <v>0.62</v>
      </c>
      <c r="R49" s="641" t="str">
        <f t="shared" si="13"/>
        <v/>
      </c>
      <c r="S49" s="514">
        <f>IF(L49="",0,(((O49*12)*L49)*(1+tab!$D$55)*tab!$F$57))</f>
        <v>0</v>
      </c>
      <c r="T49" s="1131">
        <f t="shared" si="14"/>
        <v>0</v>
      </c>
      <c r="U49" s="219">
        <f t="shared" si="15"/>
        <v>0</v>
      </c>
      <c r="V49" s="1145">
        <f t="shared" si="16"/>
        <v>0</v>
      </c>
      <c r="W49" s="124"/>
      <c r="X49" s="91"/>
      <c r="AA49" s="642" t="b">
        <f>DATE(YEAR(tab!$E$3),MONTH(H49),DAY(H49))&gt;tab!$E$3</f>
        <v>0</v>
      </c>
      <c r="AB49" s="643">
        <f t="shared" si="17"/>
        <v>113</v>
      </c>
      <c r="AC49" s="244">
        <f t="shared" si="18"/>
        <v>30</v>
      </c>
      <c r="AD49" s="244">
        <f t="shared" si="19"/>
        <v>30</v>
      </c>
      <c r="AE49" s="643">
        <f t="shared" si="20"/>
        <v>0</v>
      </c>
    </row>
    <row r="50" spans="2:31" ht="12.75" customHeight="1" x14ac:dyDescent="0.2">
      <c r="B50" s="87"/>
      <c r="C50" s="108"/>
      <c r="D50" s="115"/>
      <c r="E50" s="115"/>
      <c r="F50" s="115"/>
      <c r="G50" s="132"/>
      <c r="H50" s="508"/>
      <c r="I50" s="132"/>
      <c r="J50" s="150"/>
      <c r="K50" s="509"/>
      <c r="L50" s="510"/>
      <c r="M50" s="511">
        <f t="shared" si="11"/>
        <v>0</v>
      </c>
      <c r="N50" s="109"/>
      <c r="O50" s="513" t="str">
        <f>IF(I50="","",VLOOKUP(I50,tab!$A$68:$V$108,J50+2,FALSE))</f>
        <v/>
      </c>
      <c r="P50" s="514" t="str">
        <f t="shared" si="12"/>
        <v/>
      </c>
      <c r="Q50" s="1173">
        <f t="shared" si="10"/>
        <v>0.62</v>
      </c>
      <c r="R50" s="641" t="str">
        <f t="shared" si="13"/>
        <v/>
      </c>
      <c r="S50" s="514">
        <f>IF(L50="",0,(((O50*12)*L50)*(1+tab!$D$55)*tab!$F$57))</f>
        <v>0</v>
      </c>
      <c r="T50" s="1131">
        <f t="shared" si="14"/>
        <v>0</v>
      </c>
      <c r="U50" s="219">
        <f t="shared" si="15"/>
        <v>0</v>
      </c>
      <c r="V50" s="1145">
        <f t="shared" si="16"/>
        <v>0</v>
      </c>
      <c r="W50" s="124"/>
      <c r="X50" s="91"/>
      <c r="AA50" s="642" t="b">
        <f>DATE(YEAR(tab!$E$3),MONTH(H50),DAY(H50))&gt;tab!$E$3</f>
        <v>0</v>
      </c>
      <c r="AB50" s="643">
        <f t="shared" si="17"/>
        <v>113</v>
      </c>
      <c r="AC50" s="244">
        <f t="shared" si="18"/>
        <v>30</v>
      </c>
      <c r="AD50" s="244">
        <f t="shared" si="19"/>
        <v>30</v>
      </c>
      <c r="AE50" s="643">
        <f t="shared" si="20"/>
        <v>0</v>
      </c>
    </row>
    <row r="51" spans="2:31" ht="12.75" customHeight="1" x14ac:dyDescent="0.2">
      <c r="B51" s="87"/>
      <c r="C51" s="108"/>
      <c r="D51" s="115"/>
      <c r="E51" s="115"/>
      <c r="F51" s="115"/>
      <c r="G51" s="132"/>
      <c r="H51" s="508"/>
      <c r="I51" s="132"/>
      <c r="J51" s="150"/>
      <c r="K51" s="509"/>
      <c r="L51" s="510"/>
      <c r="M51" s="511">
        <f t="shared" si="11"/>
        <v>0</v>
      </c>
      <c r="N51" s="109"/>
      <c r="O51" s="513" t="str">
        <f>IF(I51="","",VLOOKUP(I51,tab!$A$68:$V$108,J51+2,FALSE))</f>
        <v/>
      </c>
      <c r="P51" s="514" t="str">
        <f t="shared" si="12"/>
        <v/>
      </c>
      <c r="Q51" s="1173">
        <f t="shared" si="10"/>
        <v>0.62</v>
      </c>
      <c r="R51" s="641" t="str">
        <f t="shared" si="13"/>
        <v/>
      </c>
      <c r="S51" s="514">
        <f>IF(L51="",0,(((O51*12)*L51)*(1+tab!$D$55)*tab!$F$57))</f>
        <v>0</v>
      </c>
      <c r="T51" s="1131">
        <f t="shared" si="14"/>
        <v>0</v>
      </c>
      <c r="U51" s="219">
        <f t="shared" si="15"/>
        <v>0</v>
      </c>
      <c r="V51" s="1145">
        <f t="shared" si="16"/>
        <v>0</v>
      </c>
      <c r="W51" s="124"/>
      <c r="X51" s="91"/>
      <c r="AA51" s="642" t="b">
        <f>DATE(YEAR(tab!$E$3),MONTH(H51),DAY(H51))&gt;tab!$E$3</f>
        <v>0</v>
      </c>
      <c r="AB51" s="643">
        <f t="shared" si="17"/>
        <v>113</v>
      </c>
      <c r="AC51" s="244">
        <f t="shared" si="18"/>
        <v>30</v>
      </c>
      <c r="AD51" s="244">
        <f t="shared" si="19"/>
        <v>30</v>
      </c>
      <c r="AE51" s="643">
        <f t="shared" si="20"/>
        <v>0</v>
      </c>
    </row>
    <row r="52" spans="2:31" ht="12.75" customHeight="1" x14ac:dyDescent="0.2">
      <c r="B52" s="87"/>
      <c r="C52" s="108"/>
      <c r="D52" s="115"/>
      <c r="E52" s="115"/>
      <c r="F52" s="115"/>
      <c r="G52" s="132"/>
      <c r="H52" s="508"/>
      <c r="I52" s="132"/>
      <c r="J52" s="150"/>
      <c r="K52" s="509"/>
      <c r="L52" s="510"/>
      <c r="M52" s="511">
        <f t="shared" si="11"/>
        <v>0</v>
      </c>
      <c r="N52" s="109"/>
      <c r="O52" s="513" t="str">
        <f>IF(I52="","",VLOOKUP(I52,tab!$A$68:$V$108,J52+2,FALSE))</f>
        <v/>
      </c>
      <c r="P52" s="514" t="str">
        <f t="shared" si="12"/>
        <v/>
      </c>
      <c r="Q52" s="1173">
        <f t="shared" si="10"/>
        <v>0.62</v>
      </c>
      <c r="R52" s="641" t="str">
        <f t="shared" si="13"/>
        <v/>
      </c>
      <c r="S52" s="514">
        <f>IF(L52="",0,(((O52*12)*L52)*(1+tab!$D$55)*tab!$F$57))</f>
        <v>0</v>
      </c>
      <c r="T52" s="1131">
        <f t="shared" si="14"/>
        <v>0</v>
      </c>
      <c r="U52" s="219">
        <f t="shared" si="15"/>
        <v>0</v>
      </c>
      <c r="V52" s="1145">
        <f t="shared" si="16"/>
        <v>0</v>
      </c>
      <c r="W52" s="124"/>
      <c r="X52" s="91"/>
      <c r="AA52" s="642" t="b">
        <f>DATE(YEAR(tab!$E$3),MONTH(H52),DAY(H52))&gt;tab!$E$3</f>
        <v>0</v>
      </c>
      <c r="AB52" s="643">
        <f t="shared" si="17"/>
        <v>113</v>
      </c>
      <c r="AC52" s="244">
        <f t="shared" si="18"/>
        <v>30</v>
      </c>
      <c r="AD52" s="244">
        <f t="shared" si="19"/>
        <v>30</v>
      </c>
      <c r="AE52" s="643">
        <f t="shared" si="20"/>
        <v>0</v>
      </c>
    </row>
    <row r="53" spans="2:31" ht="12.75" customHeight="1" x14ac:dyDescent="0.2">
      <c r="B53" s="87"/>
      <c r="C53" s="108"/>
      <c r="D53" s="115"/>
      <c r="E53" s="115"/>
      <c r="F53" s="115"/>
      <c r="G53" s="132"/>
      <c r="H53" s="508"/>
      <c r="I53" s="132"/>
      <c r="J53" s="150"/>
      <c r="K53" s="509"/>
      <c r="L53" s="510"/>
      <c r="M53" s="511">
        <f t="shared" si="11"/>
        <v>0</v>
      </c>
      <c r="N53" s="109"/>
      <c r="O53" s="513" t="str">
        <f>IF(I53="","",VLOOKUP(I53,tab!$A$68:$V$108,J53+2,FALSE))</f>
        <v/>
      </c>
      <c r="P53" s="514" t="str">
        <f t="shared" si="12"/>
        <v/>
      </c>
      <c r="Q53" s="1173">
        <f t="shared" si="10"/>
        <v>0.62</v>
      </c>
      <c r="R53" s="641" t="str">
        <f t="shared" si="13"/>
        <v/>
      </c>
      <c r="S53" s="514">
        <f>IF(L53="",0,(((O53*12)*L53)*(1+tab!$D$55)*tab!$F$57))</f>
        <v>0</v>
      </c>
      <c r="T53" s="1131">
        <f t="shared" si="14"/>
        <v>0</v>
      </c>
      <c r="U53" s="219">
        <f t="shared" si="15"/>
        <v>0</v>
      </c>
      <c r="V53" s="1145">
        <f t="shared" si="16"/>
        <v>0</v>
      </c>
      <c r="W53" s="124"/>
      <c r="X53" s="91"/>
      <c r="AA53" s="642" t="b">
        <f>DATE(YEAR(tab!$E$3),MONTH(H53),DAY(H53))&gt;tab!$E$3</f>
        <v>0</v>
      </c>
      <c r="AB53" s="643">
        <f t="shared" si="17"/>
        <v>113</v>
      </c>
      <c r="AC53" s="244">
        <f t="shared" si="18"/>
        <v>30</v>
      </c>
      <c r="AD53" s="244">
        <f t="shared" si="19"/>
        <v>30</v>
      </c>
      <c r="AE53" s="643">
        <f t="shared" si="20"/>
        <v>0</v>
      </c>
    </row>
    <row r="54" spans="2:31" ht="12.75" customHeight="1" x14ac:dyDescent="0.2">
      <c r="B54" s="87"/>
      <c r="C54" s="108"/>
      <c r="D54" s="115"/>
      <c r="E54" s="115"/>
      <c r="F54" s="115"/>
      <c r="G54" s="132"/>
      <c r="H54" s="508"/>
      <c r="I54" s="132"/>
      <c r="J54" s="150"/>
      <c r="K54" s="509"/>
      <c r="L54" s="510"/>
      <c r="M54" s="511">
        <f t="shared" si="11"/>
        <v>0</v>
      </c>
      <c r="N54" s="109"/>
      <c r="O54" s="513" t="str">
        <f>IF(I54="","",VLOOKUP(I54,tab!$A$68:$V$108,J54+2,FALSE))</f>
        <v/>
      </c>
      <c r="P54" s="514" t="str">
        <f t="shared" si="12"/>
        <v/>
      </c>
      <c r="Q54" s="1173">
        <f t="shared" si="10"/>
        <v>0.62</v>
      </c>
      <c r="R54" s="641" t="str">
        <f t="shared" si="13"/>
        <v/>
      </c>
      <c r="S54" s="514">
        <f>IF(L54="",0,(((O54*12)*L54)*(1+tab!$D$55)*tab!$F$57))</f>
        <v>0</v>
      </c>
      <c r="T54" s="1131">
        <f t="shared" si="14"/>
        <v>0</v>
      </c>
      <c r="U54" s="219">
        <f t="shared" si="15"/>
        <v>0</v>
      </c>
      <c r="V54" s="1145">
        <f t="shared" si="16"/>
        <v>0</v>
      </c>
      <c r="W54" s="124"/>
      <c r="X54" s="91"/>
      <c r="AA54" s="642" t="b">
        <f>DATE(YEAR(tab!$E$3),MONTH(H54),DAY(H54))&gt;tab!$E$3</f>
        <v>0</v>
      </c>
      <c r="AB54" s="643">
        <f t="shared" si="17"/>
        <v>113</v>
      </c>
      <c r="AC54" s="244">
        <f t="shared" si="18"/>
        <v>30</v>
      </c>
      <c r="AD54" s="244">
        <f t="shared" si="19"/>
        <v>30</v>
      </c>
      <c r="AE54" s="643">
        <f t="shared" si="20"/>
        <v>0</v>
      </c>
    </row>
    <row r="55" spans="2:31" ht="12.75" customHeight="1" x14ac:dyDescent="0.2">
      <c r="B55" s="87"/>
      <c r="C55" s="108"/>
      <c r="D55" s="115"/>
      <c r="E55" s="115"/>
      <c r="F55" s="115"/>
      <c r="G55" s="132"/>
      <c r="H55" s="508"/>
      <c r="I55" s="132"/>
      <c r="J55" s="150"/>
      <c r="K55" s="509"/>
      <c r="L55" s="510"/>
      <c r="M55" s="511">
        <f t="shared" si="11"/>
        <v>0</v>
      </c>
      <c r="N55" s="109"/>
      <c r="O55" s="513" t="str">
        <f>IF(I55="","",VLOOKUP(I55,tab!$A$68:$V$108,J55+2,FALSE))</f>
        <v/>
      </c>
      <c r="P55" s="514" t="str">
        <f t="shared" si="12"/>
        <v/>
      </c>
      <c r="Q55" s="1173">
        <f t="shared" si="10"/>
        <v>0.62</v>
      </c>
      <c r="R55" s="641" t="str">
        <f t="shared" si="13"/>
        <v/>
      </c>
      <c r="S55" s="514">
        <f>IF(L55="",0,(((O55*12)*L55)*(1+tab!$D$55)*tab!$F$57))</f>
        <v>0</v>
      </c>
      <c r="T55" s="1131">
        <f t="shared" si="14"/>
        <v>0</v>
      </c>
      <c r="U55" s="219">
        <f t="shared" si="15"/>
        <v>0</v>
      </c>
      <c r="V55" s="1145">
        <f t="shared" si="16"/>
        <v>0</v>
      </c>
      <c r="W55" s="124"/>
      <c r="X55" s="91"/>
      <c r="AA55" s="642" t="b">
        <f>DATE(YEAR(tab!$E$3),MONTH(H55),DAY(H55))&gt;tab!$E$3</f>
        <v>0</v>
      </c>
      <c r="AB55" s="643">
        <f t="shared" si="17"/>
        <v>113</v>
      </c>
      <c r="AC55" s="244">
        <f t="shared" si="18"/>
        <v>30</v>
      </c>
      <c r="AD55" s="244">
        <f t="shared" si="19"/>
        <v>30</v>
      </c>
      <c r="AE55" s="643">
        <f t="shared" si="20"/>
        <v>0</v>
      </c>
    </row>
    <row r="56" spans="2:31" ht="12.75" customHeight="1" x14ac:dyDescent="0.2">
      <c r="B56" s="87"/>
      <c r="C56" s="108"/>
      <c r="D56" s="115"/>
      <c r="E56" s="115"/>
      <c r="F56" s="115"/>
      <c r="G56" s="132"/>
      <c r="H56" s="508"/>
      <c r="I56" s="132"/>
      <c r="J56" s="150"/>
      <c r="K56" s="509"/>
      <c r="L56" s="510"/>
      <c r="M56" s="511">
        <f t="shared" si="11"/>
        <v>0</v>
      </c>
      <c r="N56" s="109"/>
      <c r="O56" s="513" t="str">
        <f>IF(I56="","",VLOOKUP(I56,tab!$A$68:$V$108,J56+2,FALSE))</f>
        <v/>
      </c>
      <c r="P56" s="514" t="str">
        <f t="shared" si="12"/>
        <v/>
      </c>
      <c r="Q56" s="1173">
        <f t="shared" si="10"/>
        <v>0.62</v>
      </c>
      <c r="R56" s="641" t="str">
        <f t="shared" si="13"/>
        <v/>
      </c>
      <c r="S56" s="514">
        <f>IF(L56="",0,(((O56*12)*L56)*(1+tab!$D$55)*tab!$F$57))</f>
        <v>0</v>
      </c>
      <c r="T56" s="1131">
        <f t="shared" si="14"/>
        <v>0</v>
      </c>
      <c r="U56" s="219">
        <f t="shared" si="15"/>
        <v>0</v>
      </c>
      <c r="V56" s="1145">
        <f t="shared" si="16"/>
        <v>0</v>
      </c>
      <c r="W56" s="124"/>
      <c r="X56" s="91"/>
      <c r="AA56" s="642" t="b">
        <f>DATE(YEAR(tab!$E$3),MONTH(H56),DAY(H56))&gt;tab!$E$3</f>
        <v>0</v>
      </c>
      <c r="AB56" s="643">
        <f t="shared" si="17"/>
        <v>113</v>
      </c>
      <c r="AC56" s="244">
        <f t="shared" si="18"/>
        <v>30</v>
      </c>
      <c r="AD56" s="244">
        <f t="shared" si="19"/>
        <v>30</v>
      </c>
      <c r="AE56" s="643">
        <f t="shared" si="20"/>
        <v>0</v>
      </c>
    </row>
    <row r="57" spans="2:31" ht="12.75" customHeight="1" x14ac:dyDescent="0.2">
      <c r="B57" s="87"/>
      <c r="C57" s="108"/>
      <c r="D57" s="115"/>
      <c r="E57" s="115"/>
      <c r="F57" s="115"/>
      <c r="G57" s="132"/>
      <c r="H57" s="508"/>
      <c r="I57" s="132"/>
      <c r="J57" s="150"/>
      <c r="K57" s="509"/>
      <c r="L57" s="510"/>
      <c r="M57" s="511">
        <f t="shared" si="11"/>
        <v>0</v>
      </c>
      <c r="N57" s="109"/>
      <c r="O57" s="513" t="str">
        <f>IF(I57="","",VLOOKUP(I57,tab!$A$68:$V$108,J57+2,FALSE))</f>
        <v/>
      </c>
      <c r="P57" s="514" t="str">
        <f t="shared" si="12"/>
        <v/>
      </c>
      <c r="Q57" s="1173">
        <f t="shared" si="10"/>
        <v>0.62</v>
      </c>
      <c r="R57" s="641" t="str">
        <f t="shared" si="13"/>
        <v/>
      </c>
      <c r="S57" s="514">
        <f>IF(L57="",0,(((O57*12)*L57)*(1+tab!$D$55)*tab!$F$57))</f>
        <v>0</v>
      </c>
      <c r="T57" s="1131">
        <f t="shared" si="14"/>
        <v>0</v>
      </c>
      <c r="U57" s="219">
        <f t="shared" si="15"/>
        <v>0</v>
      </c>
      <c r="V57" s="1145">
        <f t="shared" si="16"/>
        <v>0</v>
      </c>
      <c r="W57" s="124"/>
      <c r="X57" s="91"/>
      <c r="AA57" s="642" t="b">
        <f>DATE(YEAR(tab!$E$3),MONTH(H57),DAY(H57))&gt;tab!$E$3</f>
        <v>0</v>
      </c>
      <c r="AB57" s="643">
        <f t="shared" si="17"/>
        <v>113</v>
      </c>
      <c r="AC57" s="244">
        <f t="shared" si="18"/>
        <v>30</v>
      </c>
      <c r="AD57" s="244">
        <f t="shared" si="19"/>
        <v>30</v>
      </c>
      <c r="AE57" s="643">
        <f t="shared" si="20"/>
        <v>0</v>
      </c>
    </row>
    <row r="58" spans="2:31" ht="12.75" customHeight="1" x14ac:dyDescent="0.2">
      <c r="B58" s="87"/>
      <c r="C58" s="108"/>
      <c r="D58" s="115"/>
      <c r="E58" s="115"/>
      <c r="F58" s="115"/>
      <c r="G58" s="132"/>
      <c r="H58" s="508"/>
      <c r="I58" s="132"/>
      <c r="J58" s="150"/>
      <c r="K58" s="509"/>
      <c r="L58" s="510"/>
      <c r="M58" s="511">
        <f t="shared" si="11"/>
        <v>0</v>
      </c>
      <c r="N58" s="109"/>
      <c r="O58" s="513" t="str">
        <f>IF(I58="","",VLOOKUP(I58,tab!$A$68:$V$108,J58+2,FALSE))</f>
        <v/>
      </c>
      <c r="P58" s="514" t="str">
        <f t="shared" si="12"/>
        <v/>
      </c>
      <c r="Q58" s="1173">
        <f t="shared" si="10"/>
        <v>0.62</v>
      </c>
      <c r="R58" s="641" t="str">
        <f t="shared" si="13"/>
        <v/>
      </c>
      <c r="S58" s="514">
        <f>IF(L58="",0,(((O58*12)*L58)*(1+tab!$D$55)*tab!$F$57))</f>
        <v>0</v>
      </c>
      <c r="T58" s="1131">
        <f t="shared" si="14"/>
        <v>0</v>
      </c>
      <c r="U58" s="219">
        <f t="shared" si="15"/>
        <v>0</v>
      </c>
      <c r="V58" s="1145">
        <f t="shared" si="16"/>
        <v>0</v>
      </c>
      <c r="W58" s="124"/>
      <c r="X58" s="91"/>
      <c r="AA58" s="642" t="b">
        <f>DATE(YEAR(tab!$E$3),MONTH(H58),DAY(H58))&gt;tab!$E$3</f>
        <v>0</v>
      </c>
      <c r="AB58" s="643">
        <f t="shared" si="17"/>
        <v>113</v>
      </c>
      <c r="AC58" s="244">
        <f t="shared" si="18"/>
        <v>30</v>
      </c>
      <c r="AD58" s="244">
        <f t="shared" si="19"/>
        <v>30</v>
      </c>
      <c r="AE58" s="643">
        <f t="shared" si="20"/>
        <v>0</v>
      </c>
    </row>
    <row r="59" spans="2:31" ht="12.75" customHeight="1" x14ac:dyDescent="0.2">
      <c r="B59" s="87"/>
      <c r="C59" s="108"/>
      <c r="D59" s="115"/>
      <c r="E59" s="115"/>
      <c r="F59" s="115"/>
      <c r="G59" s="132"/>
      <c r="H59" s="508"/>
      <c r="I59" s="132"/>
      <c r="J59" s="150"/>
      <c r="K59" s="509"/>
      <c r="L59" s="510"/>
      <c r="M59" s="511">
        <f t="shared" si="11"/>
        <v>0</v>
      </c>
      <c r="N59" s="109"/>
      <c r="O59" s="513" t="str">
        <f>IF(I59="","",VLOOKUP(I59,tab!$A$68:$V$108,J59+2,FALSE))</f>
        <v/>
      </c>
      <c r="P59" s="514" t="str">
        <f t="shared" si="12"/>
        <v/>
      </c>
      <c r="Q59" s="1173">
        <f t="shared" si="10"/>
        <v>0.62</v>
      </c>
      <c r="R59" s="641" t="str">
        <f t="shared" si="13"/>
        <v/>
      </c>
      <c r="S59" s="514">
        <f>IF(L59="",0,(((O59*12)*L59)*(1+tab!$D$55)*tab!$F$57))</f>
        <v>0</v>
      </c>
      <c r="T59" s="1131">
        <f t="shared" si="14"/>
        <v>0</v>
      </c>
      <c r="U59" s="219">
        <f t="shared" si="15"/>
        <v>0</v>
      </c>
      <c r="V59" s="1145">
        <f t="shared" si="16"/>
        <v>0</v>
      </c>
      <c r="W59" s="124"/>
      <c r="X59" s="91"/>
      <c r="AA59" s="642" t="b">
        <f>DATE(YEAR(tab!$E$3),MONTH(H59),DAY(H59))&gt;tab!$E$3</f>
        <v>0</v>
      </c>
      <c r="AB59" s="643">
        <f t="shared" si="17"/>
        <v>113</v>
      </c>
      <c r="AC59" s="244">
        <f t="shared" si="18"/>
        <v>30</v>
      </c>
      <c r="AD59" s="244">
        <f t="shared" si="19"/>
        <v>30</v>
      </c>
      <c r="AE59" s="643">
        <f t="shared" si="20"/>
        <v>0</v>
      </c>
    </row>
    <row r="60" spans="2:31" ht="12.75" customHeight="1" x14ac:dyDescent="0.2">
      <c r="B60" s="87"/>
      <c r="C60" s="108"/>
      <c r="D60" s="115"/>
      <c r="E60" s="115"/>
      <c r="F60" s="115"/>
      <c r="G60" s="132"/>
      <c r="H60" s="508"/>
      <c r="I60" s="132"/>
      <c r="J60" s="150"/>
      <c r="K60" s="509"/>
      <c r="L60" s="510"/>
      <c r="M60" s="511">
        <f t="shared" si="11"/>
        <v>0</v>
      </c>
      <c r="N60" s="109"/>
      <c r="O60" s="513" t="str">
        <f>IF(I60="","",VLOOKUP(I60,tab!$A$68:$V$108,J60+2,FALSE))</f>
        <v/>
      </c>
      <c r="P60" s="514" t="str">
        <f t="shared" si="12"/>
        <v/>
      </c>
      <c r="Q60" s="1173">
        <f t="shared" si="10"/>
        <v>0.62</v>
      </c>
      <c r="R60" s="641" t="str">
        <f t="shared" si="13"/>
        <v/>
      </c>
      <c r="S60" s="514">
        <f>IF(L60="",0,(((O60*12)*L60)*(1+tab!$D$55)*tab!$F$57))</f>
        <v>0</v>
      </c>
      <c r="T60" s="1131">
        <f t="shared" si="14"/>
        <v>0</v>
      </c>
      <c r="U60" s="219">
        <f t="shared" si="15"/>
        <v>0</v>
      </c>
      <c r="V60" s="1145">
        <f t="shared" si="16"/>
        <v>0</v>
      </c>
      <c r="W60" s="124"/>
      <c r="X60" s="91"/>
      <c r="AA60" s="642" t="b">
        <f>DATE(YEAR(tab!$E$3),MONTH(H60),DAY(H60))&gt;tab!$E$3</f>
        <v>0</v>
      </c>
      <c r="AB60" s="643">
        <f t="shared" si="17"/>
        <v>113</v>
      </c>
      <c r="AC60" s="244">
        <f t="shared" si="18"/>
        <v>30</v>
      </c>
      <c r="AD60" s="244">
        <f t="shared" si="19"/>
        <v>30</v>
      </c>
      <c r="AE60" s="643">
        <f t="shared" si="20"/>
        <v>0</v>
      </c>
    </row>
    <row r="61" spans="2:31" ht="12.75" customHeight="1" x14ac:dyDescent="0.2">
      <c r="B61" s="87"/>
      <c r="C61" s="108"/>
      <c r="D61" s="115"/>
      <c r="E61" s="115"/>
      <c r="F61" s="115"/>
      <c r="G61" s="132"/>
      <c r="H61" s="508"/>
      <c r="I61" s="132"/>
      <c r="J61" s="150"/>
      <c r="K61" s="509"/>
      <c r="L61" s="510"/>
      <c r="M61" s="511">
        <f t="shared" si="11"/>
        <v>0</v>
      </c>
      <c r="N61" s="109"/>
      <c r="O61" s="513" t="str">
        <f>IF(I61="","",VLOOKUP(I61,tab!$A$68:$V$108,J61+2,FALSE))</f>
        <v/>
      </c>
      <c r="P61" s="514" t="str">
        <f t="shared" si="12"/>
        <v/>
      </c>
      <c r="Q61" s="1173">
        <f t="shared" si="10"/>
        <v>0.62</v>
      </c>
      <c r="R61" s="641" t="str">
        <f t="shared" si="13"/>
        <v/>
      </c>
      <c r="S61" s="514">
        <f>IF(L61="",0,(((O61*12)*L61)*(1+tab!$D$55)*tab!$F$57))</f>
        <v>0</v>
      </c>
      <c r="T61" s="1131">
        <f t="shared" si="14"/>
        <v>0</v>
      </c>
      <c r="U61" s="219">
        <f t="shared" si="15"/>
        <v>0</v>
      </c>
      <c r="V61" s="1145">
        <f t="shared" si="16"/>
        <v>0</v>
      </c>
      <c r="W61" s="124"/>
      <c r="X61" s="91"/>
      <c r="AA61" s="642" t="b">
        <f>DATE(YEAR(tab!$E$3),MONTH(H61),DAY(H61))&gt;tab!$E$3</f>
        <v>0</v>
      </c>
      <c r="AB61" s="643">
        <f t="shared" si="17"/>
        <v>113</v>
      </c>
      <c r="AC61" s="244">
        <f t="shared" si="18"/>
        <v>30</v>
      </c>
      <c r="AD61" s="244">
        <f t="shared" si="19"/>
        <v>30</v>
      </c>
      <c r="AE61" s="643">
        <f t="shared" si="20"/>
        <v>0</v>
      </c>
    </row>
    <row r="62" spans="2:31" ht="12.75" customHeight="1" x14ac:dyDescent="0.2">
      <c r="B62" s="87"/>
      <c r="C62" s="108"/>
      <c r="D62" s="115"/>
      <c r="E62" s="115"/>
      <c r="F62" s="115"/>
      <c r="G62" s="132"/>
      <c r="H62" s="508"/>
      <c r="I62" s="132"/>
      <c r="J62" s="150"/>
      <c r="K62" s="509"/>
      <c r="L62" s="510"/>
      <c r="M62" s="511">
        <f t="shared" si="11"/>
        <v>0</v>
      </c>
      <c r="N62" s="109"/>
      <c r="O62" s="513" t="str">
        <f>IF(I62="","",VLOOKUP(I62,tab!$A$68:$V$108,J62+2,FALSE))</f>
        <v/>
      </c>
      <c r="P62" s="514" t="str">
        <f t="shared" si="12"/>
        <v/>
      </c>
      <c r="Q62" s="1173">
        <f t="shared" si="10"/>
        <v>0.62</v>
      </c>
      <c r="R62" s="641" t="str">
        <f t="shared" si="13"/>
        <v/>
      </c>
      <c r="S62" s="514">
        <f>IF(L62="",0,(((O62*12)*L62)*(1+tab!$D$55)*tab!$F$57))</f>
        <v>0</v>
      </c>
      <c r="T62" s="1131">
        <f t="shared" si="14"/>
        <v>0</v>
      </c>
      <c r="U62" s="219">
        <f t="shared" si="15"/>
        <v>0</v>
      </c>
      <c r="V62" s="1145">
        <f t="shared" si="16"/>
        <v>0</v>
      </c>
      <c r="W62" s="124"/>
      <c r="X62" s="91"/>
      <c r="AA62" s="642" t="b">
        <f>DATE(YEAR(tab!$E$3),MONTH(H62),DAY(H62))&gt;tab!$E$3</f>
        <v>0</v>
      </c>
      <c r="AB62" s="643">
        <f t="shared" si="17"/>
        <v>113</v>
      </c>
      <c r="AC62" s="244">
        <f t="shared" si="18"/>
        <v>30</v>
      </c>
      <c r="AD62" s="244">
        <f t="shared" si="19"/>
        <v>30</v>
      </c>
      <c r="AE62" s="643">
        <f t="shared" si="20"/>
        <v>0</v>
      </c>
    </row>
    <row r="63" spans="2:31" ht="12.75" customHeight="1" x14ac:dyDescent="0.2">
      <c r="B63" s="87"/>
      <c r="C63" s="108"/>
      <c r="D63" s="115"/>
      <c r="E63" s="115"/>
      <c r="F63" s="115"/>
      <c r="G63" s="132"/>
      <c r="H63" s="508"/>
      <c r="I63" s="132"/>
      <c r="J63" s="150"/>
      <c r="K63" s="509"/>
      <c r="L63" s="510"/>
      <c r="M63" s="511">
        <f t="shared" si="11"/>
        <v>0</v>
      </c>
      <c r="N63" s="109"/>
      <c r="O63" s="513" t="str">
        <f>IF(I63="","",VLOOKUP(I63,tab!$A$68:$V$108,J63+2,FALSE))</f>
        <v/>
      </c>
      <c r="P63" s="514" t="str">
        <f t="shared" si="12"/>
        <v/>
      </c>
      <c r="Q63" s="1173">
        <f t="shared" si="10"/>
        <v>0.62</v>
      </c>
      <c r="R63" s="641" t="str">
        <f t="shared" si="13"/>
        <v/>
      </c>
      <c r="S63" s="514">
        <f>IF(L63="",0,(((O63*12)*L63)*(1+tab!$D$55)*tab!$F$57))</f>
        <v>0</v>
      </c>
      <c r="T63" s="1131">
        <f t="shared" si="14"/>
        <v>0</v>
      </c>
      <c r="U63" s="219">
        <f t="shared" si="15"/>
        <v>0</v>
      </c>
      <c r="V63" s="1145">
        <f t="shared" si="16"/>
        <v>0</v>
      </c>
      <c r="W63" s="124"/>
      <c r="X63" s="91"/>
      <c r="AA63" s="642" t="b">
        <f>DATE(YEAR(tab!$E$3),MONTH(H63),DAY(H63))&gt;tab!$E$3</f>
        <v>0</v>
      </c>
      <c r="AB63" s="643">
        <f t="shared" si="17"/>
        <v>113</v>
      </c>
      <c r="AC63" s="244">
        <f t="shared" si="18"/>
        <v>30</v>
      </c>
      <c r="AD63" s="244">
        <f t="shared" si="19"/>
        <v>30</v>
      </c>
      <c r="AE63" s="643">
        <f t="shared" si="20"/>
        <v>0</v>
      </c>
    </row>
    <row r="64" spans="2:31" ht="12.75" customHeight="1" x14ac:dyDescent="0.2">
      <c r="B64" s="87"/>
      <c r="C64" s="108"/>
      <c r="D64" s="115"/>
      <c r="E64" s="115"/>
      <c r="F64" s="115"/>
      <c r="G64" s="132"/>
      <c r="H64" s="508"/>
      <c r="I64" s="132"/>
      <c r="J64" s="150"/>
      <c r="K64" s="509"/>
      <c r="L64" s="510"/>
      <c r="M64" s="511">
        <f t="shared" si="11"/>
        <v>0</v>
      </c>
      <c r="N64" s="109"/>
      <c r="O64" s="513" t="str">
        <f>IF(I64="","",VLOOKUP(I64,tab!$A$68:$V$108,J64+2,FALSE))</f>
        <v/>
      </c>
      <c r="P64" s="514" t="str">
        <f t="shared" si="12"/>
        <v/>
      </c>
      <c r="Q64" s="1173">
        <f t="shared" si="10"/>
        <v>0.62</v>
      </c>
      <c r="R64" s="641" t="str">
        <f t="shared" si="13"/>
        <v/>
      </c>
      <c r="S64" s="514">
        <f>IF(L64="",0,(((O64*12)*L64)*(1+tab!$D$55)*tab!$F$57))</f>
        <v>0</v>
      </c>
      <c r="T64" s="1131">
        <f t="shared" si="14"/>
        <v>0</v>
      </c>
      <c r="U64" s="219">
        <f t="shared" si="15"/>
        <v>0</v>
      </c>
      <c r="V64" s="1145">
        <f t="shared" si="16"/>
        <v>0</v>
      </c>
      <c r="W64" s="124"/>
      <c r="X64" s="91"/>
      <c r="AA64" s="642" t="b">
        <f>DATE(YEAR(tab!$E$3),MONTH(H64),DAY(H64))&gt;tab!$E$3</f>
        <v>0</v>
      </c>
      <c r="AB64" s="643">
        <f t="shared" si="17"/>
        <v>113</v>
      </c>
      <c r="AC64" s="244">
        <f t="shared" si="18"/>
        <v>30</v>
      </c>
      <c r="AD64" s="244">
        <f t="shared" si="19"/>
        <v>30</v>
      </c>
      <c r="AE64" s="643">
        <f t="shared" si="20"/>
        <v>0</v>
      </c>
    </row>
    <row r="65" spans="2:42" ht="12.75" customHeight="1" x14ac:dyDescent="0.2">
      <c r="B65" s="87"/>
      <c r="C65" s="108"/>
      <c r="D65" s="115"/>
      <c r="E65" s="115"/>
      <c r="F65" s="115"/>
      <c r="G65" s="132"/>
      <c r="H65" s="508"/>
      <c r="I65" s="132"/>
      <c r="J65" s="150"/>
      <c r="K65" s="509"/>
      <c r="L65" s="510"/>
      <c r="M65" s="511">
        <f t="shared" si="11"/>
        <v>0</v>
      </c>
      <c r="N65" s="109"/>
      <c r="O65" s="513" t="str">
        <f>IF(I65="","",VLOOKUP(I65,tab!$A$68:$V$108,J65+2,FALSE))</f>
        <v/>
      </c>
      <c r="P65" s="514" t="str">
        <f t="shared" si="12"/>
        <v/>
      </c>
      <c r="Q65" s="1173">
        <f t="shared" si="10"/>
        <v>0.62</v>
      </c>
      <c r="R65" s="641" t="str">
        <f t="shared" si="13"/>
        <v/>
      </c>
      <c r="S65" s="514">
        <f>IF(L65="",0,(((O65*12)*L65)*(1+tab!$D$55)*tab!$F$57))</f>
        <v>0</v>
      </c>
      <c r="T65" s="1131">
        <f t="shared" si="14"/>
        <v>0</v>
      </c>
      <c r="U65" s="219">
        <f t="shared" si="15"/>
        <v>0</v>
      </c>
      <c r="V65" s="1145">
        <f t="shared" si="16"/>
        <v>0</v>
      </c>
      <c r="W65" s="124"/>
      <c r="X65" s="91"/>
      <c r="AA65" s="642" t="b">
        <f>DATE(YEAR(tab!$E$3),MONTH(H65),DAY(H65))&gt;tab!$E$3</f>
        <v>0</v>
      </c>
      <c r="AB65" s="643">
        <f t="shared" si="17"/>
        <v>113</v>
      </c>
      <c r="AC65" s="244">
        <f t="shared" si="18"/>
        <v>30</v>
      </c>
      <c r="AD65" s="244">
        <f t="shared" si="19"/>
        <v>30</v>
      </c>
      <c r="AE65" s="643">
        <f t="shared" si="20"/>
        <v>0</v>
      </c>
    </row>
    <row r="66" spans="2:42" ht="12.75" customHeight="1" x14ac:dyDescent="0.2">
      <c r="B66" s="87"/>
      <c r="C66" s="108"/>
      <c r="D66" s="115"/>
      <c r="E66" s="115"/>
      <c r="F66" s="115"/>
      <c r="G66" s="132"/>
      <c r="H66" s="508"/>
      <c r="I66" s="132"/>
      <c r="J66" s="150"/>
      <c r="K66" s="509"/>
      <c r="L66" s="510"/>
      <c r="M66" s="511">
        <f t="shared" si="11"/>
        <v>0</v>
      </c>
      <c r="N66" s="109"/>
      <c r="O66" s="513" t="str">
        <f>IF(I66="","",VLOOKUP(I66,tab!$A$68:$V$108,J66+2,FALSE))</f>
        <v/>
      </c>
      <c r="P66" s="514" t="str">
        <f t="shared" si="12"/>
        <v/>
      </c>
      <c r="Q66" s="1173">
        <f t="shared" si="10"/>
        <v>0.62</v>
      </c>
      <c r="R66" s="641" t="str">
        <f t="shared" si="13"/>
        <v/>
      </c>
      <c r="S66" s="514">
        <f>IF(L66="",0,(((O66*12)*L66)*(1+tab!$D$55)*tab!$F$57))</f>
        <v>0</v>
      </c>
      <c r="T66" s="1131">
        <f t="shared" si="14"/>
        <v>0</v>
      </c>
      <c r="U66" s="219">
        <f t="shared" si="15"/>
        <v>0</v>
      </c>
      <c r="V66" s="1145">
        <f t="shared" si="16"/>
        <v>0</v>
      </c>
      <c r="W66" s="124"/>
      <c r="X66" s="91"/>
      <c r="AA66" s="642" t="b">
        <f>DATE(YEAR(tab!$E$3),MONTH(H66),DAY(H66))&gt;tab!$E$3</f>
        <v>0</v>
      </c>
      <c r="AB66" s="643">
        <f t="shared" si="17"/>
        <v>113</v>
      </c>
      <c r="AC66" s="244">
        <f t="shared" si="18"/>
        <v>30</v>
      </c>
      <c r="AD66" s="244">
        <f t="shared" si="19"/>
        <v>30</v>
      </c>
      <c r="AE66" s="643">
        <f t="shared" si="20"/>
        <v>0</v>
      </c>
    </row>
    <row r="67" spans="2:42" ht="12.75" customHeight="1" x14ac:dyDescent="0.2">
      <c r="B67" s="87"/>
      <c r="C67" s="108"/>
      <c r="D67" s="115"/>
      <c r="E67" s="115"/>
      <c r="F67" s="115"/>
      <c r="G67" s="132"/>
      <c r="H67" s="508"/>
      <c r="I67" s="132"/>
      <c r="J67" s="150"/>
      <c r="K67" s="509"/>
      <c r="L67" s="510"/>
      <c r="M67" s="511">
        <f t="shared" si="11"/>
        <v>0</v>
      </c>
      <c r="N67" s="109"/>
      <c r="O67" s="513" t="str">
        <f>IF(I67="","",VLOOKUP(I67,tab!$A$68:$V$108,J67+2,FALSE))</f>
        <v/>
      </c>
      <c r="P67" s="514" t="str">
        <f t="shared" si="12"/>
        <v/>
      </c>
      <c r="Q67" s="1173">
        <f t="shared" si="10"/>
        <v>0.62</v>
      </c>
      <c r="R67" s="641" t="str">
        <f t="shared" si="13"/>
        <v/>
      </c>
      <c r="S67" s="514">
        <f>IF(L67="",0,(((O67*12)*L67)*(1+tab!$D$55)*tab!$F$57))</f>
        <v>0</v>
      </c>
      <c r="T67" s="1131">
        <f t="shared" si="14"/>
        <v>0</v>
      </c>
      <c r="U67" s="219">
        <f t="shared" si="15"/>
        <v>0</v>
      </c>
      <c r="V67" s="1145">
        <f t="shared" si="16"/>
        <v>0</v>
      </c>
      <c r="W67" s="124"/>
      <c r="X67" s="91"/>
      <c r="AA67" s="642" t="b">
        <f>DATE(YEAR(tab!$E$3),MONTH(H67),DAY(H67))&gt;tab!$E$3</f>
        <v>0</v>
      </c>
      <c r="AB67" s="643">
        <f t="shared" si="17"/>
        <v>113</v>
      </c>
      <c r="AC67" s="244">
        <f t="shared" si="18"/>
        <v>30</v>
      </c>
      <c r="AD67" s="244">
        <f t="shared" si="19"/>
        <v>30</v>
      </c>
      <c r="AE67" s="643">
        <f t="shared" si="20"/>
        <v>0</v>
      </c>
    </row>
    <row r="68" spans="2:42" ht="12.75" customHeight="1" x14ac:dyDescent="0.2">
      <c r="B68" s="87"/>
      <c r="C68" s="108"/>
      <c r="D68" s="115"/>
      <c r="E68" s="115"/>
      <c r="F68" s="115"/>
      <c r="G68" s="132"/>
      <c r="H68" s="508"/>
      <c r="I68" s="132"/>
      <c r="J68" s="150"/>
      <c r="K68" s="509"/>
      <c r="L68" s="510"/>
      <c r="M68" s="511">
        <f t="shared" si="11"/>
        <v>0</v>
      </c>
      <c r="N68" s="109"/>
      <c r="O68" s="513" t="str">
        <f>IF(I68="","",VLOOKUP(I68,tab!$A$68:$V$108,J68+2,FALSE))</f>
        <v/>
      </c>
      <c r="P68" s="514" t="str">
        <f t="shared" si="12"/>
        <v/>
      </c>
      <c r="Q68" s="1173">
        <f t="shared" si="10"/>
        <v>0.62</v>
      </c>
      <c r="R68" s="641" t="str">
        <f t="shared" si="13"/>
        <v/>
      </c>
      <c r="S68" s="514">
        <f>IF(L68="",0,(((O68*12)*L68)*(1+tab!$D$55)*tab!$F$57))</f>
        <v>0</v>
      </c>
      <c r="T68" s="1131">
        <f t="shared" si="14"/>
        <v>0</v>
      </c>
      <c r="U68" s="219">
        <f t="shared" si="15"/>
        <v>0</v>
      </c>
      <c r="V68" s="1145">
        <f t="shared" si="16"/>
        <v>0</v>
      </c>
      <c r="W68" s="124"/>
      <c r="X68" s="91"/>
      <c r="AA68" s="642" t="b">
        <f>DATE(YEAR(tab!$E$3),MONTH(H68),DAY(H68))&gt;tab!$E$3</f>
        <v>0</v>
      </c>
      <c r="AB68" s="643">
        <f t="shared" si="17"/>
        <v>113</v>
      </c>
      <c r="AC68" s="244">
        <f t="shared" si="18"/>
        <v>30</v>
      </c>
      <c r="AD68" s="244">
        <f t="shared" si="19"/>
        <v>30</v>
      </c>
      <c r="AE68" s="643">
        <f t="shared" si="20"/>
        <v>0</v>
      </c>
    </row>
    <row r="69" spans="2:42" ht="12.75" customHeight="1" x14ac:dyDescent="0.2">
      <c r="B69" s="87"/>
      <c r="C69" s="108"/>
      <c r="D69" s="115"/>
      <c r="E69" s="115"/>
      <c r="F69" s="115"/>
      <c r="G69" s="132"/>
      <c r="H69" s="508"/>
      <c r="I69" s="132"/>
      <c r="J69" s="150"/>
      <c r="K69" s="509"/>
      <c r="L69" s="510"/>
      <c r="M69" s="511">
        <f t="shared" si="11"/>
        <v>0</v>
      </c>
      <c r="N69" s="109"/>
      <c r="O69" s="513" t="str">
        <f>IF(I69="","",VLOOKUP(I69,tab!$A$68:$V$108,J69+2,FALSE))</f>
        <v/>
      </c>
      <c r="P69" s="514" t="str">
        <f t="shared" si="12"/>
        <v/>
      </c>
      <c r="Q69" s="1173">
        <f t="shared" si="10"/>
        <v>0.62</v>
      </c>
      <c r="R69" s="641" t="str">
        <f t="shared" si="13"/>
        <v/>
      </c>
      <c r="S69" s="514">
        <f>IF(L69="",0,(((O69*12)*L69)*(1+tab!$D$55)*tab!$F$57))</f>
        <v>0</v>
      </c>
      <c r="T69" s="1131">
        <f t="shared" si="14"/>
        <v>0</v>
      </c>
      <c r="U69" s="219">
        <f t="shared" si="15"/>
        <v>0</v>
      </c>
      <c r="V69" s="1145">
        <f t="shared" si="16"/>
        <v>0</v>
      </c>
      <c r="W69" s="124"/>
      <c r="X69" s="91"/>
      <c r="AA69" s="642" t="b">
        <f>DATE(YEAR(tab!$E$3),MONTH(H69),DAY(H69))&gt;tab!$E$3</f>
        <v>0</v>
      </c>
      <c r="AB69" s="643">
        <f t="shared" si="17"/>
        <v>113</v>
      </c>
      <c r="AC69" s="244">
        <f t="shared" si="18"/>
        <v>30</v>
      </c>
      <c r="AD69" s="244">
        <f t="shared" si="19"/>
        <v>30</v>
      </c>
      <c r="AE69" s="643">
        <f t="shared" si="20"/>
        <v>0</v>
      </c>
    </row>
    <row r="70" spans="2:42" ht="12.75" customHeight="1" x14ac:dyDescent="0.2">
      <c r="B70" s="87"/>
      <c r="C70" s="108"/>
      <c r="D70" s="115"/>
      <c r="E70" s="115"/>
      <c r="F70" s="115"/>
      <c r="G70" s="132"/>
      <c r="H70" s="508"/>
      <c r="I70" s="132"/>
      <c r="J70" s="150"/>
      <c r="K70" s="509"/>
      <c r="L70" s="510"/>
      <c r="M70" s="511">
        <f t="shared" si="11"/>
        <v>0</v>
      </c>
      <c r="N70" s="109"/>
      <c r="O70" s="513" t="str">
        <f>IF(I70="","",VLOOKUP(I70,tab!$A$68:$V$108,J70+2,FALSE))</f>
        <v/>
      </c>
      <c r="P70" s="514" t="str">
        <f t="shared" si="12"/>
        <v/>
      </c>
      <c r="Q70" s="1173">
        <f t="shared" si="10"/>
        <v>0.62</v>
      </c>
      <c r="R70" s="641" t="str">
        <f t="shared" si="13"/>
        <v/>
      </c>
      <c r="S70" s="514">
        <f>IF(L70="",0,(((O70*12)*L70)*(1+tab!$D$55)*tab!$F$57))</f>
        <v>0</v>
      </c>
      <c r="T70" s="1131">
        <f t="shared" si="14"/>
        <v>0</v>
      </c>
      <c r="U70" s="219">
        <f t="shared" si="15"/>
        <v>0</v>
      </c>
      <c r="V70" s="1145">
        <f t="shared" si="16"/>
        <v>0</v>
      </c>
      <c r="W70" s="124"/>
      <c r="X70" s="91"/>
      <c r="AA70" s="642" t="b">
        <f>DATE(YEAR(tab!$E$3),MONTH(H70),DAY(H70))&gt;tab!$E$3</f>
        <v>0</v>
      </c>
      <c r="AB70" s="643">
        <f t="shared" si="17"/>
        <v>113</v>
      </c>
      <c r="AC70" s="244">
        <f t="shared" si="18"/>
        <v>30</v>
      </c>
      <c r="AD70" s="244">
        <f t="shared" si="19"/>
        <v>30</v>
      </c>
      <c r="AE70" s="643">
        <f t="shared" si="20"/>
        <v>0</v>
      </c>
    </row>
    <row r="71" spans="2:42" ht="12.75" customHeight="1" x14ac:dyDescent="0.2">
      <c r="B71" s="87"/>
      <c r="C71" s="116"/>
      <c r="D71" s="296"/>
      <c r="E71" s="645"/>
      <c r="F71" s="296"/>
      <c r="G71" s="645"/>
      <c r="H71" s="646"/>
      <c r="I71" s="645"/>
      <c r="J71" s="647"/>
      <c r="K71" s="648">
        <f>SUM(K16:K70)</f>
        <v>1</v>
      </c>
      <c r="L71" s="648">
        <f>SUM(L16:L70)</f>
        <v>0.125</v>
      </c>
      <c r="M71" s="648">
        <f>SUM(M16:M70)</f>
        <v>0.875</v>
      </c>
      <c r="N71" s="296"/>
      <c r="O71" s="649">
        <f t="shared" ref="O71:V71" si="21">SUM(O16:O70)</f>
        <v>3274</v>
      </c>
      <c r="P71" s="649">
        <f t="shared" si="21"/>
        <v>34377</v>
      </c>
      <c r="Q71" s="650"/>
      <c r="R71" s="649">
        <f t="shared" si="21"/>
        <v>21313.74</v>
      </c>
      <c r="S71" s="649">
        <f t="shared" si="21"/>
        <v>6236.97</v>
      </c>
      <c r="T71" s="649">
        <f t="shared" si="21"/>
        <v>61927.710000000006</v>
      </c>
      <c r="U71" s="651">
        <f t="shared" si="21"/>
        <v>0</v>
      </c>
      <c r="V71" s="1154">
        <f t="shared" si="21"/>
        <v>0</v>
      </c>
      <c r="W71" s="124"/>
      <c r="X71" s="91"/>
      <c r="AA71" s="652"/>
      <c r="AB71" s="652"/>
    </row>
    <row r="72" spans="2:42" ht="12.75" customHeight="1" x14ac:dyDescent="0.2">
      <c r="B72" s="87"/>
      <c r="I72" s="202"/>
      <c r="M72" s="366"/>
      <c r="N72" s="363"/>
      <c r="O72" s="365"/>
      <c r="P72" s="573"/>
      <c r="Q72" s="653"/>
      <c r="R72" s="654"/>
      <c r="S72" s="573"/>
      <c r="U72" s="655"/>
      <c r="V72" s="1152"/>
      <c r="X72" s="91"/>
    </row>
    <row r="73" spans="2:42" ht="12.75" customHeight="1" x14ac:dyDescent="0.2">
      <c r="B73" s="199"/>
      <c r="C73" s="200"/>
      <c r="D73" s="554"/>
      <c r="E73" s="554"/>
      <c r="F73" s="554"/>
      <c r="G73" s="555"/>
      <c r="H73" s="556"/>
      <c r="I73" s="555"/>
      <c r="J73" s="557"/>
      <c r="K73" s="558"/>
      <c r="L73" s="559"/>
      <c r="M73" s="559"/>
      <c r="N73" s="200"/>
      <c r="O73" s="560"/>
      <c r="P73" s="561"/>
      <c r="Q73" s="656"/>
      <c r="R73" s="657"/>
      <c r="S73" s="561"/>
      <c r="T73" s="1132"/>
      <c r="U73" s="562"/>
      <c r="V73" s="1149"/>
      <c r="W73" s="200"/>
      <c r="X73" s="201"/>
      <c r="AA73" s="642"/>
      <c r="AE73" s="643"/>
    </row>
    <row r="74" spans="2:42" ht="12.75" customHeight="1" x14ac:dyDescent="0.2">
      <c r="B74" s="81"/>
      <c r="C74" s="82"/>
      <c r="D74" s="374"/>
      <c r="E74" s="374"/>
      <c r="F74" s="374"/>
      <c r="G74" s="203"/>
      <c r="H74" s="375"/>
      <c r="I74" s="203"/>
      <c r="J74" s="376"/>
      <c r="K74" s="658"/>
      <c r="L74" s="377"/>
      <c r="M74" s="377"/>
      <c r="N74" s="82"/>
      <c r="O74" s="659"/>
      <c r="P74" s="660"/>
      <c r="Q74" s="661"/>
      <c r="R74" s="662"/>
      <c r="S74" s="660"/>
      <c r="T74" s="1139"/>
      <c r="U74" s="381"/>
      <c r="V74" s="1155"/>
      <c r="W74" s="82"/>
      <c r="X74" s="85"/>
      <c r="AA74" s="642"/>
      <c r="AE74" s="643"/>
    </row>
    <row r="75" spans="2:42" ht="12.75" customHeight="1" x14ac:dyDescent="0.2">
      <c r="B75" s="87"/>
      <c r="C75" s="88"/>
      <c r="D75" s="303"/>
      <c r="E75" s="303"/>
      <c r="F75" s="303"/>
      <c r="G75" s="204"/>
      <c r="H75" s="384"/>
      <c r="I75" s="204"/>
      <c r="J75" s="385"/>
      <c r="K75" s="664"/>
      <c r="L75" s="386"/>
      <c r="M75" s="386"/>
      <c r="N75" s="88"/>
      <c r="O75" s="665"/>
      <c r="P75" s="666"/>
      <c r="Q75" s="667"/>
      <c r="R75" s="668"/>
      <c r="S75" s="666"/>
      <c r="T75" s="1136"/>
      <c r="U75" s="390"/>
      <c r="V75" s="310"/>
      <c r="W75" s="88"/>
      <c r="X75" s="91"/>
      <c r="AA75" s="642"/>
      <c r="AE75" s="643"/>
    </row>
    <row r="76" spans="2:42" ht="12.75" customHeight="1" x14ac:dyDescent="0.2">
      <c r="B76" s="87"/>
      <c r="C76" s="88" t="s">
        <v>290</v>
      </c>
      <c r="D76" s="303"/>
      <c r="E76" s="455" t="str">
        <f>dir!E30</f>
        <v>2014/15</v>
      </c>
      <c r="F76" s="303"/>
      <c r="G76" s="204"/>
      <c r="H76" s="384"/>
      <c r="I76" s="204"/>
      <c r="J76" s="385"/>
      <c r="K76" s="664"/>
      <c r="L76" s="386"/>
      <c r="M76" s="386"/>
      <c r="N76" s="88"/>
      <c r="O76" s="665"/>
      <c r="P76" s="666"/>
      <c r="Q76" s="667"/>
      <c r="R76" s="668"/>
      <c r="S76" s="666"/>
      <c r="T76" s="1136"/>
      <c r="U76" s="390"/>
      <c r="V76" s="310"/>
      <c r="W76" s="88"/>
      <c r="X76" s="91"/>
      <c r="AA76" s="642"/>
      <c r="AE76" s="643"/>
    </row>
    <row r="77" spans="2:42" ht="12.75" customHeight="1" x14ac:dyDescent="0.2">
      <c r="B77" s="87"/>
      <c r="C77" s="88" t="s">
        <v>314</v>
      </c>
      <c r="D77" s="303"/>
      <c r="E77" s="455">
        <f>dir!E31</f>
        <v>41913</v>
      </c>
      <c r="F77" s="303"/>
      <c r="G77" s="204"/>
      <c r="H77" s="384"/>
      <c r="I77" s="204"/>
      <c r="J77" s="385"/>
      <c r="K77" s="664"/>
      <c r="L77" s="386"/>
      <c r="M77" s="386"/>
      <c r="N77" s="88"/>
      <c r="O77" s="665"/>
      <c r="P77" s="666"/>
      <c r="Q77" s="667"/>
      <c r="R77" s="668"/>
      <c r="S77" s="666"/>
      <c r="T77" s="1136"/>
      <c r="U77" s="390"/>
      <c r="V77" s="310"/>
      <c r="W77" s="88"/>
      <c r="X77" s="91"/>
      <c r="AA77" s="642"/>
      <c r="AE77" s="643"/>
    </row>
    <row r="78" spans="2:42" ht="12.75" customHeight="1" x14ac:dyDescent="0.2">
      <c r="B78" s="87"/>
      <c r="C78" s="88"/>
      <c r="D78" s="303"/>
      <c r="E78" s="303"/>
      <c r="F78" s="303"/>
      <c r="G78" s="204"/>
      <c r="H78" s="384"/>
      <c r="I78" s="204"/>
      <c r="J78" s="385"/>
      <c r="K78" s="664"/>
      <c r="L78" s="386"/>
      <c r="M78" s="386"/>
      <c r="N78" s="88"/>
      <c r="O78" s="665"/>
      <c r="P78" s="666"/>
      <c r="Q78" s="667"/>
      <c r="R78" s="668"/>
      <c r="S78" s="666"/>
      <c r="T78" s="1136"/>
      <c r="U78" s="390"/>
      <c r="V78" s="310"/>
      <c r="W78" s="88"/>
      <c r="X78" s="91"/>
      <c r="AA78" s="642"/>
      <c r="AE78" s="643"/>
    </row>
    <row r="79" spans="2:42" ht="12.75" customHeight="1" x14ac:dyDescent="0.2">
      <c r="B79" s="87"/>
      <c r="C79" s="621"/>
      <c r="D79" s="622"/>
      <c r="E79" s="623"/>
      <c r="F79" s="622"/>
      <c r="G79" s="624"/>
      <c r="H79" s="625"/>
      <c r="I79" s="626"/>
      <c r="J79" s="626"/>
      <c r="K79" s="627"/>
      <c r="L79" s="626"/>
      <c r="M79" s="628"/>
      <c r="N79" s="629"/>
      <c r="O79" s="630"/>
      <c r="P79" s="629"/>
      <c r="Q79" s="624"/>
      <c r="R79" s="631"/>
      <c r="S79" s="629"/>
      <c r="T79" s="1138"/>
      <c r="U79" s="632"/>
      <c r="V79" s="1153"/>
      <c r="W79" s="124"/>
      <c r="X79" s="91"/>
      <c r="AF79" s="433"/>
      <c r="AG79" s="433"/>
      <c r="AH79" s="433"/>
      <c r="AI79" s="433"/>
      <c r="AJ79" s="366"/>
      <c r="AK79" s="365"/>
      <c r="AL79" s="367"/>
      <c r="AM79" s="434"/>
      <c r="AN79" s="366"/>
    </row>
    <row r="80" spans="2:42" s="124" customFormat="1" ht="12.75" customHeight="1" x14ac:dyDescent="0.2">
      <c r="B80" s="120"/>
      <c r="C80" s="214"/>
      <c r="D80" s="157" t="s">
        <v>457</v>
      </c>
      <c r="E80" s="633"/>
      <c r="F80" s="633"/>
      <c r="G80" s="633"/>
      <c r="H80" s="633"/>
      <c r="I80" s="634"/>
      <c r="J80" s="634"/>
      <c r="K80" s="634"/>
      <c r="L80" s="634"/>
      <c r="M80" s="634"/>
      <c r="N80" s="472"/>
      <c r="O80" s="1277" t="s">
        <v>298</v>
      </c>
      <c r="P80" s="1279"/>
      <c r="Q80" s="1279"/>
      <c r="R80" s="1279"/>
      <c r="S80" s="1279"/>
      <c r="T80" s="1279"/>
      <c r="U80" s="473"/>
      <c r="V80" s="216"/>
      <c r="W80" s="635"/>
      <c r="X80" s="475"/>
      <c r="Y80" s="476"/>
      <c r="Z80" s="476"/>
      <c r="AA80" s="357"/>
      <c r="AB80" s="357"/>
      <c r="AC80" s="357"/>
      <c r="AD80" s="357"/>
      <c r="AE80" s="357"/>
      <c r="AO80" s="476"/>
      <c r="AP80" s="476"/>
    </row>
    <row r="81" spans="2:42" s="124" customFormat="1" ht="12.75" customHeight="1" x14ac:dyDescent="0.2">
      <c r="B81" s="120"/>
      <c r="C81" s="214"/>
      <c r="D81" s="165" t="s">
        <v>152</v>
      </c>
      <c r="E81" s="165" t="s">
        <v>296</v>
      </c>
      <c r="F81" s="165" t="s">
        <v>275</v>
      </c>
      <c r="G81" s="480" t="s">
        <v>235</v>
      </c>
      <c r="H81" s="481" t="s">
        <v>439</v>
      </c>
      <c r="I81" s="480" t="s">
        <v>333</v>
      </c>
      <c r="J81" s="480" t="s">
        <v>368</v>
      </c>
      <c r="K81" s="482" t="s">
        <v>238</v>
      </c>
      <c r="L81" s="483" t="s">
        <v>334</v>
      </c>
      <c r="M81" s="482" t="s">
        <v>238</v>
      </c>
      <c r="N81" s="259"/>
      <c r="O81" s="584" t="s">
        <v>502</v>
      </c>
      <c r="P81" s="484" t="s">
        <v>637</v>
      </c>
      <c r="Q81" s="584" t="s">
        <v>0</v>
      </c>
      <c r="R81" s="485"/>
      <c r="S81" s="487" t="s">
        <v>334</v>
      </c>
      <c r="T81" s="1130" t="s">
        <v>313</v>
      </c>
      <c r="U81" s="486" t="s">
        <v>467</v>
      </c>
      <c r="V81" s="216" t="s">
        <v>668</v>
      </c>
      <c r="W81" s="636"/>
      <c r="X81" s="489"/>
      <c r="Y81" s="490"/>
      <c r="Z81" s="490"/>
      <c r="AA81" s="350" t="s">
        <v>444</v>
      </c>
      <c r="AB81" s="350" t="s">
        <v>445</v>
      </c>
      <c r="AC81" s="350" t="s">
        <v>237</v>
      </c>
      <c r="AD81" s="350" t="s">
        <v>326</v>
      </c>
      <c r="AE81" s="637" t="s">
        <v>300</v>
      </c>
      <c r="AO81" s="476"/>
      <c r="AP81" s="490"/>
    </row>
    <row r="82" spans="2:42" s="124" customFormat="1" ht="12.75" customHeight="1" x14ac:dyDescent="0.2">
      <c r="B82" s="120"/>
      <c r="C82" s="214"/>
      <c r="D82" s="633"/>
      <c r="E82" s="165"/>
      <c r="F82" s="494"/>
      <c r="G82" s="480" t="s">
        <v>236</v>
      </c>
      <c r="H82" s="481" t="s">
        <v>440</v>
      </c>
      <c r="I82" s="480"/>
      <c r="J82" s="480"/>
      <c r="K82" s="482" t="s">
        <v>443</v>
      </c>
      <c r="L82" s="483"/>
      <c r="M82" s="482" t="s">
        <v>337</v>
      </c>
      <c r="N82" s="259"/>
      <c r="O82" s="584" t="s">
        <v>321</v>
      </c>
      <c r="P82" s="484" t="s">
        <v>636</v>
      </c>
      <c r="Q82" s="1176">
        <f>tab!$E$55</f>
        <v>0.62</v>
      </c>
      <c r="R82" s="485" t="s">
        <v>1</v>
      </c>
      <c r="S82" s="487" t="s">
        <v>367</v>
      </c>
      <c r="T82" s="1130" t="s">
        <v>434</v>
      </c>
      <c r="U82" s="486"/>
      <c r="V82" s="487" t="s">
        <v>367</v>
      </c>
      <c r="X82" s="96"/>
      <c r="AA82" s="637" t="s">
        <v>441</v>
      </c>
      <c r="AB82" s="637" t="s">
        <v>441</v>
      </c>
      <c r="AC82" s="350"/>
      <c r="AD82" s="350" t="s">
        <v>300</v>
      </c>
      <c r="AE82" s="637"/>
      <c r="AP82" s="638"/>
    </row>
    <row r="83" spans="2:42" ht="12.75" customHeight="1" x14ac:dyDescent="0.2">
      <c r="B83" s="87"/>
      <c r="C83" s="108"/>
      <c r="D83" s="109"/>
      <c r="E83" s="109"/>
      <c r="F83" s="109"/>
      <c r="G83" s="113"/>
      <c r="H83" s="499"/>
      <c r="I83" s="500"/>
      <c r="J83" s="500"/>
      <c r="K83" s="501"/>
      <c r="L83" s="498"/>
      <c r="M83" s="501"/>
      <c r="N83" s="109"/>
      <c r="O83" s="502"/>
      <c r="P83" s="503"/>
      <c r="Q83" s="503"/>
      <c r="R83" s="639"/>
      <c r="S83" s="503"/>
      <c r="T83" s="694"/>
      <c r="U83" s="138"/>
      <c r="V83" s="504"/>
      <c r="W83" s="124"/>
      <c r="X83" s="91"/>
      <c r="AE83" s="637"/>
      <c r="AM83" s="86"/>
      <c r="AN83" s="86"/>
      <c r="AP83" s="506"/>
    </row>
    <row r="84" spans="2:42" ht="12.75" customHeight="1" x14ac:dyDescent="0.2">
      <c r="B84" s="87"/>
      <c r="C84" s="108"/>
      <c r="D84" s="115" t="str">
        <f>IF(op!D16="","",op!D16)</f>
        <v/>
      </c>
      <c r="E84" s="115" t="str">
        <f>IF(op!E16=0,"",op!E16)</f>
        <v>nn</v>
      </c>
      <c r="F84" s="115" t="str">
        <f>IF(op!F16=0,"",op!F16)</f>
        <v/>
      </c>
      <c r="G84" s="132" t="str">
        <f>IF(op!G16="","",op!G16+1)</f>
        <v/>
      </c>
      <c r="H84" s="508">
        <f>IF(op!H16="","",op!H16)</f>
        <v>25934</v>
      </c>
      <c r="I84" s="132" t="str">
        <f>IF(op!I16=0,"",op!I16)</f>
        <v>LA</v>
      </c>
      <c r="J84" s="150">
        <f>IF(E84="","",(IF(op!J16+1&gt;LOOKUP(I84,schaal2011,regels2011),op!J16,op!J16+1)))</f>
        <v>15</v>
      </c>
      <c r="K84" s="509">
        <f>IF(op!K16="","",op!K16)</f>
        <v>1</v>
      </c>
      <c r="L84" s="510">
        <f>IF(op!L16="","",op!L16)</f>
        <v>0.125</v>
      </c>
      <c r="M84" s="511">
        <f t="shared" ref="M84:M115" si="22">(IF(L84="",(K84),(K84)-L84))</f>
        <v>0.875</v>
      </c>
      <c r="N84" s="109"/>
      <c r="O84" s="513">
        <f>IF(I84="","",VLOOKUP(I84,tab!$A$68:$V$108,J84+2,FALSE))</f>
        <v>3274</v>
      </c>
      <c r="P84" s="514">
        <f t="shared" ref="P84:P115" si="23">IF(E84="","",(O84*M84*12))</f>
        <v>34377</v>
      </c>
      <c r="Q84" s="1173">
        <f>$Q$82</f>
        <v>0.62</v>
      </c>
      <c r="R84" s="514">
        <f t="shared" ref="R84:R115" si="24">IF(E84="","",(P84)*Q84)</f>
        <v>21313.74</v>
      </c>
      <c r="S84" s="514">
        <f>IF(L84="",0,(((O84*12)*L84)*(1+tab!$D$55)*tab!$F$57))</f>
        <v>6236.97</v>
      </c>
      <c r="T84" s="1131">
        <f t="shared" ref="T84:T115" si="25">IF(E84="",0,(P84+R84+S84))</f>
        <v>61927.710000000006</v>
      </c>
      <c r="U84" s="219">
        <f t="shared" ref="U84:U138" si="26">IF(G84&lt;25,0,IF(G84=25,25,IF(G84&lt;40,0,IF(G84=40,40,IF(G84&gt;=40,0)))))</f>
        <v>0</v>
      </c>
      <c r="V84" s="1145">
        <f t="shared" ref="V84:V115" si="27">IF(U84=25,(O84*1.08*(K84)/2),IF(U84=40,(O84*1.08*(K84)),IF(U84=0,0)))</f>
        <v>0</v>
      </c>
      <c r="W84" s="469"/>
      <c r="X84" s="91"/>
      <c r="AA84" s="642" t="b">
        <f>DATE(YEAR(tab!$F$3),MONTH(H84),DAY(H84))&gt;tab!$F$3</f>
        <v>0</v>
      </c>
      <c r="AB84" s="643">
        <f t="shared" ref="AB84:AB115" si="28">YEAR($E$77)-YEAR(H84)-AA84</f>
        <v>43</v>
      </c>
      <c r="AC84" s="244">
        <f t="shared" ref="AC84:AC115" si="29">IF((H84=""),30,AB84)</f>
        <v>43</v>
      </c>
      <c r="AD84" s="244">
        <f t="shared" ref="AD84:AD138" si="30">IF((AC84)&gt;50,50,(AC84))</f>
        <v>43</v>
      </c>
      <c r="AE84" s="643">
        <f t="shared" ref="AE84:AE115" si="31">ROUND((AD84*(SUM(K84:K84))),2)</f>
        <v>43</v>
      </c>
      <c r="AK84" s="552"/>
    </row>
    <row r="85" spans="2:42" ht="12.75" customHeight="1" x14ac:dyDescent="0.2">
      <c r="B85" s="87"/>
      <c r="C85" s="108"/>
      <c r="D85" s="115" t="str">
        <f>IF(op!D17="","",op!D17)</f>
        <v/>
      </c>
      <c r="E85" s="115" t="str">
        <f>IF(op!E17=0,"",op!E17)</f>
        <v/>
      </c>
      <c r="F85" s="115" t="str">
        <f>IF(op!F17=0,"",op!F17)</f>
        <v/>
      </c>
      <c r="G85" s="132" t="str">
        <f>IF(op!G17="","",op!G17+1)</f>
        <v/>
      </c>
      <c r="H85" s="508" t="str">
        <f>IF(op!H17="","",op!H17)</f>
        <v/>
      </c>
      <c r="I85" s="132" t="str">
        <f>IF(op!I17=0,"",op!I17)</f>
        <v/>
      </c>
      <c r="J85" s="150" t="str">
        <f>IF(E85="","",(IF(op!J17+1&gt;LOOKUP(I85,schaal2011,regels2011),op!J17,op!J17+1)))</f>
        <v/>
      </c>
      <c r="K85" s="509" t="str">
        <f>IF(op!K17="","",op!K17)</f>
        <v/>
      </c>
      <c r="L85" s="510" t="str">
        <f>IF(op!L17="","",op!L17)</f>
        <v/>
      </c>
      <c r="M85" s="511" t="str">
        <f t="shared" si="22"/>
        <v/>
      </c>
      <c r="N85" s="109"/>
      <c r="O85" s="513" t="str">
        <f>IF(I85="","",VLOOKUP(I85,tab!$A$68:$V$108,J85+2,FALSE))</f>
        <v/>
      </c>
      <c r="P85" s="514" t="str">
        <f t="shared" si="23"/>
        <v/>
      </c>
      <c r="Q85" s="1173">
        <f t="shared" ref="Q85:Q138" si="32">$Q$82</f>
        <v>0.62</v>
      </c>
      <c r="R85" s="514" t="str">
        <f t="shared" si="24"/>
        <v/>
      </c>
      <c r="S85" s="514">
        <f>IF(L85="",0,(((O85*12)*L85)*(1+tab!$D$55)*tab!$F$57))</f>
        <v>0</v>
      </c>
      <c r="T85" s="1131">
        <f t="shared" si="25"/>
        <v>0</v>
      </c>
      <c r="U85" s="219">
        <f t="shared" si="26"/>
        <v>0</v>
      </c>
      <c r="V85" s="1145">
        <f t="shared" si="27"/>
        <v>0</v>
      </c>
      <c r="W85" s="469"/>
      <c r="X85" s="91"/>
      <c r="AA85" s="642" t="e">
        <f>DATE(YEAR(tab!$F$3),MONTH(H85),DAY(H85))&gt;tab!$F$3</f>
        <v>#VALUE!</v>
      </c>
      <c r="AB85" s="643" t="e">
        <f t="shared" si="28"/>
        <v>#VALUE!</v>
      </c>
      <c r="AC85" s="244">
        <f t="shared" si="29"/>
        <v>30</v>
      </c>
      <c r="AD85" s="244">
        <f t="shared" si="30"/>
        <v>30</v>
      </c>
      <c r="AE85" s="643">
        <f t="shared" si="31"/>
        <v>0</v>
      </c>
      <c r="AK85" s="552"/>
    </row>
    <row r="86" spans="2:42" ht="12.75" customHeight="1" x14ac:dyDescent="0.2">
      <c r="B86" s="87"/>
      <c r="C86" s="108"/>
      <c r="D86" s="115" t="str">
        <f>IF(op!D18="","",op!D18)</f>
        <v/>
      </c>
      <c r="E86" s="115" t="str">
        <f>IF(op!E18=0,"",op!E18)</f>
        <v/>
      </c>
      <c r="F86" s="115" t="str">
        <f>IF(op!F18=0,"",op!F18)</f>
        <v/>
      </c>
      <c r="G86" s="132" t="str">
        <f>IF(op!G18="","",op!G18+1)</f>
        <v/>
      </c>
      <c r="H86" s="508" t="str">
        <f>IF(op!H18="","",op!H18)</f>
        <v/>
      </c>
      <c r="I86" s="132" t="str">
        <f>IF(op!I18=0,"",op!I18)</f>
        <v/>
      </c>
      <c r="J86" s="150" t="str">
        <f>IF(E86="","",(IF(op!J18+1&gt;LOOKUP(I86,schaal2011,regels2011),op!J18,op!J18+1)))</f>
        <v/>
      </c>
      <c r="K86" s="509" t="str">
        <f>IF(op!K18="","",op!K18)</f>
        <v/>
      </c>
      <c r="L86" s="510" t="str">
        <f>IF(op!L18="","",op!L18)</f>
        <v/>
      </c>
      <c r="M86" s="511" t="str">
        <f t="shared" si="22"/>
        <v/>
      </c>
      <c r="N86" s="109"/>
      <c r="O86" s="513" t="str">
        <f>IF(I86="","",VLOOKUP(I86,tab!$A$68:$V$108,J86+2,FALSE))</f>
        <v/>
      </c>
      <c r="P86" s="514" t="str">
        <f t="shared" si="23"/>
        <v/>
      </c>
      <c r="Q86" s="1173">
        <f t="shared" si="32"/>
        <v>0.62</v>
      </c>
      <c r="R86" s="514" t="str">
        <f t="shared" si="24"/>
        <v/>
      </c>
      <c r="S86" s="514">
        <f>IF(L86="",0,(((O86*12)*L86)*(1+tab!$D$55)*tab!$F$57))</f>
        <v>0</v>
      </c>
      <c r="T86" s="1131">
        <f t="shared" si="25"/>
        <v>0</v>
      </c>
      <c r="U86" s="219">
        <f t="shared" si="26"/>
        <v>0</v>
      </c>
      <c r="V86" s="1145">
        <f t="shared" si="27"/>
        <v>0</v>
      </c>
      <c r="W86" s="644"/>
      <c r="X86" s="91"/>
      <c r="AA86" s="642" t="e">
        <f>DATE(YEAR(tab!$F$3),MONTH(H86),DAY(H86))&gt;tab!$F$3</f>
        <v>#VALUE!</v>
      </c>
      <c r="AB86" s="643" t="e">
        <f t="shared" si="28"/>
        <v>#VALUE!</v>
      </c>
      <c r="AC86" s="244">
        <f t="shared" si="29"/>
        <v>30</v>
      </c>
      <c r="AD86" s="244">
        <f t="shared" si="30"/>
        <v>30</v>
      </c>
      <c r="AE86" s="643">
        <f t="shared" si="31"/>
        <v>0</v>
      </c>
      <c r="AK86" s="552"/>
    </row>
    <row r="87" spans="2:42" ht="12.75" customHeight="1" x14ac:dyDescent="0.2">
      <c r="B87" s="87"/>
      <c r="C87" s="108"/>
      <c r="D87" s="115" t="str">
        <f>IF(op!D19="","",op!D19)</f>
        <v/>
      </c>
      <c r="E87" s="115" t="str">
        <f>IF(op!E19=0,"",op!E19)</f>
        <v/>
      </c>
      <c r="F87" s="115" t="str">
        <f>IF(op!F19=0,"",op!F19)</f>
        <v/>
      </c>
      <c r="G87" s="132" t="str">
        <f>IF(op!G19="","",op!G19+1)</f>
        <v/>
      </c>
      <c r="H87" s="508" t="str">
        <f>IF(op!H19="","",op!H19)</f>
        <v/>
      </c>
      <c r="I87" s="132" t="str">
        <f>IF(op!I19=0,"",op!I19)</f>
        <v/>
      </c>
      <c r="J87" s="150" t="str">
        <f>IF(E87="","",(IF(op!J19+1&gt;LOOKUP(I87,schaal2011,regels2011),op!J19,op!J19+1)))</f>
        <v/>
      </c>
      <c r="K87" s="509" t="str">
        <f>IF(op!K19="","",op!K19)</f>
        <v/>
      </c>
      <c r="L87" s="510" t="str">
        <f>IF(op!L19="","",op!L19)</f>
        <v/>
      </c>
      <c r="M87" s="511" t="str">
        <f t="shared" si="22"/>
        <v/>
      </c>
      <c r="N87" s="109"/>
      <c r="O87" s="513" t="str">
        <f>IF(I87="","",VLOOKUP(I87,tab!$A$68:$V$108,J87+2,FALSE))</f>
        <v/>
      </c>
      <c r="P87" s="514" t="str">
        <f t="shared" si="23"/>
        <v/>
      </c>
      <c r="Q87" s="1173">
        <f t="shared" si="32"/>
        <v>0.62</v>
      </c>
      <c r="R87" s="514" t="str">
        <f t="shared" si="24"/>
        <v/>
      </c>
      <c r="S87" s="514">
        <f>IF(L87="",0,(((O87*12)*L87)*(1+tab!$D$55)*tab!$F$57))</f>
        <v>0</v>
      </c>
      <c r="T87" s="1131">
        <f t="shared" si="25"/>
        <v>0</v>
      </c>
      <c r="U87" s="219">
        <f t="shared" si="26"/>
        <v>0</v>
      </c>
      <c r="V87" s="1145">
        <f t="shared" si="27"/>
        <v>0</v>
      </c>
      <c r="W87" s="644"/>
      <c r="X87" s="91"/>
      <c r="AA87" s="642" t="e">
        <f>DATE(YEAR(tab!$F$3),MONTH(H87),DAY(H87))&gt;tab!$F$3</f>
        <v>#VALUE!</v>
      </c>
      <c r="AB87" s="643" t="e">
        <f t="shared" si="28"/>
        <v>#VALUE!</v>
      </c>
      <c r="AC87" s="244">
        <f t="shared" si="29"/>
        <v>30</v>
      </c>
      <c r="AD87" s="244">
        <f t="shared" si="30"/>
        <v>30</v>
      </c>
      <c r="AE87" s="643">
        <f t="shared" si="31"/>
        <v>0</v>
      </c>
      <c r="AK87" s="552"/>
    </row>
    <row r="88" spans="2:42" ht="12.75" customHeight="1" x14ac:dyDescent="0.2">
      <c r="B88" s="87"/>
      <c r="C88" s="108"/>
      <c r="D88" s="115" t="str">
        <f>IF(op!D20="","",op!D20)</f>
        <v/>
      </c>
      <c r="E88" s="115" t="str">
        <f>IF(op!E20=0,"",op!E20)</f>
        <v/>
      </c>
      <c r="F88" s="115" t="str">
        <f>IF(op!F20=0,"",op!F20)</f>
        <v/>
      </c>
      <c r="G88" s="132" t="str">
        <f>IF(op!G20="","",op!G20+1)</f>
        <v/>
      </c>
      <c r="H88" s="508" t="str">
        <f>IF(op!H20="","",op!H20)</f>
        <v/>
      </c>
      <c r="I88" s="132" t="str">
        <f>IF(op!I20=0,"",op!I20)</f>
        <v/>
      </c>
      <c r="J88" s="150" t="str">
        <f>IF(E88="","",(IF(op!J20+1&gt;LOOKUP(I88,schaal2011,regels2011),op!J20,op!J20+1)))</f>
        <v/>
      </c>
      <c r="K88" s="509" t="str">
        <f>IF(op!K20="","",op!K20)</f>
        <v/>
      </c>
      <c r="L88" s="510" t="str">
        <f>IF(op!L20="","",op!L20)</f>
        <v/>
      </c>
      <c r="M88" s="511" t="str">
        <f t="shared" si="22"/>
        <v/>
      </c>
      <c r="N88" s="109"/>
      <c r="O88" s="513" t="str">
        <f>IF(I88="","",VLOOKUP(I88,tab!$A$68:$V$108,J88+2,FALSE))</f>
        <v/>
      </c>
      <c r="P88" s="514" t="str">
        <f t="shared" si="23"/>
        <v/>
      </c>
      <c r="Q88" s="1173">
        <f t="shared" si="32"/>
        <v>0.62</v>
      </c>
      <c r="R88" s="514" t="str">
        <f t="shared" si="24"/>
        <v/>
      </c>
      <c r="S88" s="514">
        <f>IF(L88="",0,(((O88*12)*L88)*(1+tab!$D$55)*tab!$F$57))</f>
        <v>0</v>
      </c>
      <c r="T88" s="1131">
        <f t="shared" si="25"/>
        <v>0</v>
      </c>
      <c r="U88" s="219">
        <f t="shared" si="26"/>
        <v>0</v>
      </c>
      <c r="V88" s="1145">
        <f t="shared" si="27"/>
        <v>0</v>
      </c>
      <c r="W88" s="469"/>
      <c r="X88" s="91"/>
      <c r="AA88" s="642" t="e">
        <f>DATE(YEAR(tab!$F$3),MONTH(H88),DAY(H88))&gt;tab!$F$3</f>
        <v>#VALUE!</v>
      </c>
      <c r="AB88" s="643" t="e">
        <f t="shared" si="28"/>
        <v>#VALUE!</v>
      </c>
      <c r="AC88" s="244">
        <f t="shared" si="29"/>
        <v>30</v>
      </c>
      <c r="AD88" s="244">
        <f t="shared" si="30"/>
        <v>30</v>
      </c>
      <c r="AE88" s="643">
        <f t="shared" si="31"/>
        <v>0</v>
      </c>
      <c r="AK88" s="552"/>
    </row>
    <row r="89" spans="2:42" ht="12.75" customHeight="1" x14ac:dyDescent="0.2">
      <c r="B89" s="87"/>
      <c r="C89" s="108"/>
      <c r="D89" s="115" t="str">
        <f>IF(op!D21="","",op!D21)</f>
        <v/>
      </c>
      <c r="E89" s="115" t="str">
        <f>IF(op!E21=0,"",op!E21)</f>
        <v/>
      </c>
      <c r="F89" s="115" t="str">
        <f>IF(op!F21=0,"",op!F21)</f>
        <v/>
      </c>
      <c r="G89" s="132" t="str">
        <f>IF(op!G21="","",op!G21+1)</f>
        <v/>
      </c>
      <c r="H89" s="508" t="str">
        <f>IF(op!H21="","",op!H21)</f>
        <v/>
      </c>
      <c r="I89" s="132" t="str">
        <f>IF(op!I21=0,"",op!I21)</f>
        <v/>
      </c>
      <c r="J89" s="150" t="str">
        <f>IF(E89="","",(IF(op!J21+1&gt;LOOKUP(I89,schaal2011,regels2011),op!J21,op!J21+1)))</f>
        <v/>
      </c>
      <c r="K89" s="509" t="str">
        <f>IF(op!K21="","",op!K21)</f>
        <v/>
      </c>
      <c r="L89" s="510" t="str">
        <f>IF(op!L21="","",op!L21)</f>
        <v/>
      </c>
      <c r="M89" s="511" t="str">
        <f t="shared" si="22"/>
        <v/>
      </c>
      <c r="N89" s="109"/>
      <c r="O89" s="513" t="str">
        <f>IF(I89="","",VLOOKUP(I89,tab!$A$68:$V$108,J89+2,FALSE))</f>
        <v/>
      </c>
      <c r="P89" s="514" t="str">
        <f t="shared" si="23"/>
        <v/>
      </c>
      <c r="Q89" s="1173">
        <f t="shared" si="32"/>
        <v>0.62</v>
      </c>
      <c r="R89" s="514" t="str">
        <f t="shared" si="24"/>
        <v/>
      </c>
      <c r="S89" s="514">
        <f>IF(L89="",0,(((O89*12)*L89)*(1+tab!$D$55)*tab!$F$57))</f>
        <v>0</v>
      </c>
      <c r="T89" s="1131">
        <f t="shared" si="25"/>
        <v>0</v>
      </c>
      <c r="U89" s="219">
        <f t="shared" si="26"/>
        <v>0</v>
      </c>
      <c r="V89" s="1145">
        <f t="shared" si="27"/>
        <v>0</v>
      </c>
      <c r="W89" s="469"/>
      <c r="X89" s="91"/>
      <c r="AA89" s="642" t="e">
        <f>DATE(YEAR(tab!$F$3),MONTH(H89),DAY(H89))&gt;tab!$F$3</f>
        <v>#VALUE!</v>
      </c>
      <c r="AB89" s="643" t="e">
        <f t="shared" si="28"/>
        <v>#VALUE!</v>
      </c>
      <c r="AC89" s="244">
        <f t="shared" si="29"/>
        <v>30</v>
      </c>
      <c r="AD89" s="244">
        <f t="shared" si="30"/>
        <v>30</v>
      </c>
      <c r="AE89" s="643">
        <f t="shared" si="31"/>
        <v>0</v>
      </c>
      <c r="AK89" s="552"/>
    </row>
    <row r="90" spans="2:42" ht="12.75" customHeight="1" x14ac:dyDescent="0.2">
      <c r="B90" s="87"/>
      <c r="C90" s="108"/>
      <c r="D90" s="115" t="str">
        <f>IF(op!D22="","",op!D22)</f>
        <v/>
      </c>
      <c r="E90" s="115" t="str">
        <f>IF(op!E22=0,"",op!E22)</f>
        <v/>
      </c>
      <c r="F90" s="115" t="str">
        <f>IF(op!F22=0,"",op!F22)</f>
        <v/>
      </c>
      <c r="G90" s="132" t="str">
        <f>IF(op!G22="","",op!G22+1)</f>
        <v/>
      </c>
      <c r="H90" s="508" t="str">
        <f>IF(op!H22="","",op!H22)</f>
        <v/>
      </c>
      <c r="I90" s="132" t="str">
        <f>IF(op!I22=0,"",op!I22)</f>
        <v/>
      </c>
      <c r="J90" s="150" t="str">
        <f>IF(E90="","",(IF(op!J22+1&gt;LOOKUP(I90,schaal2011,regels2011),op!J22,op!J22+1)))</f>
        <v/>
      </c>
      <c r="K90" s="509" t="str">
        <f>IF(op!K22="","",op!K22)</f>
        <v/>
      </c>
      <c r="L90" s="510" t="str">
        <f>IF(op!L22="","",op!L22)</f>
        <v/>
      </c>
      <c r="M90" s="511" t="str">
        <f t="shared" si="22"/>
        <v/>
      </c>
      <c r="N90" s="109"/>
      <c r="O90" s="513" t="str">
        <f>IF(I90="","",VLOOKUP(I90,tab!$A$68:$V$108,J90+2,FALSE))</f>
        <v/>
      </c>
      <c r="P90" s="514" t="str">
        <f t="shared" si="23"/>
        <v/>
      </c>
      <c r="Q90" s="1173">
        <f t="shared" si="32"/>
        <v>0.62</v>
      </c>
      <c r="R90" s="514" t="str">
        <f t="shared" si="24"/>
        <v/>
      </c>
      <c r="S90" s="514">
        <f>IF(L90="",0,(((O90*12)*L90)*(1+tab!$D$55)*tab!$F$57))</f>
        <v>0</v>
      </c>
      <c r="T90" s="1131">
        <f t="shared" si="25"/>
        <v>0</v>
      </c>
      <c r="U90" s="219">
        <f t="shared" si="26"/>
        <v>0</v>
      </c>
      <c r="V90" s="1145">
        <f t="shared" si="27"/>
        <v>0</v>
      </c>
      <c r="W90" s="124"/>
      <c r="X90" s="91"/>
      <c r="AA90" s="642" t="e">
        <f>DATE(YEAR(tab!$F$3),MONTH(H90),DAY(H90))&gt;tab!$F$3</f>
        <v>#VALUE!</v>
      </c>
      <c r="AB90" s="643" t="e">
        <f t="shared" si="28"/>
        <v>#VALUE!</v>
      </c>
      <c r="AC90" s="244">
        <f t="shared" si="29"/>
        <v>30</v>
      </c>
      <c r="AD90" s="244">
        <f t="shared" si="30"/>
        <v>30</v>
      </c>
      <c r="AE90" s="643">
        <f t="shared" si="31"/>
        <v>0</v>
      </c>
      <c r="AK90" s="552"/>
    </row>
    <row r="91" spans="2:42" ht="12.75" customHeight="1" x14ac:dyDescent="0.2">
      <c r="B91" s="87"/>
      <c r="C91" s="108"/>
      <c r="D91" s="115" t="str">
        <f>IF(op!D23="","",op!D23)</f>
        <v/>
      </c>
      <c r="E91" s="115" t="str">
        <f>IF(op!E23=0,"",op!E23)</f>
        <v/>
      </c>
      <c r="F91" s="115" t="str">
        <f>IF(op!F23=0,"",op!F23)</f>
        <v/>
      </c>
      <c r="G91" s="132" t="str">
        <f>IF(op!G23="","",op!G23+1)</f>
        <v/>
      </c>
      <c r="H91" s="508" t="str">
        <f>IF(op!H23="","",op!H23)</f>
        <v/>
      </c>
      <c r="I91" s="132" t="str">
        <f>IF(op!I23=0,"",op!I23)</f>
        <v/>
      </c>
      <c r="J91" s="150" t="str">
        <f>IF(E91="","",(IF(op!J23+1&gt;LOOKUP(I91,schaal2011,regels2011),op!J23,op!J23+1)))</f>
        <v/>
      </c>
      <c r="K91" s="509" t="str">
        <f>IF(op!K23="","",op!K23)</f>
        <v/>
      </c>
      <c r="L91" s="510" t="str">
        <f>IF(op!L23="","",op!L23)</f>
        <v/>
      </c>
      <c r="M91" s="511" t="str">
        <f t="shared" si="22"/>
        <v/>
      </c>
      <c r="N91" s="109"/>
      <c r="O91" s="513" t="str">
        <f>IF(I91="","",VLOOKUP(I91,tab!$A$68:$V$108,J91+2,FALSE))</f>
        <v/>
      </c>
      <c r="P91" s="514" t="str">
        <f t="shared" si="23"/>
        <v/>
      </c>
      <c r="Q91" s="1173">
        <f t="shared" si="32"/>
        <v>0.62</v>
      </c>
      <c r="R91" s="514" t="str">
        <f t="shared" si="24"/>
        <v/>
      </c>
      <c r="S91" s="514">
        <f>IF(L91="",0,(((O91*12)*L91)*(1+tab!$D$55)*tab!$F$57))</f>
        <v>0</v>
      </c>
      <c r="T91" s="1131">
        <f t="shared" si="25"/>
        <v>0</v>
      </c>
      <c r="U91" s="219">
        <f t="shared" si="26"/>
        <v>0</v>
      </c>
      <c r="V91" s="1145">
        <f t="shared" si="27"/>
        <v>0</v>
      </c>
      <c r="W91" s="124"/>
      <c r="X91" s="91"/>
      <c r="AA91" s="642" t="e">
        <f>DATE(YEAR(tab!$F$3),MONTH(H91),DAY(H91))&gt;tab!$F$3</f>
        <v>#VALUE!</v>
      </c>
      <c r="AB91" s="643" t="e">
        <f t="shared" si="28"/>
        <v>#VALUE!</v>
      </c>
      <c r="AC91" s="244">
        <f t="shared" si="29"/>
        <v>30</v>
      </c>
      <c r="AD91" s="244">
        <f t="shared" si="30"/>
        <v>30</v>
      </c>
      <c r="AE91" s="643">
        <f t="shared" si="31"/>
        <v>0</v>
      </c>
      <c r="AK91" s="552"/>
    </row>
    <row r="92" spans="2:42" ht="12.75" customHeight="1" x14ac:dyDescent="0.2">
      <c r="B92" s="87"/>
      <c r="C92" s="108"/>
      <c r="D92" s="115" t="str">
        <f>IF(op!D24="","",op!D24)</f>
        <v/>
      </c>
      <c r="E92" s="115" t="str">
        <f>IF(op!E24=0,"",op!E24)</f>
        <v/>
      </c>
      <c r="F92" s="115" t="str">
        <f>IF(op!F24=0,"",op!F24)</f>
        <v/>
      </c>
      <c r="G92" s="132" t="str">
        <f>IF(op!G24="","",op!G24+1)</f>
        <v/>
      </c>
      <c r="H92" s="508" t="str">
        <f>IF(op!H24="","",op!H24)</f>
        <v/>
      </c>
      <c r="I92" s="132" t="str">
        <f>IF(op!I24=0,"",op!I24)</f>
        <v/>
      </c>
      <c r="J92" s="150" t="str">
        <f>IF(E92="","",(IF(op!J24+1&gt;LOOKUP(I92,schaal2011,regels2011),op!J24,op!J24+1)))</f>
        <v/>
      </c>
      <c r="K92" s="509" t="str">
        <f>IF(op!K24="","",op!K24)</f>
        <v/>
      </c>
      <c r="L92" s="510" t="str">
        <f>IF(op!L24="","",op!L24)</f>
        <v/>
      </c>
      <c r="M92" s="511" t="str">
        <f t="shared" si="22"/>
        <v/>
      </c>
      <c r="N92" s="109"/>
      <c r="O92" s="513" t="str">
        <f>IF(I92="","",VLOOKUP(I92,tab!$A$68:$V$108,J92+2,FALSE))</f>
        <v/>
      </c>
      <c r="P92" s="514" t="str">
        <f t="shared" si="23"/>
        <v/>
      </c>
      <c r="Q92" s="1173">
        <f t="shared" si="32"/>
        <v>0.62</v>
      </c>
      <c r="R92" s="514" t="str">
        <f t="shared" si="24"/>
        <v/>
      </c>
      <c r="S92" s="514">
        <f>IF(L92="",0,(((O92*12)*L92)*(1+tab!$D$55)*tab!$F$57))</f>
        <v>0</v>
      </c>
      <c r="T92" s="1131">
        <f t="shared" si="25"/>
        <v>0</v>
      </c>
      <c r="U92" s="219">
        <f t="shared" si="26"/>
        <v>0</v>
      </c>
      <c r="V92" s="1145">
        <f t="shared" si="27"/>
        <v>0</v>
      </c>
      <c r="W92" s="124"/>
      <c r="X92" s="91"/>
      <c r="AA92" s="642" t="e">
        <f>DATE(YEAR(tab!$F$3),MONTH(H92),DAY(H92))&gt;tab!$F$3</f>
        <v>#VALUE!</v>
      </c>
      <c r="AB92" s="643" t="e">
        <f t="shared" si="28"/>
        <v>#VALUE!</v>
      </c>
      <c r="AC92" s="244">
        <f t="shared" si="29"/>
        <v>30</v>
      </c>
      <c r="AD92" s="244">
        <f t="shared" si="30"/>
        <v>30</v>
      </c>
      <c r="AE92" s="643">
        <f t="shared" si="31"/>
        <v>0</v>
      </c>
      <c r="AK92" s="552"/>
    </row>
    <row r="93" spans="2:42" ht="12.75" customHeight="1" x14ac:dyDescent="0.2">
      <c r="B93" s="87"/>
      <c r="C93" s="108"/>
      <c r="D93" s="115" t="str">
        <f>IF(op!D25="","",op!D25)</f>
        <v/>
      </c>
      <c r="E93" s="115" t="str">
        <f>IF(op!E25=0,"",op!E25)</f>
        <v/>
      </c>
      <c r="F93" s="115" t="str">
        <f>IF(op!F25=0,"",op!F25)</f>
        <v/>
      </c>
      <c r="G93" s="132" t="str">
        <f>IF(op!G25="","",op!G25+1)</f>
        <v/>
      </c>
      <c r="H93" s="508" t="str">
        <f>IF(op!H25="","",op!H25)</f>
        <v/>
      </c>
      <c r="I93" s="132" t="str">
        <f>IF(op!I25=0,"",op!I25)</f>
        <v/>
      </c>
      <c r="J93" s="150" t="str">
        <f>IF(E93="","",(IF(op!J25+1&gt;LOOKUP(I93,schaal2011,regels2011),op!J25,op!J25+1)))</f>
        <v/>
      </c>
      <c r="K93" s="509" t="str">
        <f>IF(op!K25="","",op!K25)</f>
        <v/>
      </c>
      <c r="L93" s="510" t="str">
        <f>IF(op!L25="","",op!L25)</f>
        <v/>
      </c>
      <c r="M93" s="511" t="str">
        <f t="shared" si="22"/>
        <v/>
      </c>
      <c r="N93" s="109"/>
      <c r="O93" s="513" t="str">
        <f>IF(I93="","",VLOOKUP(I93,tab!$A$68:$V$108,J93+2,FALSE))</f>
        <v/>
      </c>
      <c r="P93" s="514" t="str">
        <f t="shared" si="23"/>
        <v/>
      </c>
      <c r="Q93" s="1173">
        <f t="shared" si="32"/>
        <v>0.62</v>
      </c>
      <c r="R93" s="514" t="str">
        <f t="shared" si="24"/>
        <v/>
      </c>
      <c r="S93" s="514">
        <f>IF(L93="",0,(((O93*12)*L93)*(1+tab!$D$55)*tab!$F$57))</f>
        <v>0</v>
      </c>
      <c r="T93" s="1131">
        <f t="shared" si="25"/>
        <v>0</v>
      </c>
      <c r="U93" s="219">
        <f t="shared" si="26"/>
        <v>0</v>
      </c>
      <c r="V93" s="1145">
        <f t="shared" si="27"/>
        <v>0</v>
      </c>
      <c r="W93" s="124"/>
      <c r="X93" s="91"/>
      <c r="AA93" s="642" t="e">
        <f>DATE(YEAR(tab!$F$3),MONTH(H93),DAY(H93))&gt;tab!$F$3</f>
        <v>#VALUE!</v>
      </c>
      <c r="AB93" s="643" t="e">
        <f t="shared" si="28"/>
        <v>#VALUE!</v>
      </c>
      <c r="AC93" s="244">
        <f t="shared" si="29"/>
        <v>30</v>
      </c>
      <c r="AD93" s="244">
        <f t="shared" si="30"/>
        <v>30</v>
      </c>
      <c r="AE93" s="643">
        <f t="shared" si="31"/>
        <v>0</v>
      </c>
      <c r="AK93" s="552"/>
    </row>
    <row r="94" spans="2:42" ht="12.75" customHeight="1" x14ac:dyDescent="0.2">
      <c r="B94" s="87"/>
      <c r="C94" s="108"/>
      <c r="D94" s="115" t="str">
        <f>IF(op!D26="","",op!D26)</f>
        <v/>
      </c>
      <c r="E94" s="115" t="str">
        <f>IF(op!E26=0,"",op!E26)</f>
        <v/>
      </c>
      <c r="F94" s="115" t="str">
        <f>IF(op!F26=0,"",op!F26)</f>
        <v/>
      </c>
      <c r="G94" s="132" t="str">
        <f>IF(op!G26="","",op!G26+1)</f>
        <v/>
      </c>
      <c r="H94" s="508" t="str">
        <f>IF(op!H26="","",op!H26)</f>
        <v/>
      </c>
      <c r="I94" s="132" t="str">
        <f>IF(op!I26=0,"",op!I26)</f>
        <v/>
      </c>
      <c r="J94" s="150" t="str">
        <f>IF(E94="","",(IF(op!J26+1&gt;LOOKUP(I94,schaal2011,regels2011),op!J26,op!J26+1)))</f>
        <v/>
      </c>
      <c r="K94" s="509" t="str">
        <f>IF(op!K26="","",op!K26)</f>
        <v/>
      </c>
      <c r="L94" s="510" t="str">
        <f>IF(op!L26="","",op!L26)</f>
        <v/>
      </c>
      <c r="M94" s="511" t="str">
        <f t="shared" si="22"/>
        <v/>
      </c>
      <c r="N94" s="109"/>
      <c r="O94" s="513" t="str">
        <f>IF(I94="","",VLOOKUP(I94,tab!$A$68:$V$108,J94+2,FALSE))</f>
        <v/>
      </c>
      <c r="P94" s="514" t="str">
        <f t="shared" si="23"/>
        <v/>
      </c>
      <c r="Q94" s="1173">
        <f t="shared" si="32"/>
        <v>0.62</v>
      </c>
      <c r="R94" s="514" t="str">
        <f t="shared" si="24"/>
        <v/>
      </c>
      <c r="S94" s="514">
        <f>IF(L94="",0,(((O94*12)*L94)*(1+tab!$D$55)*tab!$F$57))</f>
        <v>0</v>
      </c>
      <c r="T94" s="1131">
        <f t="shared" si="25"/>
        <v>0</v>
      </c>
      <c r="U94" s="219">
        <f t="shared" si="26"/>
        <v>0</v>
      </c>
      <c r="V94" s="1145">
        <f t="shared" si="27"/>
        <v>0</v>
      </c>
      <c r="W94" s="124"/>
      <c r="X94" s="91"/>
      <c r="AA94" s="642" t="e">
        <f>DATE(YEAR(tab!$F$3),MONTH(H94),DAY(H94))&gt;tab!$F$3</f>
        <v>#VALUE!</v>
      </c>
      <c r="AB94" s="643" t="e">
        <f t="shared" si="28"/>
        <v>#VALUE!</v>
      </c>
      <c r="AC94" s="244">
        <f t="shared" si="29"/>
        <v>30</v>
      </c>
      <c r="AD94" s="244">
        <f t="shared" si="30"/>
        <v>30</v>
      </c>
      <c r="AE94" s="643">
        <f t="shared" si="31"/>
        <v>0</v>
      </c>
      <c r="AK94" s="552"/>
    </row>
    <row r="95" spans="2:42" ht="12.75" customHeight="1" x14ac:dyDescent="0.2">
      <c r="B95" s="87"/>
      <c r="C95" s="108"/>
      <c r="D95" s="115" t="str">
        <f>IF(op!D27="","",op!D27)</f>
        <v/>
      </c>
      <c r="E95" s="115" t="str">
        <f>IF(op!E27=0,"",op!E27)</f>
        <v/>
      </c>
      <c r="F95" s="115" t="str">
        <f>IF(op!F27=0,"",op!F27)</f>
        <v/>
      </c>
      <c r="G95" s="132" t="str">
        <f>IF(op!G27="","",op!G27+1)</f>
        <v/>
      </c>
      <c r="H95" s="508" t="str">
        <f>IF(op!H27="","",op!H27)</f>
        <v/>
      </c>
      <c r="I95" s="132" t="str">
        <f>IF(op!I27=0,"",op!I27)</f>
        <v/>
      </c>
      <c r="J95" s="150" t="str">
        <f>IF(E95="","",(IF(op!J27+1&gt;LOOKUP(I95,schaal2011,regels2011),op!J27,op!J27+1)))</f>
        <v/>
      </c>
      <c r="K95" s="509" t="str">
        <f>IF(op!K27="","",op!K27)</f>
        <v/>
      </c>
      <c r="L95" s="510" t="str">
        <f>IF(op!L27="","",op!L27)</f>
        <v/>
      </c>
      <c r="M95" s="511" t="str">
        <f t="shared" si="22"/>
        <v/>
      </c>
      <c r="N95" s="109"/>
      <c r="O95" s="513" t="str">
        <f>IF(I95="","",VLOOKUP(I95,tab!$A$68:$V$108,J95+2,FALSE))</f>
        <v/>
      </c>
      <c r="P95" s="514" t="str">
        <f t="shared" si="23"/>
        <v/>
      </c>
      <c r="Q95" s="1173">
        <f t="shared" si="32"/>
        <v>0.62</v>
      </c>
      <c r="R95" s="514" t="str">
        <f t="shared" si="24"/>
        <v/>
      </c>
      <c r="S95" s="514">
        <f>IF(L95="",0,(((O95*12)*L95)*(1+tab!$D$55)*tab!$F$57))</f>
        <v>0</v>
      </c>
      <c r="T95" s="1131">
        <f t="shared" si="25"/>
        <v>0</v>
      </c>
      <c r="U95" s="219">
        <f t="shared" si="26"/>
        <v>0</v>
      </c>
      <c r="V95" s="1145">
        <f t="shared" si="27"/>
        <v>0</v>
      </c>
      <c r="W95" s="124"/>
      <c r="X95" s="91"/>
      <c r="AA95" s="642" t="e">
        <f>DATE(YEAR(tab!$F$3),MONTH(H95),DAY(H95))&gt;tab!$F$3</f>
        <v>#VALUE!</v>
      </c>
      <c r="AB95" s="643" t="e">
        <f t="shared" si="28"/>
        <v>#VALUE!</v>
      </c>
      <c r="AC95" s="244">
        <f t="shared" si="29"/>
        <v>30</v>
      </c>
      <c r="AD95" s="244">
        <f t="shared" si="30"/>
        <v>30</v>
      </c>
      <c r="AE95" s="643">
        <f t="shared" si="31"/>
        <v>0</v>
      </c>
      <c r="AK95" s="552"/>
    </row>
    <row r="96" spans="2:42" ht="12.75" customHeight="1" x14ac:dyDescent="0.2">
      <c r="B96" s="87"/>
      <c r="C96" s="108"/>
      <c r="D96" s="115" t="str">
        <f>IF(op!D28="","",op!D28)</f>
        <v/>
      </c>
      <c r="E96" s="115" t="str">
        <f>IF(op!E28=0,"",op!E28)</f>
        <v/>
      </c>
      <c r="F96" s="115" t="str">
        <f>IF(op!F28=0,"",op!F28)</f>
        <v/>
      </c>
      <c r="G96" s="132" t="str">
        <f>IF(op!G28="","",op!G28+1)</f>
        <v/>
      </c>
      <c r="H96" s="508" t="str">
        <f>IF(op!H28="","",op!H28)</f>
        <v/>
      </c>
      <c r="I96" s="132" t="str">
        <f>IF(op!I28=0,"",op!I28)</f>
        <v/>
      </c>
      <c r="J96" s="150" t="str">
        <f>IF(E96="","",(IF(op!J28+1&gt;LOOKUP(I96,schaal2011,regels2011),op!J28,op!J28+1)))</f>
        <v/>
      </c>
      <c r="K96" s="509" t="str">
        <f>IF(op!K28="","",op!K28)</f>
        <v/>
      </c>
      <c r="L96" s="510" t="str">
        <f>IF(op!L28="","",op!L28)</f>
        <v/>
      </c>
      <c r="M96" s="511" t="str">
        <f t="shared" si="22"/>
        <v/>
      </c>
      <c r="N96" s="109"/>
      <c r="O96" s="513" t="str">
        <f>IF(I96="","",VLOOKUP(I96,tab!$A$68:$V$108,J96+2,FALSE))</f>
        <v/>
      </c>
      <c r="P96" s="514" t="str">
        <f t="shared" si="23"/>
        <v/>
      </c>
      <c r="Q96" s="1173">
        <f t="shared" si="32"/>
        <v>0.62</v>
      </c>
      <c r="R96" s="514" t="str">
        <f t="shared" si="24"/>
        <v/>
      </c>
      <c r="S96" s="514">
        <f>IF(L96="",0,(((O96*12)*L96)*(1+tab!$D$55)*tab!$F$57))</f>
        <v>0</v>
      </c>
      <c r="T96" s="1131">
        <f t="shared" si="25"/>
        <v>0</v>
      </c>
      <c r="U96" s="219">
        <f t="shared" si="26"/>
        <v>0</v>
      </c>
      <c r="V96" s="1145">
        <f t="shared" si="27"/>
        <v>0</v>
      </c>
      <c r="W96" s="124"/>
      <c r="X96" s="91"/>
      <c r="AA96" s="642" t="e">
        <f>DATE(YEAR(tab!$F$3),MONTH(H96),DAY(H96))&gt;tab!$F$3</f>
        <v>#VALUE!</v>
      </c>
      <c r="AB96" s="643" t="e">
        <f t="shared" si="28"/>
        <v>#VALUE!</v>
      </c>
      <c r="AC96" s="244">
        <f t="shared" si="29"/>
        <v>30</v>
      </c>
      <c r="AD96" s="244">
        <f t="shared" si="30"/>
        <v>30</v>
      </c>
      <c r="AE96" s="643">
        <f t="shared" si="31"/>
        <v>0</v>
      </c>
      <c r="AK96" s="552"/>
    </row>
    <row r="97" spans="2:37" ht="12.75" customHeight="1" x14ac:dyDescent="0.2">
      <c r="B97" s="87"/>
      <c r="C97" s="108"/>
      <c r="D97" s="115" t="str">
        <f>IF(op!D29="","",op!D29)</f>
        <v/>
      </c>
      <c r="E97" s="115" t="str">
        <f>IF(op!E29=0,"",op!E29)</f>
        <v/>
      </c>
      <c r="F97" s="115" t="str">
        <f>IF(op!F29=0,"",op!F29)</f>
        <v/>
      </c>
      <c r="G97" s="132" t="str">
        <f>IF(op!G29="","",op!G29+1)</f>
        <v/>
      </c>
      <c r="H97" s="508" t="str">
        <f>IF(op!H29="","",op!H29)</f>
        <v/>
      </c>
      <c r="I97" s="132" t="str">
        <f>IF(op!I29=0,"",op!I29)</f>
        <v/>
      </c>
      <c r="J97" s="150" t="str">
        <f>IF(E97="","",(IF(op!J29+1&gt;LOOKUP(I97,schaal2011,regels2011),op!J29,op!J29+1)))</f>
        <v/>
      </c>
      <c r="K97" s="509" t="str">
        <f>IF(op!K29="","",op!K29)</f>
        <v/>
      </c>
      <c r="L97" s="510" t="str">
        <f>IF(op!L29="","",op!L29)</f>
        <v/>
      </c>
      <c r="M97" s="511" t="str">
        <f t="shared" si="22"/>
        <v/>
      </c>
      <c r="N97" s="109"/>
      <c r="O97" s="513" t="str">
        <f>IF(I97="","",VLOOKUP(I97,tab!$A$68:$V$108,J97+2,FALSE))</f>
        <v/>
      </c>
      <c r="P97" s="514" t="str">
        <f t="shared" si="23"/>
        <v/>
      </c>
      <c r="Q97" s="1173">
        <f t="shared" si="32"/>
        <v>0.62</v>
      </c>
      <c r="R97" s="514" t="str">
        <f t="shared" si="24"/>
        <v/>
      </c>
      <c r="S97" s="514">
        <f>IF(L97="",0,(((O97*12)*L97)*(1+tab!$D$55)*tab!$F$57))</f>
        <v>0</v>
      </c>
      <c r="T97" s="1131">
        <f t="shared" si="25"/>
        <v>0</v>
      </c>
      <c r="U97" s="219">
        <f t="shared" si="26"/>
        <v>0</v>
      </c>
      <c r="V97" s="1145">
        <f t="shared" si="27"/>
        <v>0</v>
      </c>
      <c r="W97" s="124"/>
      <c r="X97" s="91"/>
      <c r="AA97" s="642" t="e">
        <f>DATE(YEAR(tab!$F$3),MONTH(H97),DAY(H97))&gt;tab!$F$3</f>
        <v>#VALUE!</v>
      </c>
      <c r="AB97" s="643" t="e">
        <f t="shared" si="28"/>
        <v>#VALUE!</v>
      </c>
      <c r="AC97" s="244">
        <f t="shared" si="29"/>
        <v>30</v>
      </c>
      <c r="AD97" s="244">
        <f t="shared" si="30"/>
        <v>30</v>
      </c>
      <c r="AE97" s="643">
        <f t="shared" si="31"/>
        <v>0</v>
      </c>
      <c r="AK97" s="552"/>
    </row>
    <row r="98" spans="2:37" ht="12.75" customHeight="1" x14ac:dyDescent="0.2">
      <c r="B98" s="87"/>
      <c r="C98" s="108"/>
      <c r="D98" s="115" t="str">
        <f>IF(op!D30="","",op!D30)</f>
        <v/>
      </c>
      <c r="E98" s="115" t="str">
        <f>IF(op!E30=0,"",op!E30)</f>
        <v/>
      </c>
      <c r="F98" s="115" t="str">
        <f>IF(op!F30=0,"",op!F30)</f>
        <v/>
      </c>
      <c r="G98" s="132" t="str">
        <f>IF(op!G30="","",op!G30+1)</f>
        <v/>
      </c>
      <c r="H98" s="508" t="str">
        <f>IF(op!H30="","",op!H30)</f>
        <v/>
      </c>
      <c r="I98" s="132" t="str">
        <f>IF(op!I30=0,"",op!I30)</f>
        <v/>
      </c>
      <c r="J98" s="150" t="str">
        <f>IF(E98="","",(IF(op!J30+1&gt;LOOKUP(I98,schaal2011,regels2011),op!J30,op!J30+1)))</f>
        <v/>
      </c>
      <c r="K98" s="509" t="str">
        <f>IF(op!K30="","",op!K30)</f>
        <v/>
      </c>
      <c r="L98" s="510" t="str">
        <f>IF(op!L30="","",op!L30)</f>
        <v/>
      </c>
      <c r="M98" s="511" t="str">
        <f t="shared" si="22"/>
        <v/>
      </c>
      <c r="N98" s="109"/>
      <c r="O98" s="513" t="str">
        <f>IF(I98="","",VLOOKUP(I98,tab!$A$68:$V$108,J98+2,FALSE))</f>
        <v/>
      </c>
      <c r="P98" s="514" t="str">
        <f t="shared" si="23"/>
        <v/>
      </c>
      <c r="Q98" s="1173">
        <f t="shared" si="32"/>
        <v>0.62</v>
      </c>
      <c r="R98" s="514" t="str">
        <f t="shared" si="24"/>
        <v/>
      </c>
      <c r="S98" s="514">
        <f>IF(L98="",0,(((O98*12)*L98)*(1+tab!$D$55)*tab!$F$57))</f>
        <v>0</v>
      </c>
      <c r="T98" s="1131">
        <f t="shared" si="25"/>
        <v>0</v>
      </c>
      <c r="U98" s="219">
        <f t="shared" si="26"/>
        <v>0</v>
      </c>
      <c r="V98" s="1145">
        <f t="shared" si="27"/>
        <v>0</v>
      </c>
      <c r="W98" s="124"/>
      <c r="X98" s="91"/>
      <c r="AA98" s="642" t="e">
        <f>DATE(YEAR(tab!$F$3),MONTH(H98),DAY(H98))&gt;tab!$F$3</f>
        <v>#VALUE!</v>
      </c>
      <c r="AB98" s="643" t="e">
        <f t="shared" si="28"/>
        <v>#VALUE!</v>
      </c>
      <c r="AC98" s="244">
        <f t="shared" si="29"/>
        <v>30</v>
      </c>
      <c r="AD98" s="244">
        <f t="shared" si="30"/>
        <v>30</v>
      </c>
      <c r="AE98" s="643">
        <f t="shared" si="31"/>
        <v>0</v>
      </c>
      <c r="AK98" s="552"/>
    </row>
    <row r="99" spans="2:37" ht="12.75" customHeight="1" x14ac:dyDescent="0.2">
      <c r="B99" s="87"/>
      <c r="C99" s="108"/>
      <c r="D99" s="115" t="str">
        <f>IF(op!D31="","",op!D31)</f>
        <v/>
      </c>
      <c r="E99" s="115" t="str">
        <f>IF(op!E31=0,"",op!E31)</f>
        <v/>
      </c>
      <c r="F99" s="115" t="str">
        <f>IF(op!F31=0,"",op!F31)</f>
        <v/>
      </c>
      <c r="G99" s="132" t="str">
        <f>IF(op!G31="","",op!G31+1)</f>
        <v/>
      </c>
      <c r="H99" s="508" t="str">
        <f>IF(op!H31="","",op!H31)</f>
        <v/>
      </c>
      <c r="I99" s="132" t="str">
        <f>IF(op!I31=0,"",op!I31)</f>
        <v/>
      </c>
      <c r="J99" s="150" t="str">
        <f>IF(E99="","",(IF(op!J31+1&gt;LOOKUP(I99,schaal2011,regels2011),op!J31,op!J31+1)))</f>
        <v/>
      </c>
      <c r="K99" s="509" t="str">
        <f>IF(op!K31="","",op!K31)</f>
        <v/>
      </c>
      <c r="L99" s="510" t="str">
        <f>IF(op!L31="","",op!L31)</f>
        <v/>
      </c>
      <c r="M99" s="511" t="str">
        <f t="shared" si="22"/>
        <v/>
      </c>
      <c r="N99" s="109"/>
      <c r="O99" s="513" t="str">
        <f>IF(I99="","",VLOOKUP(I99,tab!$A$68:$V$108,J99+2,FALSE))</f>
        <v/>
      </c>
      <c r="P99" s="514" t="str">
        <f t="shared" si="23"/>
        <v/>
      </c>
      <c r="Q99" s="1173">
        <f t="shared" si="32"/>
        <v>0.62</v>
      </c>
      <c r="R99" s="514" t="str">
        <f t="shared" si="24"/>
        <v/>
      </c>
      <c r="S99" s="514">
        <f>IF(L99="",0,(((O99*12)*L99)*(1+tab!$D$55)*tab!$F$57))</f>
        <v>0</v>
      </c>
      <c r="T99" s="1131">
        <f t="shared" si="25"/>
        <v>0</v>
      </c>
      <c r="U99" s="219">
        <f t="shared" si="26"/>
        <v>0</v>
      </c>
      <c r="V99" s="1145">
        <f t="shared" si="27"/>
        <v>0</v>
      </c>
      <c r="W99" s="124"/>
      <c r="X99" s="91"/>
      <c r="AA99" s="642" t="e">
        <f>DATE(YEAR(tab!$F$3),MONTH(H99),DAY(H99))&gt;tab!$F$3</f>
        <v>#VALUE!</v>
      </c>
      <c r="AB99" s="643" t="e">
        <f t="shared" si="28"/>
        <v>#VALUE!</v>
      </c>
      <c r="AC99" s="244">
        <f t="shared" si="29"/>
        <v>30</v>
      </c>
      <c r="AD99" s="244">
        <f t="shared" si="30"/>
        <v>30</v>
      </c>
      <c r="AE99" s="643">
        <f t="shared" si="31"/>
        <v>0</v>
      </c>
      <c r="AK99" s="552"/>
    </row>
    <row r="100" spans="2:37" ht="12.75" customHeight="1" x14ac:dyDescent="0.2">
      <c r="B100" s="87"/>
      <c r="C100" s="108"/>
      <c r="D100" s="115" t="str">
        <f>IF(op!D32="","",op!D32)</f>
        <v/>
      </c>
      <c r="E100" s="115" t="str">
        <f>IF(op!E32=0,"",op!E32)</f>
        <v/>
      </c>
      <c r="F100" s="115" t="str">
        <f>IF(op!F32=0,"",op!F32)</f>
        <v/>
      </c>
      <c r="G100" s="132" t="str">
        <f>IF(op!G32="","",op!G32+1)</f>
        <v/>
      </c>
      <c r="H100" s="508" t="str">
        <f>IF(op!H32="","",op!H32)</f>
        <v/>
      </c>
      <c r="I100" s="132" t="str">
        <f>IF(op!I32=0,"",op!I32)</f>
        <v/>
      </c>
      <c r="J100" s="150" t="str">
        <f>IF(E100="","",(IF(op!J32+1&gt;LOOKUP(I100,schaal2011,regels2011),op!J32,op!J32+1)))</f>
        <v/>
      </c>
      <c r="K100" s="509" t="str">
        <f>IF(op!K32="","",op!K32)</f>
        <v/>
      </c>
      <c r="L100" s="510" t="str">
        <f>IF(op!L32="","",op!L32)</f>
        <v/>
      </c>
      <c r="M100" s="511" t="str">
        <f t="shared" si="22"/>
        <v/>
      </c>
      <c r="N100" s="109"/>
      <c r="O100" s="513" t="str">
        <f>IF(I100="","",VLOOKUP(I100,tab!$A$68:$V$108,J100+2,FALSE))</f>
        <v/>
      </c>
      <c r="P100" s="514" t="str">
        <f t="shared" si="23"/>
        <v/>
      </c>
      <c r="Q100" s="1173">
        <f t="shared" si="32"/>
        <v>0.62</v>
      </c>
      <c r="R100" s="514" t="str">
        <f t="shared" si="24"/>
        <v/>
      </c>
      <c r="S100" s="514">
        <f>IF(L100="",0,(((O100*12)*L100)*(1+tab!$D$55)*tab!$F$57))</f>
        <v>0</v>
      </c>
      <c r="T100" s="1131">
        <f t="shared" si="25"/>
        <v>0</v>
      </c>
      <c r="U100" s="219">
        <f t="shared" si="26"/>
        <v>0</v>
      </c>
      <c r="V100" s="1145">
        <f t="shared" si="27"/>
        <v>0</v>
      </c>
      <c r="W100" s="124"/>
      <c r="X100" s="91"/>
      <c r="AA100" s="642" t="e">
        <f>DATE(YEAR(tab!$F$3),MONTH(H100),DAY(H100))&gt;tab!$F$3</f>
        <v>#VALUE!</v>
      </c>
      <c r="AB100" s="643" t="e">
        <f t="shared" si="28"/>
        <v>#VALUE!</v>
      </c>
      <c r="AC100" s="244">
        <f t="shared" si="29"/>
        <v>30</v>
      </c>
      <c r="AD100" s="244">
        <f t="shared" si="30"/>
        <v>30</v>
      </c>
      <c r="AE100" s="643">
        <f t="shared" si="31"/>
        <v>0</v>
      </c>
      <c r="AK100" s="552"/>
    </row>
    <row r="101" spans="2:37" ht="12.75" customHeight="1" x14ac:dyDescent="0.2">
      <c r="B101" s="87"/>
      <c r="C101" s="108"/>
      <c r="D101" s="115" t="str">
        <f>IF(op!D33="","",op!D33)</f>
        <v/>
      </c>
      <c r="E101" s="115" t="str">
        <f>IF(op!E33=0,"",op!E33)</f>
        <v/>
      </c>
      <c r="F101" s="115" t="str">
        <f>IF(op!F33=0,"",op!F33)</f>
        <v/>
      </c>
      <c r="G101" s="132" t="str">
        <f>IF(op!G33="","",op!G33+1)</f>
        <v/>
      </c>
      <c r="H101" s="508" t="str">
        <f>IF(op!H33="","",op!H33)</f>
        <v/>
      </c>
      <c r="I101" s="132" t="str">
        <f>IF(op!I33=0,"",op!I33)</f>
        <v/>
      </c>
      <c r="J101" s="150" t="str">
        <f>IF(E101="","",(IF(op!J33+1&gt;LOOKUP(I101,schaal2011,regels2011),op!J33,op!J33+1)))</f>
        <v/>
      </c>
      <c r="K101" s="509" t="str">
        <f>IF(op!K33="","",op!K33)</f>
        <v/>
      </c>
      <c r="L101" s="510" t="str">
        <f>IF(op!L33="","",op!L33)</f>
        <v/>
      </c>
      <c r="M101" s="511" t="str">
        <f t="shared" si="22"/>
        <v/>
      </c>
      <c r="N101" s="109"/>
      <c r="O101" s="513" t="str">
        <f>IF(I101="","",VLOOKUP(I101,tab!$A$68:$V$108,J101+2,FALSE))</f>
        <v/>
      </c>
      <c r="P101" s="514" t="str">
        <f t="shared" si="23"/>
        <v/>
      </c>
      <c r="Q101" s="1173">
        <f t="shared" si="32"/>
        <v>0.62</v>
      </c>
      <c r="R101" s="514" t="str">
        <f t="shared" si="24"/>
        <v/>
      </c>
      <c r="S101" s="514">
        <f>IF(L101="",0,(((O101*12)*L101)*(1+tab!$D$55)*tab!$F$57))</f>
        <v>0</v>
      </c>
      <c r="T101" s="1131">
        <f t="shared" si="25"/>
        <v>0</v>
      </c>
      <c r="U101" s="219">
        <f t="shared" si="26"/>
        <v>0</v>
      </c>
      <c r="V101" s="1145">
        <f t="shared" si="27"/>
        <v>0</v>
      </c>
      <c r="W101" s="124"/>
      <c r="X101" s="91"/>
      <c r="AA101" s="642" t="e">
        <f>DATE(YEAR(tab!$F$3),MONTH(H101),DAY(H101))&gt;tab!$F$3</f>
        <v>#VALUE!</v>
      </c>
      <c r="AB101" s="643" t="e">
        <f t="shared" si="28"/>
        <v>#VALUE!</v>
      </c>
      <c r="AC101" s="244">
        <f t="shared" si="29"/>
        <v>30</v>
      </c>
      <c r="AD101" s="244">
        <f t="shared" si="30"/>
        <v>30</v>
      </c>
      <c r="AE101" s="643">
        <f t="shared" si="31"/>
        <v>0</v>
      </c>
      <c r="AK101" s="552"/>
    </row>
    <row r="102" spans="2:37" ht="12.75" customHeight="1" x14ac:dyDescent="0.2">
      <c r="B102" s="87"/>
      <c r="C102" s="108"/>
      <c r="D102" s="115" t="str">
        <f>IF(op!D34="","",op!D34)</f>
        <v/>
      </c>
      <c r="E102" s="115" t="str">
        <f>IF(op!E34=0,"",op!E34)</f>
        <v/>
      </c>
      <c r="F102" s="115" t="str">
        <f>IF(op!F34=0,"",op!F34)</f>
        <v/>
      </c>
      <c r="G102" s="132" t="str">
        <f>IF(op!G34="","",op!G34+1)</f>
        <v/>
      </c>
      <c r="H102" s="508" t="str">
        <f>IF(op!H34="","",op!H34)</f>
        <v/>
      </c>
      <c r="I102" s="132" t="str">
        <f>IF(op!I34=0,"",op!I34)</f>
        <v/>
      </c>
      <c r="J102" s="150" t="str">
        <f>IF(E102="","",(IF(op!J34+1&gt;LOOKUP(I102,schaal2011,regels2011),op!J34,op!J34+1)))</f>
        <v/>
      </c>
      <c r="K102" s="509" t="str">
        <f>IF(op!K34="","",op!K34)</f>
        <v/>
      </c>
      <c r="L102" s="510" t="str">
        <f>IF(op!L34="","",op!L34)</f>
        <v/>
      </c>
      <c r="M102" s="511" t="str">
        <f t="shared" si="22"/>
        <v/>
      </c>
      <c r="N102" s="109"/>
      <c r="O102" s="513" t="str">
        <f>IF(I102="","",VLOOKUP(I102,tab!$A$68:$V$108,J102+2,FALSE))</f>
        <v/>
      </c>
      <c r="P102" s="514" t="str">
        <f t="shared" si="23"/>
        <v/>
      </c>
      <c r="Q102" s="1173">
        <f t="shared" si="32"/>
        <v>0.62</v>
      </c>
      <c r="R102" s="514" t="str">
        <f t="shared" si="24"/>
        <v/>
      </c>
      <c r="S102" s="514">
        <f>IF(L102="",0,(((O102*12)*L102)*(1+tab!$D$55)*tab!$F$57))</f>
        <v>0</v>
      </c>
      <c r="T102" s="1131">
        <f t="shared" si="25"/>
        <v>0</v>
      </c>
      <c r="U102" s="219">
        <f t="shared" si="26"/>
        <v>0</v>
      </c>
      <c r="V102" s="1145">
        <f t="shared" si="27"/>
        <v>0</v>
      </c>
      <c r="W102" s="124"/>
      <c r="X102" s="91"/>
      <c r="AA102" s="642" t="e">
        <f>DATE(YEAR(tab!$F$3),MONTH(H102),DAY(H102))&gt;tab!$F$3</f>
        <v>#VALUE!</v>
      </c>
      <c r="AB102" s="643" t="e">
        <f t="shared" si="28"/>
        <v>#VALUE!</v>
      </c>
      <c r="AC102" s="244">
        <f t="shared" si="29"/>
        <v>30</v>
      </c>
      <c r="AD102" s="244">
        <f t="shared" si="30"/>
        <v>30</v>
      </c>
      <c r="AE102" s="643">
        <f t="shared" si="31"/>
        <v>0</v>
      </c>
      <c r="AK102" s="552"/>
    </row>
    <row r="103" spans="2:37" ht="12.75" customHeight="1" x14ac:dyDescent="0.2">
      <c r="B103" s="87"/>
      <c r="C103" s="108"/>
      <c r="D103" s="115" t="str">
        <f>IF(op!D35="","",op!D35)</f>
        <v/>
      </c>
      <c r="E103" s="115" t="str">
        <f>IF(op!E35=0,"",op!E35)</f>
        <v/>
      </c>
      <c r="F103" s="115" t="str">
        <f>IF(op!F35=0,"",op!F35)</f>
        <v/>
      </c>
      <c r="G103" s="132" t="str">
        <f>IF(op!G35="","",op!G35+1)</f>
        <v/>
      </c>
      <c r="H103" s="508" t="str">
        <f>IF(op!H35="","",op!H35)</f>
        <v/>
      </c>
      <c r="I103" s="132" t="str">
        <f>IF(op!I35=0,"",op!I35)</f>
        <v/>
      </c>
      <c r="J103" s="150" t="str">
        <f>IF(E103="","",(IF(op!J35+1&gt;LOOKUP(I103,schaal2011,regels2011),op!J35,op!J35+1)))</f>
        <v/>
      </c>
      <c r="K103" s="509" t="str">
        <f>IF(op!K35="","",op!K35)</f>
        <v/>
      </c>
      <c r="L103" s="510" t="str">
        <f>IF(op!L35="","",op!L35)</f>
        <v/>
      </c>
      <c r="M103" s="511" t="str">
        <f t="shared" si="22"/>
        <v/>
      </c>
      <c r="N103" s="109"/>
      <c r="O103" s="513" t="str">
        <f>IF(I103="","",VLOOKUP(I103,tab!$A$68:$V$108,J103+2,FALSE))</f>
        <v/>
      </c>
      <c r="P103" s="514" t="str">
        <f t="shared" si="23"/>
        <v/>
      </c>
      <c r="Q103" s="1173">
        <f t="shared" si="32"/>
        <v>0.62</v>
      </c>
      <c r="R103" s="514" t="str">
        <f t="shared" si="24"/>
        <v/>
      </c>
      <c r="S103" s="514">
        <f>IF(L103="",0,(((O103*12)*L103)*(1+tab!$D$55)*tab!$F$57))</f>
        <v>0</v>
      </c>
      <c r="T103" s="1131">
        <f t="shared" si="25"/>
        <v>0</v>
      </c>
      <c r="U103" s="219">
        <f t="shared" si="26"/>
        <v>0</v>
      </c>
      <c r="V103" s="1145">
        <f t="shared" si="27"/>
        <v>0</v>
      </c>
      <c r="W103" s="124"/>
      <c r="X103" s="91"/>
      <c r="AA103" s="642" t="e">
        <f>DATE(YEAR(tab!$F$3),MONTH(H103),DAY(H103))&gt;tab!$F$3</f>
        <v>#VALUE!</v>
      </c>
      <c r="AB103" s="643" t="e">
        <f t="shared" si="28"/>
        <v>#VALUE!</v>
      </c>
      <c r="AC103" s="244">
        <f t="shared" si="29"/>
        <v>30</v>
      </c>
      <c r="AD103" s="244">
        <f t="shared" si="30"/>
        <v>30</v>
      </c>
      <c r="AE103" s="643">
        <f t="shared" si="31"/>
        <v>0</v>
      </c>
      <c r="AK103" s="552"/>
    </row>
    <row r="104" spans="2:37" ht="12.75" customHeight="1" x14ac:dyDescent="0.2">
      <c r="B104" s="87"/>
      <c r="C104" s="108"/>
      <c r="D104" s="115" t="str">
        <f>IF(op!D36="","",op!D36)</f>
        <v/>
      </c>
      <c r="E104" s="115" t="str">
        <f>IF(op!E36=0,"",op!E36)</f>
        <v/>
      </c>
      <c r="F104" s="115" t="str">
        <f>IF(op!F36=0,"",op!F36)</f>
        <v/>
      </c>
      <c r="G104" s="132" t="str">
        <f>IF(op!G36="","",op!G36+1)</f>
        <v/>
      </c>
      <c r="H104" s="508" t="str">
        <f>IF(op!H36="","",op!H36)</f>
        <v/>
      </c>
      <c r="I104" s="132" t="str">
        <f>IF(op!I36=0,"",op!I36)</f>
        <v/>
      </c>
      <c r="J104" s="150" t="str">
        <f>IF(E104="","",(IF(op!J36+1&gt;LOOKUP(I104,schaal2011,regels2011),op!J36,op!J36+1)))</f>
        <v/>
      </c>
      <c r="K104" s="509" t="str">
        <f>IF(op!K36="","",op!K36)</f>
        <v/>
      </c>
      <c r="L104" s="510" t="str">
        <f>IF(op!L36="","",op!L36)</f>
        <v/>
      </c>
      <c r="M104" s="511" t="str">
        <f t="shared" si="22"/>
        <v/>
      </c>
      <c r="N104" s="109"/>
      <c r="O104" s="513" t="str">
        <f>IF(I104="","",VLOOKUP(I104,tab!$A$68:$V$108,J104+2,FALSE))</f>
        <v/>
      </c>
      <c r="P104" s="514" t="str">
        <f t="shared" si="23"/>
        <v/>
      </c>
      <c r="Q104" s="1173">
        <f t="shared" si="32"/>
        <v>0.62</v>
      </c>
      <c r="R104" s="514" t="str">
        <f t="shared" si="24"/>
        <v/>
      </c>
      <c r="S104" s="514">
        <f>IF(L104="",0,(((O104*12)*L104)*(1+tab!$D$55)*tab!$F$57))</f>
        <v>0</v>
      </c>
      <c r="T104" s="1131">
        <f t="shared" si="25"/>
        <v>0</v>
      </c>
      <c r="U104" s="219">
        <f t="shared" si="26"/>
        <v>0</v>
      </c>
      <c r="V104" s="1145">
        <f t="shared" si="27"/>
        <v>0</v>
      </c>
      <c r="W104" s="124"/>
      <c r="X104" s="91"/>
      <c r="AA104" s="642" t="e">
        <f>DATE(YEAR(tab!$F$3),MONTH(H104),DAY(H104))&gt;tab!$F$3</f>
        <v>#VALUE!</v>
      </c>
      <c r="AB104" s="643" t="e">
        <f t="shared" si="28"/>
        <v>#VALUE!</v>
      </c>
      <c r="AC104" s="244">
        <f t="shared" si="29"/>
        <v>30</v>
      </c>
      <c r="AD104" s="244">
        <f t="shared" si="30"/>
        <v>30</v>
      </c>
      <c r="AE104" s="643">
        <f t="shared" si="31"/>
        <v>0</v>
      </c>
      <c r="AK104" s="552"/>
    </row>
    <row r="105" spans="2:37" ht="12.75" customHeight="1" x14ac:dyDescent="0.2">
      <c r="B105" s="87"/>
      <c r="C105" s="108"/>
      <c r="D105" s="115" t="str">
        <f>IF(op!D37="","",op!D37)</f>
        <v/>
      </c>
      <c r="E105" s="115" t="str">
        <f>IF(op!E37=0,"",op!E37)</f>
        <v/>
      </c>
      <c r="F105" s="115" t="str">
        <f>IF(op!F37=0,"",op!F37)</f>
        <v/>
      </c>
      <c r="G105" s="132" t="str">
        <f>IF(op!G37="","",op!G37+1)</f>
        <v/>
      </c>
      <c r="H105" s="508" t="str">
        <f>IF(op!H37="","",op!H37)</f>
        <v/>
      </c>
      <c r="I105" s="132" t="str">
        <f>IF(op!I37=0,"",op!I37)</f>
        <v/>
      </c>
      <c r="J105" s="150" t="str">
        <f>IF(E105="","",(IF(op!J37+1&gt;LOOKUP(I105,schaal2011,regels2011),op!J37,op!J37+1)))</f>
        <v/>
      </c>
      <c r="K105" s="509" t="str">
        <f>IF(op!K37="","",op!K37)</f>
        <v/>
      </c>
      <c r="L105" s="510" t="str">
        <f>IF(op!L37="","",op!L37)</f>
        <v/>
      </c>
      <c r="M105" s="511" t="str">
        <f t="shared" si="22"/>
        <v/>
      </c>
      <c r="N105" s="109"/>
      <c r="O105" s="513" t="str">
        <f>IF(I105="","",VLOOKUP(I105,tab!$A$68:$V$108,J105+2,FALSE))</f>
        <v/>
      </c>
      <c r="P105" s="514" t="str">
        <f t="shared" si="23"/>
        <v/>
      </c>
      <c r="Q105" s="1173">
        <f t="shared" si="32"/>
        <v>0.62</v>
      </c>
      <c r="R105" s="514" t="str">
        <f t="shared" si="24"/>
        <v/>
      </c>
      <c r="S105" s="514">
        <f>IF(L105="",0,(((O105*12)*L105)*(1+tab!$D$55)*tab!$F$57))</f>
        <v>0</v>
      </c>
      <c r="T105" s="1131">
        <f t="shared" si="25"/>
        <v>0</v>
      </c>
      <c r="U105" s="219">
        <f t="shared" si="26"/>
        <v>0</v>
      </c>
      <c r="V105" s="1145">
        <f t="shared" si="27"/>
        <v>0</v>
      </c>
      <c r="W105" s="124"/>
      <c r="X105" s="91"/>
      <c r="AA105" s="642" t="e">
        <f>DATE(YEAR(tab!$F$3),MONTH(H105),DAY(H105))&gt;tab!$F$3</f>
        <v>#VALUE!</v>
      </c>
      <c r="AB105" s="643" t="e">
        <f t="shared" si="28"/>
        <v>#VALUE!</v>
      </c>
      <c r="AC105" s="244">
        <f t="shared" si="29"/>
        <v>30</v>
      </c>
      <c r="AD105" s="244">
        <f t="shared" si="30"/>
        <v>30</v>
      </c>
      <c r="AE105" s="643">
        <f t="shared" si="31"/>
        <v>0</v>
      </c>
      <c r="AK105" s="552"/>
    </row>
    <row r="106" spans="2:37" ht="12.75" customHeight="1" x14ac:dyDescent="0.2">
      <c r="B106" s="87"/>
      <c r="C106" s="108"/>
      <c r="D106" s="115" t="str">
        <f>IF(op!D38="","",op!D38)</f>
        <v/>
      </c>
      <c r="E106" s="115" t="str">
        <f>IF(op!E38=0,"",op!E38)</f>
        <v/>
      </c>
      <c r="F106" s="115" t="str">
        <f>IF(op!F38=0,"",op!F38)</f>
        <v/>
      </c>
      <c r="G106" s="132" t="str">
        <f>IF(op!G38="","",op!G38+1)</f>
        <v/>
      </c>
      <c r="H106" s="508" t="str">
        <f>IF(op!H38="","",op!H38)</f>
        <v/>
      </c>
      <c r="I106" s="132" t="str">
        <f>IF(op!I38=0,"",op!I38)</f>
        <v/>
      </c>
      <c r="J106" s="150" t="str">
        <f>IF(E106="","",(IF(op!J38+1&gt;LOOKUP(I106,schaal2011,regels2011),op!J38,op!J38+1)))</f>
        <v/>
      </c>
      <c r="K106" s="509" t="str">
        <f>IF(op!K38="","",op!K38)</f>
        <v/>
      </c>
      <c r="L106" s="510" t="str">
        <f>IF(op!L38="","",op!L38)</f>
        <v/>
      </c>
      <c r="M106" s="511" t="str">
        <f t="shared" si="22"/>
        <v/>
      </c>
      <c r="N106" s="109"/>
      <c r="O106" s="513" t="str">
        <f>IF(I106="","",VLOOKUP(I106,tab!$A$68:$V$108,J106+2,FALSE))</f>
        <v/>
      </c>
      <c r="P106" s="514" t="str">
        <f t="shared" si="23"/>
        <v/>
      </c>
      <c r="Q106" s="1173">
        <f t="shared" si="32"/>
        <v>0.62</v>
      </c>
      <c r="R106" s="514" t="str">
        <f t="shared" si="24"/>
        <v/>
      </c>
      <c r="S106" s="514">
        <f>IF(L106="",0,(((O106*12)*L106)*(1+tab!$D$55)*tab!$F$57))</f>
        <v>0</v>
      </c>
      <c r="T106" s="1131">
        <f t="shared" si="25"/>
        <v>0</v>
      </c>
      <c r="U106" s="219">
        <f t="shared" si="26"/>
        <v>0</v>
      </c>
      <c r="V106" s="1145">
        <f t="shared" si="27"/>
        <v>0</v>
      </c>
      <c r="W106" s="124"/>
      <c r="X106" s="91"/>
      <c r="AA106" s="642" t="e">
        <f>DATE(YEAR(tab!$F$3),MONTH(H106),DAY(H106))&gt;tab!$F$3</f>
        <v>#VALUE!</v>
      </c>
      <c r="AB106" s="643" t="e">
        <f t="shared" si="28"/>
        <v>#VALUE!</v>
      </c>
      <c r="AC106" s="244">
        <f t="shared" si="29"/>
        <v>30</v>
      </c>
      <c r="AD106" s="244">
        <f t="shared" si="30"/>
        <v>30</v>
      </c>
      <c r="AE106" s="643">
        <f t="shared" si="31"/>
        <v>0</v>
      </c>
      <c r="AK106" s="552"/>
    </row>
    <row r="107" spans="2:37" ht="12.75" customHeight="1" x14ac:dyDescent="0.2">
      <c r="B107" s="87"/>
      <c r="C107" s="108"/>
      <c r="D107" s="115" t="str">
        <f>IF(op!D39="","",op!D39)</f>
        <v/>
      </c>
      <c r="E107" s="115" t="str">
        <f>IF(op!E39=0,"",op!E39)</f>
        <v/>
      </c>
      <c r="F107" s="115" t="str">
        <f>IF(op!F39=0,"",op!F39)</f>
        <v/>
      </c>
      <c r="G107" s="132" t="str">
        <f>IF(op!G39="","",op!G39+1)</f>
        <v/>
      </c>
      <c r="H107" s="508" t="str">
        <f>IF(op!H39="","",op!H39)</f>
        <v/>
      </c>
      <c r="I107" s="132" t="str">
        <f>IF(op!I39=0,"",op!I39)</f>
        <v/>
      </c>
      <c r="J107" s="150" t="str">
        <f>IF(E107="","",(IF(op!J39+1&gt;LOOKUP(I107,schaal2011,regels2011),op!J39,op!J39+1)))</f>
        <v/>
      </c>
      <c r="K107" s="509" t="str">
        <f>IF(op!K39="","",op!K39)</f>
        <v/>
      </c>
      <c r="L107" s="510" t="str">
        <f>IF(op!L39="","",op!L39)</f>
        <v/>
      </c>
      <c r="M107" s="511" t="str">
        <f t="shared" si="22"/>
        <v/>
      </c>
      <c r="N107" s="109"/>
      <c r="O107" s="513" t="str">
        <f>IF(I107="","",VLOOKUP(I107,tab!$A$68:$V$108,J107+2,FALSE))</f>
        <v/>
      </c>
      <c r="P107" s="514" t="str">
        <f t="shared" si="23"/>
        <v/>
      </c>
      <c r="Q107" s="1173">
        <f t="shared" si="32"/>
        <v>0.62</v>
      </c>
      <c r="R107" s="514" t="str">
        <f t="shared" si="24"/>
        <v/>
      </c>
      <c r="S107" s="514">
        <f>IF(L107="",0,(((O107*12)*L107)*(1+tab!$D$55)*tab!$F$57))</f>
        <v>0</v>
      </c>
      <c r="T107" s="1131">
        <f t="shared" si="25"/>
        <v>0</v>
      </c>
      <c r="U107" s="219">
        <f t="shared" si="26"/>
        <v>0</v>
      </c>
      <c r="V107" s="1145">
        <f t="shared" si="27"/>
        <v>0</v>
      </c>
      <c r="W107" s="124"/>
      <c r="X107" s="91"/>
      <c r="AA107" s="642" t="e">
        <f>DATE(YEAR(tab!$F$3),MONTH(H107),DAY(H107))&gt;tab!$F$3</f>
        <v>#VALUE!</v>
      </c>
      <c r="AB107" s="643" t="e">
        <f t="shared" si="28"/>
        <v>#VALUE!</v>
      </c>
      <c r="AC107" s="244">
        <f t="shared" si="29"/>
        <v>30</v>
      </c>
      <c r="AD107" s="244">
        <f t="shared" si="30"/>
        <v>30</v>
      </c>
      <c r="AE107" s="643">
        <f t="shared" si="31"/>
        <v>0</v>
      </c>
      <c r="AK107" s="552"/>
    </row>
    <row r="108" spans="2:37" ht="12.75" customHeight="1" x14ac:dyDescent="0.2">
      <c r="B108" s="87"/>
      <c r="C108" s="108"/>
      <c r="D108" s="115" t="str">
        <f>IF(op!D40="","",op!D40)</f>
        <v/>
      </c>
      <c r="E108" s="115" t="str">
        <f>IF(op!E40=0,"",op!E40)</f>
        <v/>
      </c>
      <c r="F108" s="115" t="str">
        <f>IF(op!F40=0,"",op!F40)</f>
        <v/>
      </c>
      <c r="G108" s="132" t="str">
        <f>IF(op!G40="","",op!G40+1)</f>
        <v/>
      </c>
      <c r="H108" s="508" t="str">
        <f>IF(op!H40="","",op!H40)</f>
        <v/>
      </c>
      <c r="I108" s="132" t="str">
        <f>IF(op!I40=0,"",op!I40)</f>
        <v/>
      </c>
      <c r="J108" s="150" t="str">
        <f>IF(E108="","",(IF(op!J40+1&gt;LOOKUP(I108,schaal2011,regels2011),op!J40,op!J40+1)))</f>
        <v/>
      </c>
      <c r="K108" s="509" t="str">
        <f>IF(op!K40="","",op!K40)</f>
        <v/>
      </c>
      <c r="L108" s="510" t="str">
        <f>IF(op!L40="","",op!L40)</f>
        <v/>
      </c>
      <c r="M108" s="511" t="str">
        <f t="shared" si="22"/>
        <v/>
      </c>
      <c r="N108" s="109"/>
      <c r="O108" s="513" t="str">
        <f>IF(I108="","",VLOOKUP(I108,tab!$A$68:$V$108,J108+2,FALSE))</f>
        <v/>
      </c>
      <c r="P108" s="514" t="str">
        <f t="shared" si="23"/>
        <v/>
      </c>
      <c r="Q108" s="1173">
        <f t="shared" si="32"/>
        <v>0.62</v>
      </c>
      <c r="R108" s="514" t="str">
        <f t="shared" si="24"/>
        <v/>
      </c>
      <c r="S108" s="514">
        <f>IF(L108="",0,(((O108*12)*L108)*(1+tab!$D$55)*tab!$F$57))</f>
        <v>0</v>
      </c>
      <c r="T108" s="1131">
        <f t="shared" si="25"/>
        <v>0</v>
      </c>
      <c r="U108" s="219">
        <f t="shared" si="26"/>
        <v>0</v>
      </c>
      <c r="V108" s="1145">
        <f t="shared" si="27"/>
        <v>0</v>
      </c>
      <c r="W108" s="124"/>
      <c r="X108" s="91"/>
      <c r="AA108" s="642" t="e">
        <f>DATE(YEAR(tab!$F$3),MONTH(H108),DAY(H108))&gt;tab!$F$3</f>
        <v>#VALUE!</v>
      </c>
      <c r="AB108" s="643" t="e">
        <f t="shared" si="28"/>
        <v>#VALUE!</v>
      </c>
      <c r="AC108" s="244">
        <f t="shared" si="29"/>
        <v>30</v>
      </c>
      <c r="AD108" s="244">
        <f t="shared" si="30"/>
        <v>30</v>
      </c>
      <c r="AE108" s="643">
        <f t="shared" si="31"/>
        <v>0</v>
      </c>
      <c r="AK108" s="552"/>
    </row>
    <row r="109" spans="2:37" ht="12.75" customHeight="1" x14ac:dyDescent="0.2">
      <c r="B109" s="87"/>
      <c r="C109" s="108"/>
      <c r="D109" s="115" t="str">
        <f>IF(op!D41="","",op!D41)</f>
        <v/>
      </c>
      <c r="E109" s="115" t="str">
        <f>IF(op!E41=0,"",op!E41)</f>
        <v/>
      </c>
      <c r="F109" s="115" t="str">
        <f>IF(op!F41=0,"",op!F41)</f>
        <v/>
      </c>
      <c r="G109" s="132" t="str">
        <f>IF(op!G41="","",op!G41+1)</f>
        <v/>
      </c>
      <c r="H109" s="508" t="str">
        <f>IF(op!H41="","",op!H41)</f>
        <v/>
      </c>
      <c r="I109" s="132" t="str">
        <f>IF(op!I41=0,"",op!I41)</f>
        <v/>
      </c>
      <c r="J109" s="150" t="str">
        <f>IF(E109="","",(IF(op!J41+1&gt;LOOKUP(I109,schaal2011,regels2011),op!J41,op!J41+1)))</f>
        <v/>
      </c>
      <c r="K109" s="509" t="str">
        <f>IF(op!K41="","",op!K41)</f>
        <v/>
      </c>
      <c r="L109" s="510" t="str">
        <f>IF(op!L41="","",op!L41)</f>
        <v/>
      </c>
      <c r="M109" s="511" t="str">
        <f t="shared" si="22"/>
        <v/>
      </c>
      <c r="N109" s="109"/>
      <c r="O109" s="513" t="str">
        <f>IF(I109="","",VLOOKUP(I109,tab!$A$68:$V$108,J109+2,FALSE))</f>
        <v/>
      </c>
      <c r="P109" s="514" t="str">
        <f t="shared" si="23"/>
        <v/>
      </c>
      <c r="Q109" s="1173">
        <f t="shared" si="32"/>
        <v>0.62</v>
      </c>
      <c r="R109" s="514" t="str">
        <f t="shared" si="24"/>
        <v/>
      </c>
      <c r="S109" s="514">
        <f>IF(L109="",0,(((O109*12)*L109)*(1+tab!$D$55)*tab!$F$57))</f>
        <v>0</v>
      </c>
      <c r="T109" s="1131">
        <f t="shared" si="25"/>
        <v>0</v>
      </c>
      <c r="U109" s="219">
        <f t="shared" si="26"/>
        <v>0</v>
      </c>
      <c r="V109" s="1145">
        <f t="shared" si="27"/>
        <v>0</v>
      </c>
      <c r="W109" s="124"/>
      <c r="X109" s="91"/>
      <c r="AA109" s="642" t="e">
        <f>DATE(YEAR(tab!$F$3),MONTH(H109),DAY(H109))&gt;tab!$F$3</f>
        <v>#VALUE!</v>
      </c>
      <c r="AB109" s="643" t="e">
        <f t="shared" si="28"/>
        <v>#VALUE!</v>
      </c>
      <c r="AC109" s="244">
        <f t="shared" si="29"/>
        <v>30</v>
      </c>
      <c r="AD109" s="244">
        <f t="shared" si="30"/>
        <v>30</v>
      </c>
      <c r="AE109" s="643">
        <f t="shared" si="31"/>
        <v>0</v>
      </c>
      <c r="AK109" s="552"/>
    </row>
    <row r="110" spans="2:37" ht="12.75" customHeight="1" x14ac:dyDescent="0.2">
      <c r="B110" s="87"/>
      <c r="C110" s="108"/>
      <c r="D110" s="115" t="str">
        <f>IF(op!D42="","",op!D42)</f>
        <v/>
      </c>
      <c r="E110" s="115" t="str">
        <f>IF(op!E42=0,"",op!E42)</f>
        <v/>
      </c>
      <c r="F110" s="115" t="str">
        <f>IF(op!F42=0,"",op!F42)</f>
        <v/>
      </c>
      <c r="G110" s="132" t="str">
        <f>IF(op!G42="","",op!G42+1)</f>
        <v/>
      </c>
      <c r="H110" s="508" t="str">
        <f>IF(op!H42="","",op!H42)</f>
        <v/>
      </c>
      <c r="I110" s="132" t="str">
        <f>IF(op!I42=0,"",op!I42)</f>
        <v/>
      </c>
      <c r="J110" s="150" t="str">
        <f>IF(E110="","",(IF(op!J42+1&gt;LOOKUP(I110,schaal2011,regels2011),op!J42,op!J42+1)))</f>
        <v/>
      </c>
      <c r="K110" s="509" t="str">
        <f>IF(op!K42="","",op!K42)</f>
        <v/>
      </c>
      <c r="L110" s="510" t="str">
        <f>IF(op!L42="","",op!L42)</f>
        <v/>
      </c>
      <c r="M110" s="511" t="str">
        <f t="shared" si="22"/>
        <v/>
      </c>
      <c r="N110" s="109"/>
      <c r="O110" s="513" t="str">
        <f>IF(I110="","",VLOOKUP(I110,tab!$A$68:$V$108,J110+2,FALSE))</f>
        <v/>
      </c>
      <c r="P110" s="514" t="str">
        <f t="shared" si="23"/>
        <v/>
      </c>
      <c r="Q110" s="1173">
        <f t="shared" si="32"/>
        <v>0.62</v>
      </c>
      <c r="R110" s="514" t="str">
        <f t="shared" si="24"/>
        <v/>
      </c>
      <c r="S110" s="514">
        <f>IF(L110="",0,(((O110*12)*L110)*(1+tab!$D$55)*tab!$F$57))</f>
        <v>0</v>
      </c>
      <c r="T110" s="1131">
        <f t="shared" si="25"/>
        <v>0</v>
      </c>
      <c r="U110" s="219">
        <f t="shared" si="26"/>
        <v>0</v>
      </c>
      <c r="V110" s="1145">
        <f t="shared" si="27"/>
        <v>0</v>
      </c>
      <c r="W110" s="124"/>
      <c r="X110" s="91"/>
      <c r="AA110" s="642" t="e">
        <f>DATE(YEAR(tab!$F$3),MONTH(H110),DAY(H110))&gt;tab!$F$3</f>
        <v>#VALUE!</v>
      </c>
      <c r="AB110" s="643" t="e">
        <f t="shared" si="28"/>
        <v>#VALUE!</v>
      </c>
      <c r="AC110" s="244">
        <f t="shared" si="29"/>
        <v>30</v>
      </c>
      <c r="AD110" s="244">
        <f t="shared" si="30"/>
        <v>30</v>
      </c>
      <c r="AE110" s="643">
        <f t="shared" si="31"/>
        <v>0</v>
      </c>
      <c r="AK110" s="552"/>
    </row>
    <row r="111" spans="2:37" ht="12.75" customHeight="1" x14ac:dyDescent="0.2">
      <c r="B111" s="87"/>
      <c r="C111" s="108"/>
      <c r="D111" s="115" t="str">
        <f>IF(op!D43="","",op!D43)</f>
        <v/>
      </c>
      <c r="E111" s="115" t="str">
        <f>IF(op!E43=0,"",op!E43)</f>
        <v/>
      </c>
      <c r="F111" s="115" t="str">
        <f>IF(op!F43=0,"",op!F43)</f>
        <v/>
      </c>
      <c r="G111" s="132" t="str">
        <f>IF(op!G43="","",op!G43+1)</f>
        <v/>
      </c>
      <c r="H111" s="508" t="str">
        <f>IF(op!H43="","",op!H43)</f>
        <v/>
      </c>
      <c r="I111" s="132" t="str">
        <f>IF(op!I43=0,"",op!I43)</f>
        <v/>
      </c>
      <c r="J111" s="150" t="str">
        <f>IF(E111="","",(IF(op!J43+1&gt;LOOKUP(I111,schaal2011,regels2011),op!J43,op!J43+1)))</f>
        <v/>
      </c>
      <c r="K111" s="509" t="str">
        <f>IF(op!K43="","",op!K43)</f>
        <v/>
      </c>
      <c r="L111" s="510" t="str">
        <f>IF(op!L43="","",op!L43)</f>
        <v/>
      </c>
      <c r="M111" s="511" t="str">
        <f t="shared" si="22"/>
        <v/>
      </c>
      <c r="N111" s="109"/>
      <c r="O111" s="513" t="str">
        <f>IF(I111="","",VLOOKUP(I111,tab!$A$68:$V$108,J111+2,FALSE))</f>
        <v/>
      </c>
      <c r="P111" s="514" t="str">
        <f t="shared" si="23"/>
        <v/>
      </c>
      <c r="Q111" s="1173">
        <f t="shared" si="32"/>
        <v>0.62</v>
      </c>
      <c r="R111" s="514" t="str">
        <f t="shared" si="24"/>
        <v/>
      </c>
      <c r="S111" s="514">
        <f>IF(L111="",0,(((O111*12)*L111)*(1+tab!$D$55)*tab!$F$57))</f>
        <v>0</v>
      </c>
      <c r="T111" s="1131">
        <f t="shared" si="25"/>
        <v>0</v>
      </c>
      <c r="U111" s="219">
        <f t="shared" si="26"/>
        <v>0</v>
      </c>
      <c r="V111" s="1145">
        <f t="shared" si="27"/>
        <v>0</v>
      </c>
      <c r="W111" s="124"/>
      <c r="X111" s="91"/>
      <c r="AA111" s="642" t="e">
        <f>DATE(YEAR(tab!$F$3),MONTH(H111),DAY(H111))&gt;tab!$F$3</f>
        <v>#VALUE!</v>
      </c>
      <c r="AB111" s="643" t="e">
        <f t="shared" si="28"/>
        <v>#VALUE!</v>
      </c>
      <c r="AC111" s="244">
        <f t="shared" si="29"/>
        <v>30</v>
      </c>
      <c r="AD111" s="244">
        <f t="shared" si="30"/>
        <v>30</v>
      </c>
      <c r="AE111" s="643">
        <f t="shared" si="31"/>
        <v>0</v>
      </c>
      <c r="AK111" s="552"/>
    </row>
    <row r="112" spans="2:37" ht="12.75" customHeight="1" x14ac:dyDescent="0.2">
      <c r="B112" s="87"/>
      <c r="C112" s="108"/>
      <c r="D112" s="115" t="str">
        <f>IF(op!D44="","",op!D44)</f>
        <v/>
      </c>
      <c r="E112" s="115" t="str">
        <f>IF(op!E44=0,"",op!E44)</f>
        <v/>
      </c>
      <c r="F112" s="115" t="str">
        <f>IF(op!F44=0,"",op!F44)</f>
        <v/>
      </c>
      <c r="G112" s="132" t="str">
        <f>IF(op!G44="","",op!G44+1)</f>
        <v/>
      </c>
      <c r="H112" s="508" t="str">
        <f>IF(op!H44="","",op!H44)</f>
        <v/>
      </c>
      <c r="I112" s="132" t="str">
        <f>IF(op!I44=0,"",op!I44)</f>
        <v/>
      </c>
      <c r="J112" s="150" t="str">
        <f>IF(E112="","",(IF(op!J44+1&gt;LOOKUP(I112,schaal2011,regels2011),op!J44,op!J44+1)))</f>
        <v/>
      </c>
      <c r="K112" s="509" t="str">
        <f>IF(op!K44="","",op!K44)</f>
        <v/>
      </c>
      <c r="L112" s="510" t="str">
        <f>IF(op!L44="","",op!L44)</f>
        <v/>
      </c>
      <c r="M112" s="511" t="str">
        <f t="shared" si="22"/>
        <v/>
      </c>
      <c r="N112" s="109"/>
      <c r="O112" s="513" t="str">
        <f>IF(I112="","",VLOOKUP(I112,tab!$A$68:$V$108,J112+2,FALSE))</f>
        <v/>
      </c>
      <c r="P112" s="514" t="str">
        <f t="shared" si="23"/>
        <v/>
      </c>
      <c r="Q112" s="1173">
        <f t="shared" si="32"/>
        <v>0.62</v>
      </c>
      <c r="R112" s="514" t="str">
        <f t="shared" si="24"/>
        <v/>
      </c>
      <c r="S112" s="514">
        <f>IF(L112="",0,(((O112*12)*L112)*(1+tab!$D$55)*tab!$F$57))</f>
        <v>0</v>
      </c>
      <c r="T112" s="1131">
        <f t="shared" si="25"/>
        <v>0</v>
      </c>
      <c r="U112" s="219">
        <f t="shared" si="26"/>
        <v>0</v>
      </c>
      <c r="V112" s="1145">
        <f t="shared" si="27"/>
        <v>0</v>
      </c>
      <c r="W112" s="124"/>
      <c r="X112" s="91"/>
      <c r="AA112" s="642" t="e">
        <f>DATE(YEAR(tab!$F$3),MONTH(H112),DAY(H112))&gt;tab!$F$3</f>
        <v>#VALUE!</v>
      </c>
      <c r="AB112" s="643" t="e">
        <f t="shared" si="28"/>
        <v>#VALUE!</v>
      </c>
      <c r="AC112" s="244">
        <f t="shared" si="29"/>
        <v>30</v>
      </c>
      <c r="AD112" s="244">
        <f t="shared" si="30"/>
        <v>30</v>
      </c>
      <c r="AE112" s="643">
        <f t="shared" si="31"/>
        <v>0</v>
      </c>
      <c r="AK112" s="552"/>
    </row>
    <row r="113" spans="2:37" ht="12.75" customHeight="1" x14ac:dyDescent="0.2">
      <c r="B113" s="87"/>
      <c r="C113" s="108"/>
      <c r="D113" s="115" t="str">
        <f>IF(op!D45="","",op!D45)</f>
        <v/>
      </c>
      <c r="E113" s="115" t="str">
        <f>IF(op!E45=0,"",op!E45)</f>
        <v/>
      </c>
      <c r="F113" s="115" t="str">
        <f>IF(op!F45=0,"",op!F45)</f>
        <v/>
      </c>
      <c r="G113" s="132" t="str">
        <f>IF(op!G45="","",op!G45+1)</f>
        <v/>
      </c>
      <c r="H113" s="508" t="str">
        <f>IF(op!H45="","",op!H45)</f>
        <v/>
      </c>
      <c r="I113" s="132" t="str">
        <f>IF(op!I45=0,"",op!I45)</f>
        <v/>
      </c>
      <c r="J113" s="150" t="str">
        <f>IF(E113="","",(IF(op!J45+1&gt;LOOKUP(I113,schaal2011,regels2011),op!J45,op!J45+1)))</f>
        <v/>
      </c>
      <c r="K113" s="509" t="str">
        <f>IF(op!K45="","",op!K45)</f>
        <v/>
      </c>
      <c r="L113" s="510" t="str">
        <f>IF(op!L45="","",op!L45)</f>
        <v/>
      </c>
      <c r="M113" s="511" t="str">
        <f t="shared" si="22"/>
        <v/>
      </c>
      <c r="N113" s="109"/>
      <c r="O113" s="513" t="str">
        <f>IF(I113="","",VLOOKUP(I113,tab!$A$68:$V$108,J113+2,FALSE))</f>
        <v/>
      </c>
      <c r="P113" s="514" t="str">
        <f t="shared" si="23"/>
        <v/>
      </c>
      <c r="Q113" s="1173">
        <f t="shared" si="32"/>
        <v>0.62</v>
      </c>
      <c r="R113" s="514" t="str">
        <f t="shared" si="24"/>
        <v/>
      </c>
      <c r="S113" s="514">
        <f>IF(L113="",0,(((O113*12)*L113)*(1+tab!$D$55)*tab!$F$57))</f>
        <v>0</v>
      </c>
      <c r="T113" s="1131">
        <f t="shared" si="25"/>
        <v>0</v>
      </c>
      <c r="U113" s="219">
        <f t="shared" si="26"/>
        <v>0</v>
      </c>
      <c r="V113" s="1145">
        <f t="shared" si="27"/>
        <v>0</v>
      </c>
      <c r="W113" s="124"/>
      <c r="X113" s="91"/>
      <c r="AA113" s="642" t="e">
        <f>DATE(YEAR(tab!$F$3),MONTH(H113),DAY(H113))&gt;tab!$F$3</f>
        <v>#VALUE!</v>
      </c>
      <c r="AB113" s="643" t="e">
        <f t="shared" si="28"/>
        <v>#VALUE!</v>
      </c>
      <c r="AC113" s="244">
        <f t="shared" si="29"/>
        <v>30</v>
      </c>
      <c r="AD113" s="244">
        <f t="shared" si="30"/>
        <v>30</v>
      </c>
      <c r="AE113" s="643">
        <f t="shared" si="31"/>
        <v>0</v>
      </c>
      <c r="AK113" s="552"/>
    </row>
    <row r="114" spans="2:37" ht="12.75" customHeight="1" x14ac:dyDescent="0.2">
      <c r="B114" s="87"/>
      <c r="C114" s="108"/>
      <c r="D114" s="115" t="str">
        <f>IF(op!D46="","",op!D46)</f>
        <v/>
      </c>
      <c r="E114" s="115" t="str">
        <f>IF(op!E46=0,"",op!E46)</f>
        <v/>
      </c>
      <c r="F114" s="115" t="str">
        <f>IF(op!F46=0,"",op!F46)</f>
        <v/>
      </c>
      <c r="G114" s="132" t="str">
        <f>IF(op!G46="","",op!G46+1)</f>
        <v/>
      </c>
      <c r="H114" s="508" t="str">
        <f>IF(op!H46="","",op!H46)</f>
        <v/>
      </c>
      <c r="I114" s="132" t="str">
        <f>IF(op!I46=0,"",op!I46)</f>
        <v/>
      </c>
      <c r="J114" s="150" t="str">
        <f>IF(E114="","",(IF(op!J46+1&gt;LOOKUP(I114,schaal2011,regels2011),op!J46,op!J46+1)))</f>
        <v/>
      </c>
      <c r="K114" s="509" t="str">
        <f>IF(op!K46="","",op!K46)</f>
        <v/>
      </c>
      <c r="L114" s="510" t="str">
        <f>IF(op!L46="","",op!L46)</f>
        <v/>
      </c>
      <c r="M114" s="511" t="str">
        <f t="shared" si="22"/>
        <v/>
      </c>
      <c r="N114" s="109"/>
      <c r="O114" s="513" t="str">
        <f>IF(I114="","",VLOOKUP(I114,tab!$A$68:$V$108,J114+2,FALSE))</f>
        <v/>
      </c>
      <c r="P114" s="514" t="str">
        <f t="shared" si="23"/>
        <v/>
      </c>
      <c r="Q114" s="1173">
        <f t="shared" si="32"/>
        <v>0.62</v>
      </c>
      <c r="R114" s="514" t="str">
        <f t="shared" si="24"/>
        <v/>
      </c>
      <c r="S114" s="514">
        <f>IF(L114="",0,(((O114*12)*L114)*(1+tab!$D$55)*tab!$F$57))</f>
        <v>0</v>
      </c>
      <c r="T114" s="1131">
        <f t="shared" si="25"/>
        <v>0</v>
      </c>
      <c r="U114" s="219">
        <f t="shared" si="26"/>
        <v>0</v>
      </c>
      <c r="V114" s="1145">
        <f t="shared" si="27"/>
        <v>0</v>
      </c>
      <c r="W114" s="124"/>
      <c r="X114" s="91"/>
      <c r="AA114" s="642" t="e">
        <f>DATE(YEAR(tab!$F$3),MONTH(H114),DAY(H114))&gt;tab!$F$3</f>
        <v>#VALUE!</v>
      </c>
      <c r="AB114" s="643" t="e">
        <f t="shared" si="28"/>
        <v>#VALUE!</v>
      </c>
      <c r="AC114" s="244">
        <f t="shared" si="29"/>
        <v>30</v>
      </c>
      <c r="AD114" s="244">
        <f t="shared" si="30"/>
        <v>30</v>
      </c>
      <c r="AE114" s="643">
        <f t="shared" si="31"/>
        <v>0</v>
      </c>
      <c r="AK114" s="552"/>
    </row>
    <row r="115" spans="2:37" ht="12.75" customHeight="1" x14ac:dyDescent="0.2">
      <c r="B115" s="87"/>
      <c r="C115" s="108"/>
      <c r="D115" s="115" t="str">
        <f>IF(op!D47="","",op!D47)</f>
        <v/>
      </c>
      <c r="E115" s="115" t="str">
        <f>IF(op!E47=0,"",op!E47)</f>
        <v/>
      </c>
      <c r="F115" s="115" t="str">
        <f>IF(op!F47=0,"",op!F47)</f>
        <v/>
      </c>
      <c r="G115" s="132" t="str">
        <f>IF(op!G47="","",op!G47+1)</f>
        <v/>
      </c>
      <c r="H115" s="508" t="str">
        <f>IF(op!H47="","",op!H47)</f>
        <v/>
      </c>
      <c r="I115" s="132" t="str">
        <f>IF(op!I47=0,"",op!I47)</f>
        <v/>
      </c>
      <c r="J115" s="150" t="str">
        <f>IF(E115="","",(IF(op!J47+1&gt;LOOKUP(I115,schaal2011,regels2011),op!J47,op!J47+1)))</f>
        <v/>
      </c>
      <c r="K115" s="509" t="str">
        <f>IF(op!K47="","",op!K47)</f>
        <v/>
      </c>
      <c r="L115" s="510" t="str">
        <f>IF(op!L47="","",op!L47)</f>
        <v/>
      </c>
      <c r="M115" s="511" t="str">
        <f t="shared" si="22"/>
        <v/>
      </c>
      <c r="N115" s="109"/>
      <c r="O115" s="513" t="str">
        <f>IF(I115="","",VLOOKUP(I115,tab!$A$68:$V$108,J115+2,FALSE))</f>
        <v/>
      </c>
      <c r="P115" s="514" t="str">
        <f t="shared" si="23"/>
        <v/>
      </c>
      <c r="Q115" s="1173">
        <f t="shared" si="32"/>
        <v>0.62</v>
      </c>
      <c r="R115" s="514" t="str">
        <f t="shared" si="24"/>
        <v/>
      </c>
      <c r="S115" s="514">
        <f>IF(L115="",0,(((O115*12)*L115)*(1+tab!$D$55)*tab!$F$57))</f>
        <v>0</v>
      </c>
      <c r="T115" s="1131">
        <f t="shared" si="25"/>
        <v>0</v>
      </c>
      <c r="U115" s="219">
        <f t="shared" si="26"/>
        <v>0</v>
      </c>
      <c r="V115" s="1145">
        <f t="shared" si="27"/>
        <v>0</v>
      </c>
      <c r="W115" s="124"/>
      <c r="X115" s="91"/>
      <c r="AA115" s="642" t="e">
        <f>DATE(YEAR(tab!$F$3),MONTH(H115),DAY(H115))&gt;tab!$F$3</f>
        <v>#VALUE!</v>
      </c>
      <c r="AB115" s="643" t="e">
        <f t="shared" si="28"/>
        <v>#VALUE!</v>
      </c>
      <c r="AC115" s="244">
        <f t="shared" si="29"/>
        <v>30</v>
      </c>
      <c r="AD115" s="244">
        <f t="shared" si="30"/>
        <v>30</v>
      </c>
      <c r="AE115" s="643">
        <f t="shared" si="31"/>
        <v>0</v>
      </c>
      <c r="AK115" s="552"/>
    </row>
    <row r="116" spans="2:37" ht="12.75" customHeight="1" x14ac:dyDescent="0.2">
      <c r="B116" s="87"/>
      <c r="C116" s="108"/>
      <c r="D116" s="115" t="str">
        <f>IF(op!D48="","",op!D48)</f>
        <v/>
      </c>
      <c r="E116" s="115" t="str">
        <f>IF(op!E48=0,"",op!E48)</f>
        <v/>
      </c>
      <c r="F116" s="115" t="str">
        <f>IF(op!F48=0,"",op!F48)</f>
        <v/>
      </c>
      <c r="G116" s="132" t="str">
        <f>IF(op!G48="","",op!G48+1)</f>
        <v/>
      </c>
      <c r="H116" s="508" t="str">
        <f>IF(op!H48="","",op!H48)</f>
        <v/>
      </c>
      <c r="I116" s="132" t="str">
        <f>IF(op!I48=0,"",op!I48)</f>
        <v/>
      </c>
      <c r="J116" s="150" t="str">
        <f>IF(E116="","",(IF(op!J48+1&gt;LOOKUP(I116,schaal2011,regels2011),op!J48,op!J48+1)))</f>
        <v/>
      </c>
      <c r="K116" s="509" t="str">
        <f>IF(op!K48="","",op!K48)</f>
        <v/>
      </c>
      <c r="L116" s="510" t="str">
        <f>IF(op!L48="","",op!L48)</f>
        <v/>
      </c>
      <c r="M116" s="511" t="str">
        <f t="shared" ref="M116:M138" si="33">(IF(L116="",(K116),(K116)-L116))</f>
        <v/>
      </c>
      <c r="N116" s="109"/>
      <c r="O116" s="513" t="str">
        <f>IF(I116="","",VLOOKUP(I116,tab!$A$68:$V$108,J116+2,FALSE))</f>
        <v/>
      </c>
      <c r="P116" s="514" t="str">
        <f t="shared" ref="P116:P138" si="34">IF(E116="","",(O116*M116*12))</f>
        <v/>
      </c>
      <c r="Q116" s="1173">
        <f t="shared" si="32"/>
        <v>0.62</v>
      </c>
      <c r="R116" s="514" t="str">
        <f t="shared" ref="R116:R138" si="35">IF(E116="","",(P116)*Q116)</f>
        <v/>
      </c>
      <c r="S116" s="514">
        <f>IF(L116="",0,(((O116*12)*L116)*(1+tab!$D$55)*tab!$F$57))</f>
        <v>0</v>
      </c>
      <c r="T116" s="1131">
        <f t="shared" ref="T116:T138" si="36">IF(E116="",0,(P116+R116+S116))</f>
        <v>0</v>
      </c>
      <c r="U116" s="219">
        <f t="shared" si="26"/>
        <v>0</v>
      </c>
      <c r="V116" s="1145">
        <f t="shared" ref="V116:V138" si="37">IF(U116=25,(O116*1.08*(K116)/2),IF(U116=40,(O116*1.08*(K116)),IF(U116=0,0)))</f>
        <v>0</v>
      </c>
      <c r="W116" s="124"/>
      <c r="X116" s="91"/>
      <c r="AA116" s="642" t="e">
        <f>DATE(YEAR(tab!$F$3),MONTH(H116),DAY(H116))&gt;tab!$F$3</f>
        <v>#VALUE!</v>
      </c>
      <c r="AB116" s="643" t="e">
        <f t="shared" ref="AB116:AB138" si="38">YEAR($E$77)-YEAR(H116)-AA116</f>
        <v>#VALUE!</v>
      </c>
      <c r="AC116" s="244">
        <f t="shared" ref="AC116:AC138" si="39">IF((H116=""),30,AB116)</f>
        <v>30</v>
      </c>
      <c r="AD116" s="244">
        <f t="shared" si="30"/>
        <v>30</v>
      </c>
      <c r="AE116" s="643">
        <f t="shared" ref="AE116:AE138" si="40">ROUND((AD116*(SUM(K116:K116))),2)</f>
        <v>0</v>
      </c>
      <c r="AK116" s="552"/>
    </row>
    <row r="117" spans="2:37" ht="12.75" customHeight="1" x14ac:dyDescent="0.2">
      <c r="B117" s="87"/>
      <c r="C117" s="108"/>
      <c r="D117" s="115" t="str">
        <f>IF(op!D49="","",op!D49)</f>
        <v/>
      </c>
      <c r="E117" s="115" t="str">
        <f>IF(op!E49=0,"",op!E49)</f>
        <v/>
      </c>
      <c r="F117" s="115" t="str">
        <f>IF(op!F49=0,"",op!F49)</f>
        <v/>
      </c>
      <c r="G117" s="132" t="str">
        <f>IF(op!G49="","",op!G49+1)</f>
        <v/>
      </c>
      <c r="H117" s="508" t="str">
        <f>IF(op!H49="","",op!H49)</f>
        <v/>
      </c>
      <c r="I117" s="132" t="str">
        <f>IF(op!I49=0,"",op!I49)</f>
        <v/>
      </c>
      <c r="J117" s="150" t="str">
        <f>IF(E117="","",(IF(op!J49+1&gt;LOOKUP(I117,schaal2011,regels2011),op!J49,op!J49+1)))</f>
        <v/>
      </c>
      <c r="K117" s="509" t="str">
        <f>IF(op!K49="","",op!K49)</f>
        <v/>
      </c>
      <c r="L117" s="510" t="str">
        <f>IF(op!L49="","",op!L49)</f>
        <v/>
      </c>
      <c r="M117" s="511" t="str">
        <f t="shared" si="33"/>
        <v/>
      </c>
      <c r="N117" s="109"/>
      <c r="O117" s="513" t="str">
        <f>IF(I117="","",VLOOKUP(I117,tab!$A$68:$V$108,J117+2,FALSE))</f>
        <v/>
      </c>
      <c r="P117" s="514" t="str">
        <f t="shared" si="34"/>
        <v/>
      </c>
      <c r="Q117" s="1173">
        <f t="shared" si="32"/>
        <v>0.62</v>
      </c>
      <c r="R117" s="514" t="str">
        <f t="shared" si="35"/>
        <v/>
      </c>
      <c r="S117" s="514">
        <f>IF(L117="",0,(((O117*12)*L117)*(1+tab!$D$55)*tab!$F$57))</f>
        <v>0</v>
      </c>
      <c r="T117" s="1131">
        <f t="shared" si="36"/>
        <v>0</v>
      </c>
      <c r="U117" s="219">
        <f t="shared" si="26"/>
        <v>0</v>
      </c>
      <c r="V117" s="1145">
        <f t="shared" si="37"/>
        <v>0</v>
      </c>
      <c r="W117" s="124"/>
      <c r="X117" s="91"/>
      <c r="AA117" s="642" t="e">
        <f>DATE(YEAR(tab!$F$3),MONTH(H117),DAY(H117))&gt;tab!$F$3</f>
        <v>#VALUE!</v>
      </c>
      <c r="AB117" s="643" t="e">
        <f t="shared" si="38"/>
        <v>#VALUE!</v>
      </c>
      <c r="AC117" s="244">
        <f t="shared" si="39"/>
        <v>30</v>
      </c>
      <c r="AD117" s="244">
        <f t="shared" si="30"/>
        <v>30</v>
      </c>
      <c r="AE117" s="643">
        <f t="shared" si="40"/>
        <v>0</v>
      </c>
      <c r="AK117" s="552"/>
    </row>
    <row r="118" spans="2:37" ht="12.75" customHeight="1" x14ac:dyDescent="0.2">
      <c r="B118" s="87"/>
      <c r="C118" s="108"/>
      <c r="D118" s="115" t="str">
        <f>IF(op!D50="","",op!D50)</f>
        <v/>
      </c>
      <c r="E118" s="115" t="str">
        <f>IF(op!E50=0,"",op!E50)</f>
        <v/>
      </c>
      <c r="F118" s="115" t="str">
        <f>IF(op!F50=0,"",op!F50)</f>
        <v/>
      </c>
      <c r="G118" s="132" t="str">
        <f>IF(op!G50="","",op!G50+1)</f>
        <v/>
      </c>
      <c r="H118" s="508" t="str">
        <f>IF(op!H50="","",op!H50)</f>
        <v/>
      </c>
      <c r="I118" s="132" t="str">
        <f>IF(op!I50=0,"",op!I50)</f>
        <v/>
      </c>
      <c r="J118" s="150" t="str">
        <f>IF(E118="","",(IF(op!J50+1&gt;LOOKUP(I118,schaal2011,regels2011),op!J50,op!J50+1)))</f>
        <v/>
      </c>
      <c r="K118" s="509" t="str">
        <f>IF(op!K50="","",op!K50)</f>
        <v/>
      </c>
      <c r="L118" s="510" t="str">
        <f>IF(op!L50="","",op!L50)</f>
        <v/>
      </c>
      <c r="M118" s="511" t="str">
        <f t="shared" si="33"/>
        <v/>
      </c>
      <c r="N118" s="109"/>
      <c r="O118" s="513" t="str">
        <f>IF(I118="","",VLOOKUP(I118,tab!$A$68:$V$108,J118+2,FALSE))</f>
        <v/>
      </c>
      <c r="P118" s="514" t="str">
        <f t="shared" si="34"/>
        <v/>
      </c>
      <c r="Q118" s="1173">
        <f t="shared" si="32"/>
        <v>0.62</v>
      </c>
      <c r="R118" s="514" t="str">
        <f t="shared" si="35"/>
        <v/>
      </c>
      <c r="S118" s="514">
        <f>IF(L118="",0,(((O118*12)*L118)*(1+tab!$D$55)*tab!$F$57))</f>
        <v>0</v>
      </c>
      <c r="T118" s="1131">
        <f t="shared" si="36"/>
        <v>0</v>
      </c>
      <c r="U118" s="219">
        <f t="shared" si="26"/>
        <v>0</v>
      </c>
      <c r="V118" s="1145">
        <f t="shared" si="37"/>
        <v>0</v>
      </c>
      <c r="W118" s="124"/>
      <c r="X118" s="91"/>
      <c r="AA118" s="642" t="e">
        <f>DATE(YEAR(tab!$F$3),MONTH(H118),DAY(H118))&gt;tab!$F$3</f>
        <v>#VALUE!</v>
      </c>
      <c r="AB118" s="643" t="e">
        <f t="shared" si="38"/>
        <v>#VALUE!</v>
      </c>
      <c r="AC118" s="244">
        <f t="shared" si="39"/>
        <v>30</v>
      </c>
      <c r="AD118" s="244">
        <f t="shared" si="30"/>
        <v>30</v>
      </c>
      <c r="AE118" s="643">
        <f t="shared" si="40"/>
        <v>0</v>
      </c>
      <c r="AK118" s="552"/>
    </row>
    <row r="119" spans="2:37" ht="12.75" customHeight="1" x14ac:dyDescent="0.2">
      <c r="B119" s="87"/>
      <c r="C119" s="108"/>
      <c r="D119" s="115" t="str">
        <f>IF(op!D51="","",op!D51)</f>
        <v/>
      </c>
      <c r="E119" s="115" t="str">
        <f>IF(op!E51=0,"",op!E51)</f>
        <v/>
      </c>
      <c r="F119" s="115" t="str">
        <f>IF(op!F51=0,"",op!F51)</f>
        <v/>
      </c>
      <c r="G119" s="132" t="str">
        <f>IF(op!G51="","",op!G51+1)</f>
        <v/>
      </c>
      <c r="H119" s="508" t="str">
        <f>IF(op!H51="","",op!H51)</f>
        <v/>
      </c>
      <c r="I119" s="132" t="str">
        <f>IF(op!I51=0,"",op!I51)</f>
        <v/>
      </c>
      <c r="J119" s="150" t="str">
        <f>IF(E119="","",(IF(op!J51+1&gt;LOOKUP(I119,schaal2011,regels2011),op!J51,op!J51+1)))</f>
        <v/>
      </c>
      <c r="K119" s="509" t="str">
        <f>IF(op!K51="","",op!K51)</f>
        <v/>
      </c>
      <c r="L119" s="510" t="str">
        <f>IF(op!L51="","",op!L51)</f>
        <v/>
      </c>
      <c r="M119" s="511" t="str">
        <f t="shared" si="33"/>
        <v/>
      </c>
      <c r="N119" s="109"/>
      <c r="O119" s="513" t="str">
        <f>IF(I119="","",VLOOKUP(I119,tab!$A$68:$V$108,J119+2,FALSE))</f>
        <v/>
      </c>
      <c r="P119" s="514" t="str">
        <f t="shared" si="34"/>
        <v/>
      </c>
      <c r="Q119" s="1173">
        <f t="shared" si="32"/>
        <v>0.62</v>
      </c>
      <c r="R119" s="514" t="str">
        <f t="shared" si="35"/>
        <v/>
      </c>
      <c r="S119" s="514">
        <f>IF(L119="",0,(((O119*12)*L119)*(1+tab!$D$55)*tab!$F$57))</f>
        <v>0</v>
      </c>
      <c r="T119" s="1131">
        <f t="shared" si="36"/>
        <v>0</v>
      </c>
      <c r="U119" s="219">
        <f t="shared" si="26"/>
        <v>0</v>
      </c>
      <c r="V119" s="1145">
        <f t="shared" si="37"/>
        <v>0</v>
      </c>
      <c r="W119" s="124"/>
      <c r="X119" s="91"/>
      <c r="AA119" s="642" t="e">
        <f>DATE(YEAR(tab!$F$3),MONTH(H119),DAY(H119))&gt;tab!$F$3</f>
        <v>#VALUE!</v>
      </c>
      <c r="AB119" s="643" t="e">
        <f t="shared" si="38"/>
        <v>#VALUE!</v>
      </c>
      <c r="AC119" s="244">
        <f t="shared" si="39"/>
        <v>30</v>
      </c>
      <c r="AD119" s="244">
        <f t="shared" si="30"/>
        <v>30</v>
      </c>
      <c r="AE119" s="643">
        <f t="shared" si="40"/>
        <v>0</v>
      </c>
      <c r="AK119" s="552"/>
    </row>
    <row r="120" spans="2:37" ht="12.75" customHeight="1" x14ac:dyDescent="0.2">
      <c r="B120" s="87"/>
      <c r="C120" s="108"/>
      <c r="D120" s="115" t="str">
        <f>IF(op!D52="","",op!D52)</f>
        <v/>
      </c>
      <c r="E120" s="115" t="str">
        <f>IF(op!E52=0,"",op!E52)</f>
        <v/>
      </c>
      <c r="F120" s="115" t="str">
        <f>IF(op!F52=0,"",op!F52)</f>
        <v/>
      </c>
      <c r="G120" s="132" t="str">
        <f>IF(op!G52="","",op!G52+1)</f>
        <v/>
      </c>
      <c r="H120" s="508" t="str">
        <f>IF(op!H52="","",op!H52)</f>
        <v/>
      </c>
      <c r="I120" s="132" t="str">
        <f>IF(op!I52=0,"",op!I52)</f>
        <v/>
      </c>
      <c r="J120" s="150" t="str">
        <f>IF(E120="","",(IF(op!J52+1&gt;LOOKUP(I120,schaal2011,regels2011),op!J52,op!J52+1)))</f>
        <v/>
      </c>
      <c r="K120" s="509" t="str">
        <f>IF(op!K52="","",op!K52)</f>
        <v/>
      </c>
      <c r="L120" s="510" t="str">
        <f>IF(op!L52="","",op!L52)</f>
        <v/>
      </c>
      <c r="M120" s="511" t="str">
        <f t="shared" si="33"/>
        <v/>
      </c>
      <c r="N120" s="109"/>
      <c r="O120" s="513" t="str">
        <f>IF(I120="","",VLOOKUP(I120,tab!$A$68:$V$108,J120+2,FALSE))</f>
        <v/>
      </c>
      <c r="P120" s="514" t="str">
        <f t="shared" si="34"/>
        <v/>
      </c>
      <c r="Q120" s="1173">
        <f t="shared" si="32"/>
        <v>0.62</v>
      </c>
      <c r="R120" s="514" t="str">
        <f t="shared" si="35"/>
        <v/>
      </c>
      <c r="S120" s="514">
        <f>IF(L120="",0,(((O120*12)*L120)*(1+tab!$D$55)*tab!$F$57))</f>
        <v>0</v>
      </c>
      <c r="T120" s="1131">
        <f t="shared" si="36"/>
        <v>0</v>
      </c>
      <c r="U120" s="219">
        <f t="shared" si="26"/>
        <v>0</v>
      </c>
      <c r="V120" s="1145">
        <f t="shared" si="37"/>
        <v>0</v>
      </c>
      <c r="W120" s="124"/>
      <c r="X120" s="91"/>
      <c r="AA120" s="642" t="e">
        <f>DATE(YEAR(tab!$F$3),MONTH(H120),DAY(H120))&gt;tab!$F$3</f>
        <v>#VALUE!</v>
      </c>
      <c r="AB120" s="643" t="e">
        <f t="shared" si="38"/>
        <v>#VALUE!</v>
      </c>
      <c r="AC120" s="244">
        <f t="shared" si="39"/>
        <v>30</v>
      </c>
      <c r="AD120" s="244">
        <f t="shared" si="30"/>
        <v>30</v>
      </c>
      <c r="AE120" s="643">
        <f t="shared" si="40"/>
        <v>0</v>
      </c>
      <c r="AK120" s="552"/>
    </row>
    <row r="121" spans="2:37" ht="12.75" customHeight="1" x14ac:dyDescent="0.2">
      <c r="B121" s="87"/>
      <c r="C121" s="108"/>
      <c r="D121" s="115" t="str">
        <f>IF(op!D53="","",op!D53)</f>
        <v/>
      </c>
      <c r="E121" s="115" t="str">
        <f>IF(op!E53=0,"",op!E53)</f>
        <v/>
      </c>
      <c r="F121" s="115" t="str">
        <f>IF(op!F53=0,"",op!F53)</f>
        <v/>
      </c>
      <c r="G121" s="132" t="str">
        <f>IF(op!G53="","",op!G53+1)</f>
        <v/>
      </c>
      <c r="H121" s="508" t="str">
        <f>IF(op!H53="","",op!H53)</f>
        <v/>
      </c>
      <c r="I121" s="132" t="str">
        <f>IF(op!I53=0,"",op!I53)</f>
        <v/>
      </c>
      <c r="J121" s="150" t="str">
        <f>IF(E121="","",(IF(op!J53+1&gt;LOOKUP(I121,schaal2011,regels2011),op!J53,op!J53+1)))</f>
        <v/>
      </c>
      <c r="K121" s="509" t="str">
        <f>IF(op!K53="","",op!K53)</f>
        <v/>
      </c>
      <c r="L121" s="510" t="str">
        <f>IF(op!L53="","",op!L53)</f>
        <v/>
      </c>
      <c r="M121" s="511" t="str">
        <f t="shared" si="33"/>
        <v/>
      </c>
      <c r="N121" s="109"/>
      <c r="O121" s="513" t="str">
        <f>IF(I121="","",VLOOKUP(I121,tab!$A$68:$V$108,J121+2,FALSE))</f>
        <v/>
      </c>
      <c r="P121" s="514" t="str">
        <f t="shared" si="34"/>
        <v/>
      </c>
      <c r="Q121" s="1173">
        <f t="shared" si="32"/>
        <v>0.62</v>
      </c>
      <c r="R121" s="514" t="str">
        <f t="shared" si="35"/>
        <v/>
      </c>
      <c r="S121" s="514">
        <f>IF(L121="",0,(((O121*12)*L121)*(1+tab!$D$55)*tab!$F$57))</f>
        <v>0</v>
      </c>
      <c r="T121" s="1131">
        <f t="shared" si="36"/>
        <v>0</v>
      </c>
      <c r="U121" s="219">
        <f t="shared" si="26"/>
        <v>0</v>
      </c>
      <c r="V121" s="1145">
        <f t="shared" si="37"/>
        <v>0</v>
      </c>
      <c r="W121" s="124"/>
      <c r="X121" s="91"/>
      <c r="AA121" s="642" t="e">
        <f>DATE(YEAR(tab!$F$3),MONTH(H121),DAY(H121))&gt;tab!$F$3</f>
        <v>#VALUE!</v>
      </c>
      <c r="AB121" s="643" t="e">
        <f t="shared" si="38"/>
        <v>#VALUE!</v>
      </c>
      <c r="AC121" s="244">
        <f t="shared" si="39"/>
        <v>30</v>
      </c>
      <c r="AD121" s="244">
        <f t="shared" si="30"/>
        <v>30</v>
      </c>
      <c r="AE121" s="643">
        <f t="shared" si="40"/>
        <v>0</v>
      </c>
      <c r="AK121" s="552"/>
    </row>
    <row r="122" spans="2:37" ht="12.75" customHeight="1" x14ac:dyDescent="0.2">
      <c r="B122" s="87"/>
      <c r="C122" s="108"/>
      <c r="D122" s="115" t="str">
        <f>IF(op!D54="","",op!D54)</f>
        <v/>
      </c>
      <c r="E122" s="115" t="str">
        <f>IF(op!E54=0,"",op!E54)</f>
        <v/>
      </c>
      <c r="F122" s="115" t="str">
        <f>IF(op!F54=0,"",op!F54)</f>
        <v/>
      </c>
      <c r="G122" s="132" t="str">
        <f>IF(op!G54="","",op!G54+1)</f>
        <v/>
      </c>
      <c r="H122" s="508" t="str">
        <f>IF(op!H54="","",op!H54)</f>
        <v/>
      </c>
      <c r="I122" s="132" t="str">
        <f>IF(op!I54=0,"",op!I54)</f>
        <v/>
      </c>
      <c r="J122" s="150" t="str">
        <f>IF(E122="","",(IF(op!J54+1&gt;LOOKUP(I122,schaal2011,regels2011),op!J54,op!J54+1)))</f>
        <v/>
      </c>
      <c r="K122" s="509" t="str">
        <f>IF(op!K54="","",op!K54)</f>
        <v/>
      </c>
      <c r="L122" s="510" t="str">
        <f>IF(op!L54="","",op!L54)</f>
        <v/>
      </c>
      <c r="M122" s="511" t="str">
        <f t="shared" si="33"/>
        <v/>
      </c>
      <c r="N122" s="109"/>
      <c r="O122" s="513" t="str">
        <f>IF(I122="","",VLOOKUP(I122,tab!$A$68:$V$108,J122+2,FALSE))</f>
        <v/>
      </c>
      <c r="P122" s="514" t="str">
        <f t="shared" si="34"/>
        <v/>
      </c>
      <c r="Q122" s="1173">
        <f t="shared" si="32"/>
        <v>0.62</v>
      </c>
      <c r="R122" s="514" t="str">
        <f t="shared" si="35"/>
        <v/>
      </c>
      <c r="S122" s="514">
        <f>IF(L122="",0,(((O122*12)*L122)*(1+tab!$D$55)*tab!$F$57))</f>
        <v>0</v>
      </c>
      <c r="T122" s="1131">
        <f t="shared" si="36"/>
        <v>0</v>
      </c>
      <c r="U122" s="219">
        <f t="shared" si="26"/>
        <v>0</v>
      </c>
      <c r="V122" s="1145">
        <f t="shared" si="37"/>
        <v>0</v>
      </c>
      <c r="W122" s="124"/>
      <c r="X122" s="91"/>
      <c r="AA122" s="642" t="e">
        <f>DATE(YEAR(tab!$F$3),MONTH(H122),DAY(H122))&gt;tab!$F$3</f>
        <v>#VALUE!</v>
      </c>
      <c r="AB122" s="643" t="e">
        <f t="shared" si="38"/>
        <v>#VALUE!</v>
      </c>
      <c r="AC122" s="244">
        <f t="shared" si="39"/>
        <v>30</v>
      </c>
      <c r="AD122" s="244">
        <f t="shared" si="30"/>
        <v>30</v>
      </c>
      <c r="AE122" s="643">
        <f t="shared" si="40"/>
        <v>0</v>
      </c>
      <c r="AK122" s="552"/>
    </row>
    <row r="123" spans="2:37" ht="12.75" customHeight="1" x14ac:dyDescent="0.2">
      <c r="B123" s="87"/>
      <c r="C123" s="108"/>
      <c r="D123" s="115" t="str">
        <f>IF(op!D55="","",op!D55)</f>
        <v/>
      </c>
      <c r="E123" s="115" t="str">
        <f>IF(op!E55=0,"",op!E55)</f>
        <v/>
      </c>
      <c r="F123" s="115" t="str">
        <f>IF(op!F55=0,"",op!F55)</f>
        <v/>
      </c>
      <c r="G123" s="132" t="str">
        <f>IF(op!G55="","",op!G55+1)</f>
        <v/>
      </c>
      <c r="H123" s="508" t="str">
        <f>IF(op!H55="","",op!H55)</f>
        <v/>
      </c>
      <c r="I123" s="132" t="str">
        <f>IF(op!I55=0,"",op!I55)</f>
        <v/>
      </c>
      <c r="J123" s="150" t="str">
        <f>IF(E123="","",(IF(op!J55+1&gt;LOOKUP(I123,schaal2011,regels2011),op!J55,op!J55+1)))</f>
        <v/>
      </c>
      <c r="K123" s="509" t="str">
        <f>IF(op!K55="","",op!K55)</f>
        <v/>
      </c>
      <c r="L123" s="510" t="str">
        <f>IF(op!L55="","",op!L55)</f>
        <v/>
      </c>
      <c r="M123" s="511" t="str">
        <f t="shared" si="33"/>
        <v/>
      </c>
      <c r="N123" s="109"/>
      <c r="O123" s="513" t="str">
        <f>IF(I123="","",VLOOKUP(I123,tab!$A$68:$V$108,J123+2,FALSE))</f>
        <v/>
      </c>
      <c r="P123" s="514" t="str">
        <f t="shared" si="34"/>
        <v/>
      </c>
      <c r="Q123" s="1173">
        <f t="shared" si="32"/>
        <v>0.62</v>
      </c>
      <c r="R123" s="514" t="str">
        <f t="shared" si="35"/>
        <v/>
      </c>
      <c r="S123" s="514">
        <f>IF(L123="",0,(((O123*12)*L123)*(1+tab!$D$55)*tab!$F$57))</f>
        <v>0</v>
      </c>
      <c r="T123" s="1131">
        <f t="shared" si="36"/>
        <v>0</v>
      </c>
      <c r="U123" s="219">
        <f t="shared" si="26"/>
        <v>0</v>
      </c>
      <c r="V123" s="1145">
        <f t="shared" si="37"/>
        <v>0</v>
      </c>
      <c r="W123" s="124"/>
      <c r="X123" s="91"/>
      <c r="AA123" s="642" t="e">
        <f>DATE(YEAR(tab!$F$3),MONTH(H123),DAY(H123))&gt;tab!$F$3</f>
        <v>#VALUE!</v>
      </c>
      <c r="AB123" s="643" t="e">
        <f t="shared" si="38"/>
        <v>#VALUE!</v>
      </c>
      <c r="AC123" s="244">
        <f t="shared" si="39"/>
        <v>30</v>
      </c>
      <c r="AD123" s="244">
        <f t="shared" si="30"/>
        <v>30</v>
      </c>
      <c r="AE123" s="643">
        <f t="shared" si="40"/>
        <v>0</v>
      </c>
      <c r="AK123" s="552"/>
    </row>
    <row r="124" spans="2:37" ht="12.75" customHeight="1" x14ac:dyDescent="0.2">
      <c r="B124" s="87"/>
      <c r="C124" s="108"/>
      <c r="D124" s="115" t="str">
        <f>IF(op!D56="","",op!D56)</f>
        <v/>
      </c>
      <c r="E124" s="115" t="str">
        <f>IF(op!E56=0,"",op!E56)</f>
        <v/>
      </c>
      <c r="F124" s="115" t="str">
        <f>IF(op!F56=0,"",op!F56)</f>
        <v/>
      </c>
      <c r="G124" s="132" t="str">
        <f>IF(op!G56="","",op!G56+1)</f>
        <v/>
      </c>
      <c r="H124" s="508" t="str">
        <f>IF(op!H56="","",op!H56)</f>
        <v/>
      </c>
      <c r="I124" s="132" t="str">
        <f>IF(op!I56=0,"",op!I56)</f>
        <v/>
      </c>
      <c r="J124" s="150" t="str">
        <f>IF(E124="","",(IF(op!J56+1&gt;LOOKUP(I124,schaal2011,regels2011),op!J56,op!J56+1)))</f>
        <v/>
      </c>
      <c r="K124" s="509" t="str">
        <f>IF(op!K56="","",op!K56)</f>
        <v/>
      </c>
      <c r="L124" s="510" t="str">
        <f>IF(op!L56="","",op!L56)</f>
        <v/>
      </c>
      <c r="M124" s="511" t="str">
        <f t="shared" si="33"/>
        <v/>
      </c>
      <c r="N124" s="109"/>
      <c r="O124" s="513" t="str">
        <f>IF(I124="","",VLOOKUP(I124,tab!$A$68:$V$108,J124+2,FALSE))</f>
        <v/>
      </c>
      <c r="P124" s="514" t="str">
        <f t="shared" si="34"/>
        <v/>
      </c>
      <c r="Q124" s="1173">
        <f t="shared" si="32"/>
        <v>0.62</v>
      </c>
      <c r="R124" s="514" t="str">
        <f t="shared" si="35"/>
        <v/>
      </c>
      <c r="S124" s="514">
        <f>IF(L124="",0,(((O124*12)*L124)*(1+tab!$D$55)*tab!$F$57))</f>
        <v>0</v>
      </c>
      <c r="T124" s="1131">
        <f t="shared" si="36"/>
        <v>0</v>
      </c>
      <c r="U124" s="219">
        <f t="shared" si="26"/>
        <v>0</v>
      </c>
      <c r="V124" s="1145">
        <f t="shared" si="37"/>
        <v>0</v>
      </c>
      <c r="W124" s="124"/>
      <c r="X124" s="91"/>
      <c r="AA124" s="642" t="e">
        <f>DATE(YEAR(tab!$F$3),MONTH(H124),DAY(H124))&gt;tab!$F$3</f>
        <v>#VALUE!</v>
      </c>
      <c r="AB124" s="643" t="e">
        <f t="shared" si="38"/>
        <v>#VALUE!</v>
      </c>
      <c r="AC124" s="244">
        <f t="shared" si="39"/>
        <v>30</v>
      </c>
      <c r="AD124" s="244">
        <f t="shared" si="30"/>
        <v>30</v>
      </c>
      <c r="AE124" s="643">
        <f t="shared" si="40"/>
        <v>0</v>
      </c>
      <c r="AK124" s="552"/>
    </row>
    <row r="125" spans="2:37" ht="12.75" customHeight="1" x14ac:dyDescent="0.2">
      <c r="B125" s="87"/>
      <c r="C125" s="108"/>
      <c r="D125" s="115" t="str">
        <f>IF(op!D57="","",op!D57)</f>
        <v/>
      </c>
      <c r="E125" s="115" t="str">
        <f>IF(op!E57=0,"",op!E57)</f>
        <v/>
      </c>
      <c r="F125" s="115" t="str">
        <f>IF(op!F57=0,"",op!F57)</f>
        <v/>
      </c>
      <c r="G125" s="132" t="str">
        <f>IF(op!G57="","",op!G57+1)</f>
        <v/>
      </c>
      <c r="H125" s="508" t="str">
        <f>IF(op!H57="","",op!H57)</f>
        <v/>
      </c>
      <c r="I125" s="132" t="str">
        <f>IF(op!I57=0,"",op!I57)</f>
        <v/>
      </c>
      <c r="J125" s="150" t="str">
        <f>IF(E125="","",(IF(op!J57+1&gt;LOOKUP(I125,schaal2011,regels2011),op!J57,op!J57+1)))</f>
        <v/>
      </c>
      <c r="K125" s="509" t="str">
        <f>IF(op!K57="","",op!K57)</f>
        <v/>
      </c>
      <c r="L125" s="510" t="str">
        <f>IF(op!L57="","",op!L57)</f>
        <v/>
      </c>
      <c r="M125" s="511" t="str">
        <f t="shared" si="33"/>
        <v/>
      </c>
      <c r="N125" s="109"/>
      <c r="O125" s="513" t="str">
        <f>IF(I125="","",VLOOKUP(I125,tab!$A$68:$V$108,J125+2,FALSE))</f>
        <v/>
      </c>
      <c r="P125" s="514" t="str">
        <f t="shared" si="34"/>
        <v/>
      </c>
      <c r="Q125" s="1173">
        <f t="shared" si="32"/>
        <v>0.62</v>
      </c>
      <c r="R125" s="514" t="str">
        <f t="shared" si="35"/>
        <v/>
      </c>
      <c r="S125" s="514">
        <f>IF(L125="",0,(((O125*12)*L125)*(1+tab!$D$55)*tab!$F$57))</f>
        <v>0</v>
      </c>
      <c r="T125" s="1131">
        <f t="shared" si="36"/>
        <v>0</v>
      </c>
      <c r="U125" s="219">
        <f t="shared" si="26"/>
        <v>0</v>
      </c>
      <c r="V125" s="1145">
        <f t="shared" si="37"/>
        <v>0</v>
      </c>
      <c r="W125" s="124"/>
      <c r="X125" s="91"/>
      <c r="AA125" s="642" t="e">
        <f>DATE(YEAR(tab!$F$3),MONTH(H125),DAY(H125))&gt;tab!$F$3</f>
        <v>#VALUE!</v>
      </c>
      <c r="AB125" s="643" t="e">
        <f t="shared" si="38"/>
        <v>#VALUE!</v>
      </c>
      <c r="AC125" s="244">
        <f t="shared" si="39"/>
        <v>30</v>
      </c>
      <c r="AD125" s="244">
        <f t="shared" si="30"/>
        <v>30</v>
      </c>
      <c r="AE125" s="643">
        <f t="shared" si="40"/>
        <v>0</v>
      </c>
      <c r="AK125" s="552"/>
    </row>
    <row r="126" spans="2:37" ht="12.75" customHeight="1" x14ac:dyDescent="0.2">
      <c r="B126" s="87"/>
      <c r="C126" s="108"/>
      <c r="D126" s="115" t="str">
        <f>IF(op!D58="","",op!D58)</f>
        <v/>
      </c>
      <c r="E126" s="115" t="str">
        <f>IF(op!E58=0,"",op!E58)</f>
        <v/>
      </c>
      <c r="F126" s="115" t="str">
        <f>IF(op!F58=0,"",op!F58)</f>
        <v/>
      </c>
      <c r="G126" s="132" t="str">
        <f>IF(op!G58="","",op!G58+1)</f>
        <v/>
      </c>
      <c r="H126" s="508" t="str">
        <f>IF(op!H58="","",op!H58)</f>
        <v/>
      </c>
      <c r="I126" s="132" t="str">
        <f>IF(op!I58=0,"",op!I58)</f>
        <v/>
      </c>
      <c r="J126" s="150" t="str">
        <f>IF(E126="","",(IF(op!J58+1&gt;LOOKUP(I126,schaal2011,regels2011),op!J58,op!J58+1)))</f>
        <v/>
      </c>
      <c r="K126" s="509" t="str">
        <f>IF(op!K58="","",op!K58)</f>
        <v/>
      </c>
      <c r="L126" s="510" t="str">
        <f>IF(op!L58="","",op!L58)</f>
        <v/>
      </c>
      <c r="M126" s="511" t="str">
        <f t="shared" si="33"/>
        <v/>
      </c>
      <c r="N126" s="109"/>
      <c r="O126" s="513" t="str">
        <f>IF(I126="","",VLOOKUP(I126,tab!$A$68:$V$108,J126+2,FALSE))</f>
        <v/>
      </c>
      <c r="P126" s="514" t="str">
        <f t="shared" si="34"/>
        <v/>
      </c>
      <c r="Q126" s="1173">
        <f t="shared" si="32"/>
        <v>0.62</v>
      </c>
      <c r="R126" s="514" t="str">
        <f t="shared" si="35"/>
        <v/>
      </c>
      <c r="S126" s="514">
        <f>IF(L126="",0,(((O126*12)*L126)*(1+tab!$D$55)*tab!$F$57))</f>
        <v>0</v>
      </c>
      <c r="T126" s="1131">
        <f t="shared" si="36"/>
        <v>0</v>
      </c>
      <c r="U126" s="219">
        <f t="shared" si="26"/>
        <v>0</v>
      </c>
      <c r="V126" s="1145">
        <f t="shared" si="37"/>
        <v>0</v>
      </c>
      <c r="W126" s="124"/>
      <c r="X126" s="91"/>
      <c r="AA126" s="642" t="e">
        <f>DATE(YEAR(tab!$F$3),MONTH(H126),DAY(H126))&gt;tab!$F$3</f>
        <v>#VALUE!</v>
      </c>
      <c r="AB126" s="643" t="e">
        <f t="shared" si="38"/>
        <v>#VALUE!</v>
      </c>
      <c r="AC126" s="244">
        <f t="shared" si="39"/>
        <v>30</v>
      </c>
      <c r="AD126" s="244">
        <f t="shared" si="30"/>
        <v>30</v>
      </c>
      <c r="AE126" s="643">
        <f t="shared" si="40"/>
        <v>0</v>
      </c>
      <c r="AK126" s="552"/>
    </row>
    <row r="127" spans="2:37" ht="12.75" customHeight="1" x14ac:dyDescent="0.2">
      <c r="B127" s="87"/>
      <c r="C127" s="108"/>
      <c r="D127" s="115" t="str">
        <f>IF(op!D59="","",op!D59)</f>
        <v/>
      </c>
      <c r="E127" s="115" t="str">
        <f>IF(op!E59=0,"",op!E59)</f>
        <v/>
      </c>
      <c r="F127" s="115" t="str">
        <f>IF(op!F59=0,"",op!F59)</f>
        <v/>
      </c>
      <c r="G127" s="132" t="str">
        <f>IF(op!G59="","",op!G59+1)</f>
        <v/>
      </c>
      <c r="H127" s="508" t="str">
        <f>IF(op!H59="","",op!H59)</f>
        <v/>
      </c>
      <c r="I127" s="132" t="str">
        <f>IF(op!I59=0,"",op!I59)</f>
        <v/>
      </c>
      <c r="J127" s="150" t="str">
        <f>IF(E127="","",(IF(op!J59+1&gt;LOOKUP(I127,schaal2011,regels2011),op!J59,op!J59+1)))</f>
        <v/>
      </c>
      <c r="K127" s="509" t="str">
        <f>IF(op!K59="","",op!K59)</f>
        <v/>
      </c>
      <c r="L127" s="510" t="str">
        <f>IF(op!L59="","",op!L59)</f>
        <v/>
      </c>
      <c r="M127" s="511" t="str">
        <f t="shared" si="33"/>
        <v/>
      </c>
      <c r="N127" s="109"/>
      <c r="O127" s="513" t="str">
        <f>IF(I127="","",VLOOKUP(I127,tab!$A$68:$V$108,J127+2,FALSE))</f>
        <v/>
      </c>
      <c r="P127" s="514" t="str">
        <f t="shared" si="34"/>
        <v/>
      </c>
      <c r="Q127" s="1173">
        <f t="shared" si="32"/>
        <v>0.62</v>
      </c>
      <c r="R127" s="514" t="str">
        <f t="shared" si="35"/>
        <v/>
      </c>
      <c r="S127" s="514">
        <f>IF(L127="",0,(((O127*12)*L127)*(1+tab!$D$55)*tab!$F$57))</f>
        <v>0</v>
      </c>
      <c r="T127" s="1131">
        <f t="shared" si="36"/>
        <v>0</v>
      </c>
      <c r="U127" s="219">
        <f t="shared" si="26"/>
        <v>0</v>
      </c>
      <c r="V127" s="1145">
        <f t="shared" si="37"/>
        <v>0</v>
      </c>
      <c r="W127" s="124"/>
      <c r="X127" s="91"/>
      <c r="AA127" s="642" t="e">
        <f>DATE(YEAR(tab!$F$3),MONTH(H127),DAY(H127))&gt;tab!$F$3</f>
        <v>#VALUE!</v>
      </c>
      <c r="AB127" s="643" t="e">
        <f t="shared" si="38"/>
        <v>#VALUE!</v>
      </c>
      <c r="AC127" s="244">
        <f t="shared" si="39"/>
        <v>30</v>
      </c>
      <c r="AD127" s="244">
        <f t="shared" si="30"/>
        <v>30</v>
      </c>
      <c r="AE127" s="643">
        <f t="shared" si="40"/>
        <v>0</v>
      </c>
      <c r="AK127" s="552"/>
    </row>
    <row r="128" spans="2:37" ht="12.75" customHeight="1" x14ac:dyDescent="0.2">
      <c r="B128" s="87"/>
      <c r="C128" s="108"/>
      <c r="D128" s="115" t="str">
        <f>IF(op!D60="","",op!D60)</f>
        <v/>
      </c>
      <c r="E128" s="115" t="str">
        <f>IF(op!E60=0,"",op!E60)</f>
        <v/>
      </c>
      <c r="F128" s="115" t="str">
        <f>IF(op!F60=0,"",op!F60)</f>
        <v/>
      </c>
      <c r="G128" s="132" t="str">
        <f>IF(op!G60="","",op!G60+1)</f>
        <v/>
      </c>
      <c r="H128" s="508" t="str">
        <f>IF(op!H60="","",op!H60)</f>
        <v/>
      </c>
      <c r="I128" s="132" t="str">
        <f>IF(op!I60=0,"",op!I60)</f>
        <v/>
      </c>
      <c r="J128" s="150" t="str">
        <f>IF(E128="","",(IF(op!J60+1&gt;LOOKUP(I128,schaal2011,regels2011),op!J60,op!J60+1)))</f>
        <v/>
      </c>
      <c r="K128" s="509" t="str">
        <f>IF(op!K60="","",op!K60)</f>
        <v/>
      </c>
      <c r="L128" s="510" t="str">
        <f>IF(op!L60="","",op!L60)</f>
        <v/>
      </c>
      <c r="M128" s="511" t="str">
        <f t="shared" si="33"/>
        <v/>
      </c>
      <c r="N128" s="109"/>
      <c r="O128" s="513" t="str">
        <f>IF(I128="","",VLOOKUP(I128,tab!$A$68:$V$108,J128+2,FALSE))</f>
        <v/>
      </c>
      <c r="P128" s="514" t="str">
        <f t="shared" si="34"/>
        <v/>
      </c>
      <c r="Q128" s="1173">
        <f t="shared" si="32"/>
        <v>0.62</v>
      </c>
      <c r="R128" s="514" t="str">
        <f t="shared" si="35"/>
        <v/>
      </c>
      <c r="S128" s="514">
        <f>IF(L128="",0,(((O128*12)*L128)*(1+tab!$D$55)*tab!$F$57))</f>
        <v>0</v>
      </c>
      <c r="T128" s="1131">
        <f t="shared" si="36"/>
        <v>0</v>
      </c>
      <c r="U128" s="219">
        <f t="shared" si="26"/>
        <v>0</v>
      </c>
      <c r="V128" s="1145">
        <f t="shared" si="37"/>
        <v>0</v>
      </c>
      <c r="W128" s="124"/>
      <c r="X128" s="91"/>
      <c r="AA128" s="642" t="e">
        <f>DATE(YEAR(tab!$F$3),MONTH(H128),DAY(H128))&gt;tab!$F$3</f>
        <v>#VALUE!</v>
      </c>
      <c r="AB128" s="643" t="e">
        <f t="shared" si="38"/>
        <v>#VALUE!</v>
      </c>
      <c r="AC128" s="244">
        <f t="shared" si="39"/>
        <v>30</v>
      </c>
      <c r="AD128" s="244">
        <f t="shared" si="30"/>
        <v>30</v>
      </c>
      <c r="AE128" s="643">
        <f t="shared" si="40"/>
        <v>0</v>
      </c>
      <c r="AK128" s="552"/>
    </row>
    <row r="129" spans="2:37" ht="12.75" customHeight="1" x14ac:dyDescent="0.2">
      <c r="B129" s="87"/>
      <c r="C129" s="108"/>
      <c r="D129" s="115" t="str">
        <f>IF(op!D61="","",op!D61)</f>
        <v/>
      </c>
      <c r="E129" s="115" t="str">
        <f>IF(op!E61=0,"",op!E61)</f>
        <v/>
      </c>
      <c r="F129" s="115" t="str">
        <f>IF(op!F61=0,"",op!F61)</f>
        <v/>
      </c>
      <c r="G129" s="132" t="str">
        <f>IF(op!G61="","",op!G61+1)</f>
        <v/>
      </c>
      <c r="H129" s="508" t="str">
        <f>IF(op!H61="","",op!H61)</f>
        <v/>
      </c>
      <c r="I129" s="132" t="str">
        <f>IF(op!I61=0,"",op!I61)</f>
        <v/>
      </c>
      <c r="J129" s="150" t="str">
        <f>IF(E129="","",(IF(op!J61+1&gt;LOOKUP(I129,schaal2011,regels2011),op!J61,op!J61+1)))</f>
        <v/>
      </c>
      <c r="K129" s="509" t="str">
        <f>IF(op!K61="","",op!K61)</f>
        <v/>
      </c>
      <c r="L129" s="510" t="str">
        <f>IF(op!L61="","",op!L61)</f>
        <v/>
      </c>
      <c r="M129" s="511" t="str">
        <f t="shared" si="33"/>
        <v/>
      </c>
      <c r="N129" s="109"/>
      <c r="O129" s="513" t="str">
        <f>IF(I129="","",VLOOKUP(I129,tab!$A$68:$V$108,J129+2,FALSE))</f>
        <v/>
      </c>
      <c r="P129" s="514" t="str">
        <f t="shared" si="34"/>
        <v/>
      </c>
      <c r="Q129" s="1173">
        <f t="shared" si="32"/>
        <v>0.62</v>
      </c>
      <c r="R129" s="514" t="str">
        <f t="shared" si="35"/>
        <v/>
      </c>
      <c r="S129" s="514">
        <f>IF(L129="",0,(((O129*12)*L129)*(1+tab!$D$55)*tab!$F$57))</f>
        <v>0</v>
      </c>
      <c r="T129" s="1131">
        <f t="shared" si="36"/>
        <v>0</v>
      </c>
      <c r="U129" s="219">
        <f t="shared" si="26"/>
        <v>0</v>
      </c>
      <c r="V129" s="1145">
        <f t="shared" si="37"/>
        <v>0</v>
      </c>
      <c r="W129" s="124"/>
      <c r="X129" s="91"/>
      <c r="AA129" s="642" t="e">
        <f>DATE(YEAR(tab!$F$3),MONTH(H129),DAY(H129))&gt;tab!$F$3</f>
        <v>#VALUE!</v>
      </c>
      <c r="AB129" s="643" t="e">
        <f t="shared" si="38"/>
        <v>#VALUE!</v>
      </c>
      <c r="AC129" s="244">
        <f t="shared" si="39"/>
        <v>30</v>
      </c>
      <c r="AD129" s="244">
        <f t="shared" si="30"/>
        <v>30</v>
      </c>
      <c r="AE129" s="643">
        <f t="shared" si="40"/>
        <v>0</v>
      </c>
      <c r="AK129" s="552"/>
    </row>
    <row r="130" spans="2:37" ht="12.75" customHeight="1" x14ac:dyDescent="0.2">
      <c r="B130" s="87"/>
      <c r="C130" s="108"/>
      <c r="D130" s="115" t="str">
        <f>IF(op!D62="","",op!D62)</f>
        <v/>
      </c>
      <c r="E130" s="115" t="str">
        <f>IF(op!E62=0,"",op!E62)</f>
        <v/>
      </c>
      <c r="F130" s="115" t="str">
        <f>IF(op!F62=0,"",op!F62)</f>
        <v/>
      </c>
      <c r="G130" s="132" t="str">
        <f>IF(op!G62="","",op!G62+1)</f>
        <v/>
      </c>
      <c r="H130" s="508" t="str">
        <f>IF(op!H62="","",op!H62)</f>
        <v/>
      </c>
      <c r="I130" s="132" t="str">
        <f>IF(op!I62=0,"",op!I62)</f>
        <v/>
      </c>
      <c r="J130" s="150" t="str">
        <f>IF(E130="","",(IF(op!J62+1&gt;LOOKUP(I130,schaal2011,regels2011),op!J62,op!J62+1)))</f>
        <v/>
      </c>
      <c r="K130" s="509" t="str">
        <f>IF(op!K62="","",op!K62)</f>
        <v/>
      </c>
      <c r="L130" s="510" t="str">
        <f>IF(op!L62="","",op!L62)</f>
        <v/>
      </c>
      <c r="M130" s="511" t="str">
        <f t="shared" si="33"/>
        <v/>
      </c>
      <c r="N130" s="109"/>
      <c r="O130" s="513" t="str">
        <f>IF(I130="","",VLOOKUP(I130,tab!$A$68:$V$108,J130+2,FALSE))</f>
        <v/>
      </c>
      <c r="P130" s="514" t="str">
        <f t="shared" si="34"/>
        <v/>
      </c>
      <c r="Q130" s="1173">
        <f t="shared" si="32"/>
        <v>0.62</v>
      </c>
      <c r="R130" s="514" t="str">
        <f t="shared" si="35"/>
        <v/>
      </c>
      <c r="S130" s="514">
        <f>IF(L130="",0,(((O130*12)*L130)*(1+tab!$D$55)*tab!$F$57))</f>
        <v>0</v>
      </c>
      <c r="T130" s="1131">
        <f t="shared" si="36"/>
        <v>0</v>
      </c>
      <c r="U130" s="219">
        <f t="shared" si="26"/>
        <v>0</v>
      </c>
      <c r="V130" s="1145">
        <f t="shared" si="37"/>
        <v>0</v>
      </c>
      <c r="W130" s="124"/>
      <c r="X130" s="91"/>
      <c r="AA130" s="642" t="e">
        <f>DATE(YEAR(tab!$F$3),MONTH(H130),DAY(H130))&gt;tab!$F$3</f>
        <v>#VALUE!</v>
      </c>
      <c r="AB130" s="643" t="e">
        <f t="shared" si="38"/>
        <v>#VALUE!</v>
      </c>
      <c r="AC130" s="244">
        <f t="shared" si="39"/>
        <v>30</v>
      </c>
      <c r="AD130" s="244">
        <f t="shared" si="30"/>
        <v>30</v>
      </c>
      <c r="AE130" s="643">
        <f t="shared" si="40"/>
        <v>0</v>
      </c>
      <c r="AK130" s="552"/>
    </row>
    <row r="131" spans="2:37" ht="12.75" customHeight="1" x14ac:dyDescent="0.2">
      <c r="B131" s="87"/>
      <c r="C131" s="108"/>
      <c r="D131" s="115" t="str">
        <f>IF(op!D63="","",op!D63)</f>
        <v/>
      </c>
      <c r="E131" s="115" t="str">
        <f>IF(op!E63=0,"",op!E63)</f>
        <v/>
      </c>
      <c r="F131" s="115" t="str">
        <f>IF(op!F63=0,"",op!F63)</f>
        <v/>
      </c>
      <c r="G131" s="132" t="str">
        <f>IF(op!G63="","",op!G63+1)</f>
        <v/>
      </c>
      <c r="H131" s="508" t="str">
        <f>IF(op!H63="","",op!H63)</f>
        <v/>
      </c>
      <c r="I131" s="132" t="str">
        <f>IF(op!I63=0,"",op!I63)</f>
        <v/>
      </c>
      <c r="J131" s="150" t="str">
        <f>IF(E131="","",(IF(op!J63+1&gt;LOOKUP(I131,schaal2011,regels2011),op!J63,op!J63+1)))</f>
        <v/>
      </c>
      <c r="K131" s="509" t="str">
        <f>IF(op!K63="","",op!K63)</f>
        <v/>
      </c>
      <c r="L131" s="510" t="str">
        <f>IF(op!L63="","",op!L63)</f>
        <v/>
      </c>
      <c r="M131" s="511" t="str">
        <f t="shared" si="33"/>
        <v/>
      </c>
      <c r="N131" s="109"/>
      <c r="O131" s="513" t="str">
        <f>IF(I131="","",VLOOKUP(I131,tab!$A$68:$V$108,J131+2,FALSE))</f>
        <v/>
      </c>
      <c r="P131" s="514" t="str">
        <f t="shared" si="34"/>
        <v/>
      </c>
      <c r="Q131" s="1173">
        <f t="shared" si="32"/>
        <v>0.62</v>
      </c>
      <c r="R131" s="514" t="str">
        <f t="shared" si="35"/>
        <v/>
      </c>
      <c r="S131" s="514">
        <f>IF(L131="",0,(((O131*12)*L131)*(1+tab!$D$55)*tab!$F$57))</f>
        <v>0</v>
      </c>
      <c r="T131" s="1131">
        <f t="shared" si="36"/>
        <v>0</v>
      </c>
      <c r="U131" s="219">
        <f t="shared" si="26"/>
        <v>0</v>
      </c>
      <c r="V131" s="1145">
        <f t="shared" si="37"/>
        <v>0</v>
      </c>
      <c r="W131" s="124"/>
      <c r="X131" s="91"/>
      <c r="AA131" s="642" t="e">
        <f>DATE(YEAR(tab!$F$3),MONTH(H131),DAY(H131))&gt;tab!$F$3</f>
        <v>#VALUE!</v>
      </c>
      <c r="AB131" s="643" t="e">
        <f t="shared" si="38"/>
        <v>#VALUE!</v>
      </c>
      <c r="AC131" s="244">
        <f t="shared" si="39"/>
        <v>30</v>
      </c>
      <c r="AD131" s="244">
        <f t="shared" si="30"/>
        <v>30</v>
      </c>
      <c r="AE131" s="643">
        <f t="shared" si="40"/>
        <v>0</v>
      </c>
      <c r="AK131" s="552"/>
    </row>
    <row r="132" spans="2:37" ht="12.75" customHeight="1" x14ac:dyDescent="0.2">
      <c r="B132" s="87"/>
      <c r="C132" s="108"/>
      <c r="D132" s="115" t="str">
        <f>IF(op!D64="","",op!D64)</f>
        <v/>
      </c>
      <c r="E132" s="115" t="str">
        <f>IF(op!E64=0,"",op!E64)</f>
        <v/>
      </c>
      <c r="F132" s="115" t="str">
        <f>IF(op!F64=0,"",op!F64)</f>
        <v/>
      </c>
      <c r="G132" s="132" t="str">
        <f>IF(op!G64="","",op!G64+1)</f>
        <v/>
      </c>
      <c r="H132" s="508" t="str">
        <f>IF(op!H64="","",op!H64)</f>
        <v/>
      </c>
      <c r="I132" s="132" t="str">
        <f>IF(op!I64=0,"",op!I64)</f>
        <v/>
      </c>
      <c r="J132" s="150" t="str">
        <f>IF(E132="","",(IF(op!J64+1&gt;LOOKUP(I132,schaal2011,regels2011),op!J64,op!J64+1)))</f>
        <v/>
      </c>
      <c r="K132" s="509" t="str">
        <f>IF(op!K64="","",op!K64)</f>
        <v/>
      </c>
      <c r="L132" s="510" t="str">
        <f>IF(op!L64="","",op!L64)</f>
        <v/>
      </c>
      <c r="M132" s="511" t="str">
        <f t="shared" si="33"/>
        <v/>
      </c>
      <c r="N132" s="109"/>
      <c r="O132" s="513" t="str">
        <f>IF(I132="","",VLOOKUP(I132,tab!$A$68:$V$108,J132+2,FALSE))</f>
        <v/>
      </c>
      <c r="P132" s="514" t="str">
        <f t="shared" si="34"/>
        <v/>
      </c>
      <c r="Q132" s="1173">
        <f t="shared" si="32"/>
        <v>0.62</v>
      </c>
      <c r="R132" s="514" t="str">
        <f t="shared" si="35"/>
        <v/>
      </c>
      <c r="S132" s="514">
        <f>IF(L132="",0,(((O132*12)*L132)*(1+tab!$D$55)*tab!$F$57))</f>
        <v>0</v>
      </c>
      <c r="T132" s="1131">
        <f t="shared" si="36"/>
        <v>0</v>
      </c>
      <c r="U132" s="219">
        <f t="shared" si="26"/>
        <v>0</v>
      </c>
      <c r="V132" s="1145">
        <f t="shared" si="37"/>
        <v>0</v>
      </c>
      <c r="W132" s="124"/>
      <c r="X132" s="91"/>
      <c r="AA132" s="642" t="e">
        <f>DATE(YEAR(tab!$F$3),MONTH(H132),DAY(H132))&gt;tab!$F$3</f>
        <v>#VALUE!</v>
      </c>
      <c r="AB132" s="643" t="e">
        <f t="shared" si="38"/>
        <v>#VALUE!</v>
      </c>
      <c r="AC132" s="244">
        <f t="shared" si="39"/>
        <v>30</v>
      </c>
      <c r="AD132" s="244">
        <f t="shared" si="30"/>
        <v>30</v>
      </c>
      <c r="AE132" s="643">
        <f t="shared" si="40"/>
        <v>0</v>
      </c>
      <c r="AK132" s="552"/>
    </row>
    <row r="133" spans="2:37" ht="12.75" customHeight="1" x14ac:dyDescent="0.2">
      <c r="B133" s="87"/>
      <c r="C133" s="108"/>
      <c r="D133" s="115" t="str">
        <f>IF(op!D65="","",op!D65)</f>
        <v/>
      </c>
      <c r="E133" s="115" t="str">
        <f>IF(op!E65=0,"",op!E65)</f>
        <v/>
      </c>
      <c r="F133" s="115" t="str">
        <f>IF(op!F65=0,"",op!F65)</f>
        <v/>
      </c>
      <c r="G133" s="132" t="str">
        <f>IF(op!G65="","",op!G65+1)</f>
        <v/>
      </c>
      <c r="H133" s="508" t="str">
        <f>IF(op!H65="","",op!H65)</f>
        <v/>
      </c>
      <c r="I133" s="132" t="str">
        <f>IF(op!I65=0,"",op!I65)</f>
        <v/>
      </c>
      <c r="J133" s="150" t="str">
        <f>IF(E133="","",(IF(op!J65+1&gt;LOOKUP(I133,schaal2011,regels2011),op!J65,op!J65+1)))</f>
        <v/>
      </c>
      <c r="K133" s="509" t="str">
        <f>IF(op!K65="","",op!K65)</f>
        <v/>
      </c>
      <c r="L133" s="510" t="str">
        <f>IF(op!L65="","",op!L65)</f>
        <v/>
      </c>
      <c r="M133" s="511" t="str">
        <f t="shared" si="33"/>
        <v/>
      </c>
      <c r="N133" s="109"/>
      <c r="O133" s="513" t="str">
        <f>IF(I133="","",VLOOKUP(I133,tab!$A$68:$V$108,J133+2,FALSE))</f>
        <v/>
      </c>
      <c r="P133" s="514" t="str">
        <f t="shared" si="34"/>
        <v/>
      </c>
      <c r="Q133" s="1173">
        <f t="shared" si="32"/>
        <v>0.62</v>
      </c>
      <c r="R133" s="514" t="str">
        <f t="shared" si="35"/>
        <v/>
      </c>
      <c r="S133" s="514">
        <f>IF(L133="",0,(((O133*12)*L133)*(1+tab!$D$55)*tab!$F$57))</f>
        <v>0</v>
      </c>
      <c r="T133" s="1131">
        <f t="shared" si="36"/>
        <v>0</v>
      </c>
      <c r="U133" s="219">
        <f t="shared" si="26"/>
        <v>0</v>
      </c>
      <c r="V133" s="1145">
        <f t="shared" si="37"/>
        <v>0</v>
      </c>
      <c r="W133" s="124"/>
      <c r="X133" s="91"/>
      <c r="AA133" s="642" t="e">
        <f>DATE(YEAR(tab!$F$3),MONTH(H133),DAY(H133))&gt;tab!$F$3</f>
        <v>#VALUE!</v>
      </c>
      <c r="AB133" s="643" t="e">
        <f t="shared" si="38"/>
        <v>#VALUE!</v>
      </c>
      <c r="AC133" s="244">
        <f t="shared" si="39"/>
        <v>30</v>
      </c>
      <c r="AD133" s="244">
        <f t="shared" si="30"/>
        <v>30</v>
      </c>
      <c r="AE133" s="643">
        <f t="shared" si="40"/>
        <v>0</v>
      </c>
      <c r="AK133" s="552"/>
    </row>
    <row r="134" spans="2:37" ht="12.75" customHeight="1" x14ac:dyDescent="0.2">
      <c r="B134" s="87"/>
      <c r="C134" s="108"/>
      <c r="D134" s="115" t="str">
        <f>IF(op!D66="","",op!D66)</f>
        <v/>
      </c>
      <c r="E134" s="115" t="str">
        <f>IF(op!E66=0,"",op!E66)</f>
        <v/>
      </c>
      <c r="F134" s="115" t="str">
        <f>IF(op!F66=0,"",op!F66)</f>
        <v/>
      </c>
      <c r="G134" s="132" t="str">
        <f>IF(op!G66="","",op!G66+1)</f>
        <v/>
      </c>
      <c r="H134" s="508" t="str">
        <f>IF(op!H66="","",op!H66)</f>
        <v/>
      </c>
      <c r="I134" s="132" t="str">
        <f>IF(op!I66=0,"",op!I66)</f>
        <v/>
      </c>
      <c r="J134" s="150" t="str">
        <f>IF(E134="","",(IF(op!J66+1&gt;LOOKUP(I134,schaal2011,regels2011),op!J66,op!J66+1)))</f>
        <v/>
      </c>
      <c r="K134" s="509" t="str">
        <f>IF(op!K66="","",op!K66)</f>
        <v/>
      </c>
      <c r="L134" s="510" t="str">
        <f>IF(op!L66="","",op!L66)</f>
        <v/>
      </c>
      <c r="M134" s="511" t="str">
        <f t="shared" si="33"/>
        <v/>
      </c>
      <c r="N134" s="109"/>
      <c r="O134" s="513" t="str">
        <f>IF(I134="","",VLOOKUP(I134,tab!$A$68:$V$108,J134+2,FALSE))</f>
        <v/>
      </c>
      <c r="P134" s="514" t="str">
        <f t="shared" si="34"/>
        <v/>
      </c>
      <c r="Q134" s="1173">
        <f t="shared" si="32"/>
        <v>0.62</v>
      </c>
      <c r="R134" s="514" t="str">
        <f t="shared" si="35"/>
        <v/>
      </c>
      <c r="S134" s="514">
        <f>IF(L134="",0,(((O134*12)*L134)*(1+tab!$D$55)*tab!$F$57))</f>
        <v>0</v>
      </c>
      <c r="T134" s="1131">
        <f t="shared" si="36"/>
        <v>0</v>
      </c>
      <c r="U134" s="219">
        <f t="shared" si="26"/>
        <v>0</v>
      </c>
      <c r="V134" s="1145">
        <f t="shared" si="37"/>
        <v>0</v>
      </c>
      <c r="W134" s="124"/>
      <c r="X134" s="91"/>
      <c r="AA134" s="642" t="e">
        <f>DATE(YEAR(tab!$F$3),MONTH(H134),DAY(H134))&gt;tab!$F$3</f>
        <v>#VALUE!</v>
      </c>
      <c r="AB134" s="643" t="e">
        <f t="shared" si="38"/>
        <v>#VALUE!</v>
      </c>
      <c r="AC134" s="244">
        <f t="shared" si="39"/>
        <v>30</v>
      </c>
      <c r="AD134" s="244">
        <f t="shared" si="30"/>
        <v>30</v>
      </c>
      <c r="AE134" s="643">
        <f t="shared" si="40"/>
        <v>0</v>
      </c>
      <c r="AK134" s="552"/>
    </row>
    <row r="135" spans="2:37" ht="12.75" customHeight="1" x14ac:dyDescent="0.2">
      <c r="B135" s="87"/>
      <c r="C135" s="108"/>
      <c r="D135" s="115" t="str">
        <f>IF(op!D67="","",op!D67)</f>
        <v/>
      </c>
      <c r="E135" s="115" t="str">
        <f>IF(op!E67=0,"",op!E67)</f>
        <v/>
      </c>
      <c r="F135" s="115" t="str">
        <f>IF(op!F67=0,"",op!F67)</f>
        <v/>
      </c>
      <c r="G135" s="132" t="str">
        <f>IF(op!G67="","",op!G67+1)</f>
        <v/>
      </c>
      <c r="H135" s="508" t="str">
        <f>IF(op!H67="","",op!H67)</f>
        <v/>
      </c>
      <c r="I135" s="132" t="str">
        <f>IF(op!I67=0,"",op!I67)</f>
        <v/>
      </c>
      <c r="J135" s="150" t="str">
        <f>IF(E135="","",(IF(op!J67+1&gt;LOOKUP(I135,schaal2011,regels2011),op!J67,op!J67+1)))</f>
        <v/>
      </c>
      <c r="K135" s="509" t="str">
        <f>IF(op!K67="","",op!K67)</f>
        <v/>
      </c>
      <c r="L135" s="510" t="str">
        <f>IF(op!L67="","",op!L67)</f>
        <v/>
      </c>
      <c r="M135" s="511" t="str">
        <f t="shared" si="33"/>
        <v/>
      </c>
      <c r="N135" s="109"/>
      <c r="O135" s="513" t="str">
        <f>IF(I135="","",VLOOKUP(I135,tab!$A$68:$V$108,J135+2,FALSE))</f>
        <v/>
      </c>
      <c r="P135" s="514" t="str">
        <f t="shared" si="34"/>
        <v/>
      </c>
      <c r="Q135" s="1173">
        <f t="shared" si="32"/>
        <v>0.62</v>
      </c>
      <c r="R135" s="514" t="str">
        <f t="shared" si="35"/>
        <v/>
      </c>
      <c r="S135" s="514">
        <f>IF(L135="",0,(((O135*12)*L135)*(1+tab!$D$55)*tab!$F$57))</f>
        <v>0</v>
      </c>
      <c r="T135" s="1131">
        <f t="shared" si="36"/>
        <v>0</v>
      </c>
      <c r="U135" s="219">
        <f t="shared" si="26"/>
        <v>0</v>
      </c>
      <c r="V135" s="1145">
        <f t="shared" si="37"/>
        <v>0</v>
      </c>
      <c r="W135" s="124"/>
      <c r="X135" s="91"/>
      <c r="AA135" s="642" t="e">
        <f>DATE(YEAR(tab!$F$3),MONTH(H135),DAY(H135))&gt;tab!$F$3</f>
        <v>#VALUE!</v>
      </c>
      <c r="AB135" s="643" t="e">
        <f t="shared" si="38"/>
        <v>#VALUE!</v>
      </c>
      <c r="AC135" s="244">
        <f t="shared" si="39"/>
        <v>30</v>
      </c>
      <c r="AD135" s="244">
        <f t="shared" si="30"/>
        <v>30</v>
      </c>
      <c r="AE135" s="643">
        <f t="shared" si="40"/>
        <v>0</v>
      </c>
      <c r="AK135" s="552"/>
    </row>
    <row r="136" spans="2:37" ht="12.75" customHeight="1" x14ac:dyDescent="0.2">
      <c r="B136" s="87"/>
      <c r="C136" s="108"/>
      <c r="D136" s="115" t="str">
        <f>IF(op!D68="","",op!D68)</f>
        <v/>
      </c>
      <c r="E136" s="115" t="str">
        <f>IF(op!E68=0,"",op!E68)</f>
        <v/>
      </c>
      <c r="F136" s="115" t="str">
        <f>IF(op!F68=0,"",op!F68)</f>
        <v/>
      </c>
      <c r="G136" s="132" t="str">
        <f>IF(op!G68="","",op!G68+1)</f>
        <v/>
      </c>
      <c r="H136" s="508" t="str">
        <f>IF(op!H68="","",op!H68)</f>
        <v/>
      </c>
      <c r="I136" s="132" t="str">
        <f>IF(op!I68=0,"",op!I68)</f>
        <v/>
      </c>
      <c r="J136" s="150" t="str">
        <f>IF(E136="","",(IF(op!J68+1&gt;LOOKUP(I136,schaal2011,regels2011),op!J68,op!J68+1)))</f>
        <v/>
      </c>
      <c r="K136" s="509" t="str">
        <f>IF(op!K68="","",op!K68)</f>
        <v/>
      </c>
      <c r="L136" s="510" t="str">
        <f>IF(op!L68="","",op!L68)</f>
        <v/>
      </c>
      <c r="M136" s="511" t="str">
        <f t="shared" si="33"/>
        <v/>
      </c>
      <c r="N136" s="109"/>
      <c r="O136" s="513" t="str">
        <f>IF(I136="","",VLOOKUP(I136,tab!$A$68:$V$108,J136+2,FALSE))</f>
        <v/>
      </c>
      <c r="P136" s="514" t="str">
        <f t="shared" si="34"/>
        <v/>
      </c>
      <c r="Q136" s="1173">
        <f t="shared" si="32"/>
        <v>0.62</v>
      </c>
      <c r="R136" s="514" t="str">
        <f t="shared" si="35"/>
        <v/>
      </c>
      <c r="S136" s="514">
        <f>IF(L136="",0,(((O136*12)*L136)*(1+tab!$D$55)*tab!$F$57))</f>
        <v>0</v>
      </c>
      <c r="T136" s="1131">
        <f t="shared" si="36"/>
        <v>0</v>
      </c>
      <c r="U136" s="219">
        <f t="shared" si="26"/>
        <v>0</v>
      </c>
      <c r="V136" s="1145">
        <f t="shared" si="37"/>
        <v>0</v>
      </c>
      <c r="W136" s="124"/>
      <c r="X136" s="91"/>
      <c r="AA136" s="642" t="e">
        <f>DATE(YEAR(tab!$F$3),MONTH(H136),DAY(H136))&gt;tab!$F$3</f>
        <v>#VALUE!</v>
      </c>
      <c r="AB136" s="643" t="e">
        <f t="shared" si="38"/>
        <v>#VALUE!</v>
      </c>
      <c r="AC136" s="244">
        <f t="shared" si="39"/>
        <v>30</v>
      </c>
      <c r="AD136" s="244">
        <f t="shared" si="30"/>
        <v>30</v>
      </c>
      <c r="AE136" s="643">
        <f t="shared" si="40"/>
        <v>0</v>
      </c>
      <c r="AK136" s="552"/>
    </row>
    <row r="137" spans="2:37" ht="12.75" customHeight="1" x14ac:dyDescent="0.2">
      <c r="B137" s="87"/>
      <c r="C137" s="108"/>
      <c r="D137" s="115" t="str">
        <f>IF(op!D69="","",op!D69)</f>
        <v/>
      </c>
      <c r="E137" s="115" t="str">
        <f>IF(op!E69=0,"",op!E69)</f>
        <v/>
      </c>
      <c r="F137" s="115" t="str">
        <f>IF(op!F69=0,"",op!F69)</f>
        <v/>
      </c>
      <c r="G137" s="132" t="str">
        <f>IF(op!G69="","",op!G69+1)</f>
        <v/>
      </c>
      <c r="H137" s="508" t="str">
        <f>IF(op!H69="","",op!H69)</f>
        <v/>
      </c>
      <c r="I137" s="132" t="str">
        <f>IF(op!I69=0,"",op!I69)</f>
        <v/>
      </c>
      <c r="J137" s="150" t="str">
        <f>IF(E137="","",(IF(op!J69+1&gt;LOOKUP(I137,schaal2011,regels2011),op!J69,op!J69+1)))</f>
        <v/>
      </c>
      <c r="K137" s="509" t="str">
        <f>IF(op!K69="","",op!K69)</f>
        <v/>
      </c>
      <c r="L137" s="510" t="str">
        <f>IF(op!L69="","",op!L69)</f>
        <v/>
      </c>
      <c r="M137" s="511" t="str">
        <f t="shared" si="33"/>
        <v/>
      </c>
      <c r="N137" s="109"/>
      <c r="O137" s="513" t="str">
        <f>IF(I137="","",VLOOKUP(I137,tab!$A$68:$V$108,J137+2,FALSE))</f>
        <v/>
      </c>
      <c r="P137" s="514" t="str">
        <f t="shared" si="34"/>
        <v/>
      </c>
      <c r="Q137" s="1173">
        <f t="shared" si="32"/>
        <v>0.62</v>
      </c>
      <c r="R137" s="514" t="str">
        <f t="shared" si="35"/>
        <v/>
      </c>
      <c r="S137" s="514">
        <f>IF(L137="",0,(((O137*12)*L137)*(1+tab!$D$55)*tab!$F$57))</f>
        <v>0</v>
      </c>
      <c r="T137" s="1131">
        <f t="shared" si="36"/>
        <v>0</v>
      </c>
      <c r="U137" s="219">
        <f t="shared" si="26"/>
        <v>0</v>
      </c>
      <c r="V137" s="1145">
        <f t="shared" si="37"/>
        <v>0</v>
      </c>
      <c r="W137" s="124"/>
      <c r="X137" s="91"/>
      <c r="AA137" s="642" t="e">
        <f>DATE(YEAR(tab!$F$3),MONTH(H137),DAY(H137))&gt;tab!$F$3</f>
        <v>#VALUE!</v>
      </c>
      <c r="AB137" s="643" t="e">
        <f t="shared" si="38"/>
        <v>#VALUE!</v>
      </c>
      <c r="AC137" s="244">
        <f t="shared" si="39"/>
        <v>30</v>
      </c>
      <c r="AD137" s="244">
        <f t="shared" si="30"/>
        <v>30</v>
      </c>
      <c r="AE137" s="643">
        <f t="shared" si="40"/>
        <v>0</v>
      </c>
      <c r="AK137" s="552"/>
    </row>
    <row r="138" spans="2:37" x14ac:dyDescent="0.2">
      <c r="B138" s="87"/>
      <c r="C138" s="108"/>
      <c r="D138" s="115" t="str">
        <f>IF(op!D70="","",op!D70)</f>
        <v/>
      </c>
      <c r="E138" s="115" t="str">
        <f>IF(op!E70=0,"",op!E70)</f>
        <v/>
      </c>
      <c r="F138" s="115" t="str">
        <f>IF(op!F70=0,"",op!F70)</f>
        <v/>
      </c>
      <c r="G138" s="132" t="str">
        <f>IF(op!G70="","",op!G70+1)</f>
        <v/>
      </c>
      <c r="H138" s="508" t="str">
        <f>IF(op!H70="","",op!H70)</f>
        <v/>
      </c>
      <c r="I138" s="132" t="str">
        <f>IF(op!I70=0,"",op!I70)</f>
        <v/>
      </c>
      <c r="J138" s="150" t="str">
        <f>IF(E138="","",(IF(op!J70+1&gt;LOOKUP(I138,schaal2011,regels2011),op!J70,op!J70+1)))</f>
        <v/>
      </c>
      <c r="K138" s="509" t="str">
        <f>IF(op!K70="","",op!K70)</f>
        <v/>
      </c>
      <c r="L138" s="510" t="str">
        <f>IF(op!L70="","",op!L70)</f>
        <v/>
      </c>
      <c r="M138" s="511" t="str">
        <f t="shared" si="33"/>
        <v/>
      </c>
      <c r="N138" s="109"/>
      <c r="O138" s="513" t="str">
        <f>IF(I138="","",VLOOKUP(I138,tab!$A$68:$V$108,J138+2,FALSE))</f>
        <v/>
      </c>
      <c r="P138" s="514" t="str">
        <f t="shared" si="34"/>
        <v/>
      </c>
      <c r="Q138" s="1173">
        <f t="shared" si="32"/>
        <v>0.62</v>
      </c>
      <c r="R138" s="514" t="str">
        <f t="shared" si="35"/>
        <v/>
      </c>
      <c r="S138" s="514">
        <f>IF(L138="",0,(((O138*12)*L138)*(1+tab!$D$55)*tab!$F$57))</f>
        <v>0</v>
      </c>
      <c r="T138" s="1131">
        <f t="shared" si="36"/>
        <v>0</v>
      </c>
      <c r="U138" s="219">
        <f t="shared" si="26"/>
        <v>0</v>
      </c>
      <c r="V138" s="1145">
        <f t="shared" si="37"/>
        <v>0</v>
      </c>
      <c r="W138" s="124"/>
      <c r="X138" s="91"/>
      <c r="AA138" s="642" t="e">
        <f>DATE(YEAR(tab!$F$3),MONTH(H138),DAY(H138))&gt;tab!$F$3</f>
        <v>#VALUE!</v>
      </c>
      <c r="AB138" s="643" t="e">
        <f t="shared" si="38"/>
        <v>#VALUE!</v>
      </c>
      <c r="AC138" s="244">
        <f t="shared" si="39"/>
        <v>30</v>
      </c>
      <c r="AD138" s="244">
        <f t="shared" si="30"/>
        <v>30</v>
      </c>
      <c r="AE138" s="643">
        <f t="shared" si="40"/>
        <v>0</v>
      </c>
      <c r="AK138" s="552"/>
    </row>
    <row r="139" spans="2:37" x14ac:dyDescent="0.2">
      <c r="B139" s="87"/>
      <c r="C139" s="116"/>
      <c r="D139" s="296"/>
      <c r="E139" s="645"/>
      <c r="F139" s="296"/>
      <c r="G139" s="645"/>
      <c r="H139" s="646"/>
      <c r="I139" s="645"/>
      <c r="J139" s="647"/>
      <c r="K139" s="648">
        <f>SUM(K84:K138)</f>
        <v>1</v>
      </c>
      <c r="L139" s="648">
        <f>SUM(L84:L138)</f>
        <v>0.125</v>
      </c>
      <c r="M139" s="648">
        <f>SUM(M84:M138)</f>
        <v>0.875</v>
      </c>
      <c r="N139" s="296"/>
      <c r="O139" s="649">
        <f t="shared" ref="O139:V139" si="41">SUM(O84:O138)</f>
        <v>3274</v>
      </c>
      <c r="P139" s="649">
        <f t="shared" si="41"/>
        <v>34377</v>
      </c>
      <c r="Q139" s="650"/>
      <c r="R139" s="649">
        <f t="shared" si="41"/>
        <v>21313.74</v>
      </c>
      <c r="S139" s="649">
        <f t="shared" si="41"/>
        <v>6236.97</v>
      </c>
      <c r="T139" s="649">
        <f t="shared" si="41"/>
        <v>61927.710000000006</v>
      </c>
      <c r="U139" s="651">
        <f t="shared" si="41"/>
        <v>0</v>
      </c>
      <c r="V139" s="1154">
        <f t="shared" si="41"/>
        <v>0</v>
      </c>
      <c r="W139" s="124"/>
      <c r="X139" s="91"/>
      <c r="AA139" s="652"/>
      <c r="AB139" s="652"/>
      <c r="AK139" s="552"/>
    </row>
    <row r="140" spans="2:37" x14ac:dyDescent="0.2">
      <c r="B140" s="87"/>
      <c r="I140" s="202"/>
      <c r="M140" s="366"/>
      <c r="N140" s="363"/>
      <c r="O140" s="365"/>
      <c r="P140" s="573"/>
      <c r="Q140" s="653"/>
      <c r="R140" s="654"/>
      <c r="S140" s="573"/>
      <c r="U140" s="655"/>
      <c r="V140" s="1152"/>
      <c r="X140" s="91"/>
      <c r="AK140" s="552"/>
    </row>
    <row r="141" spans="2:37" ht="12.75" customHeight="1" x14ac:dyDescent="0.2">
      <c r="B141" s="199"/>
      <c r="C141" s="200"/>
      <c r="D141" s="554"/>
      <c r="E141" s="554"/>
      <c r="F141" s="554"/>
      <c r="G141" s="555"/>
      <c r="H141" s="556"/>
      <c r="I141" s="555"/>
      <c r="J141" s="557"/>
      <c r="K141" s="559"/>
      <c r="L141" s="557"/>
      <c r="M141" s="559"/>
      <c r="N141" s="554"/>
      <c r="O141" s="557"/>
      <c r="P141" s="670"/>
      <c r="Q141" s="671"/>
      <c r="R141" s="672"/>
      <c r="S141" s="670"/>
      <c r="T141" s="670"/>
      <c r="U141" s="673"/>
      <c r="V141" s="1156"/>
      <c r="W141" s="200"/>
      <c r="X141" s="201"/>
    </row>
    <row r="142" spans="2:37" ht="12.75" customHeight="1" x14ac:dyDescent="0.2">
      <c r="I142" s="202"/>
      <c r="M142" s="366"/>
      <c r="N142" s="363"/>
      <c r="O142" s="365"/>
      <c r="P142" s="573"/>
      <c r="Q142" s="653"/>
      <c r="R142" s="654"/>
      <c r="S142" s="573"/>
      <c r="U142" s="655"/>
      <c r="V142" s="1152"/>
    </row>
    <row r="143" spans="2:37" ht="12.75" customHeight="1" x14ac:dyDescent="0.2">
      <c r="I143" s="202"/>
      <c r="M143" s="366"/>
      <c r="N143" s="363"/>
      <c r="O143" s="365"/>
      <c r="P143" s="573"/>
      <c r="Q143" s="653"/>
      <c r="R143" s="654"/>
      <c r="S143" s="573"/>
      <c r="U143" s="655"/>
      <c r="V143" s="1152"/>
    </row>
    <row r="144" spans="2:37" ht="12.75" customHeight="1" x14ac:dyDescent="0.2">
      <c r="C144" s="86" t="s">
        <v>290</v>
      </c>
      <c r="E144" s="567" t="str">
        <f>dir!E53</f>
        <v>2015/16</v>
      </c>
      <c r="I144" s="202"/>
      <c r="M144" s="366"/>
      <c r="N144" s="363"/>
      <c r="O144" s="365"/>
      <c r="P144" s="573"/>
      <c r="Q144" s="653"/>
      <c r="R144" s="654"/>
      <c r="S144" s="573"/>
      <c r="U144" s="655"/>
      <c r="V144" s="1152"/>
    </row>
    <row r="145" spans="2:42" ht="12.75" customHeight="1" x14ac:dyDescent="0.2">
      <c r="C145" s="86" t="s">
        <v>314</v>
      </c>
      <c r="E145" s="567">
        <f>dir!E54</f>
        <v>42278</v>
      </c>
      <c r="I145" s="202"/>
      <c r="M145" s="366"/>
      <c r="N145" s="363"/>
      <c r="O145" s="365"/>
      <c r="P145" s="573"/>
      <c r="Q145" s="653"/>
      <c r="R145" s="654"/>
      <c r="S145" s="573"/>
      <c r="U145" s="655"/>
      <c r="V145" s="1152"/>
    </row>
    <row r="146" spans="2:42" ht="12.75" customHeight="1" x14ac:dyDescent="0.2">
      <c r="D146" s="674"/>
      <c r="E146" s="674"/>
      <c r="F146" s="674"/>
      <c r="G146" s="675"/>
      <c r="H146" s="676"/>
      <c r="I146" s="677"/>
      <c r="J146" s="677"/>
      <c r="K146" s="678"/>
      <c r="L146" s="678"/>
      <c r="M146" s="366"/>
      <c r="N146" s="363"/>
      <c r="O146" s="365"/>
      <c r="P146" s="679"/>
      <c r="Q146" s="680"/>
      <c r="R146" s="681"/>
      <c r="S146" s="679"/>
      <c r="T146" s="679"/>
      <c r="U146" s="682"/>
      <c r="V146" s="1157"/>
      <c r="AA146" s="652"/>
      <c r="AB146" s="652"/>
    </row>
    <row r="147" spans="2:42" ht="12.75" customHeight="1" x14ac:dyDescent="0.2">
      <c r="C147" s="621"/>
      <c r="D147" s="622"/>
      <c r="E147" s="623"/>
      <c r="F147" s="622"/>
      <c r="G147" s="624"/>
      <c r="H147" s="625"/>
      <c r="I147" s="626"/>
      <c r="J147" s="626"/>
      <c r="K147" s="627"/>
      <c r="L147" s="626"/>
      <c r="M147" s="628"/>
      <c r="N147" s="629"/>
      <c r="O147" s="630"/>
      <c r="P147" s="629"/>
      <c r="Q147" s="624"/>
      <c r="R147" s="631"/>
      <c r="S147" s="629"/>
      <c r="T147" s="1138"/>
      <c r="U147" s="632"/>
      <c r="V147" s="1153"/>
      <c r="W147" s="124"/>
      <c r="AF147" s="433"/>
      <c r="AG147" s="433"/>
      <c r="AH147" s="433"/>
      <c r="AI147" s="433"/>
      <c r="AJ147" s="366"/>
      <c r="AK147" s="365"/>
      <c r="AL147" s="367"/>
      <c r="AM147" s="434"/>
      <c r="AN147" s="366"/>
    </row>
    <row r="148" spans="2:42" s="124" customFormat="1" ht="12.75" customHeight="1" x14ac:dyDescent="0.2">
      <c r="B148" s="86"/>
      <c r="C148" s="214"/>
      <c r="D148" s="157" t="s">
        <v>457</v>
      </c>
      <c r="E148" s="633"/>
      <c r="F148" s="633"/>
      <c r="G148" s="633"/>
      <c r="H148" s="633"/>
      <c r="I148" s="634"/>
      <c r="J148" s="634"/>
      <c r="K148" s="634"/>
      <c r="L148" s="634"/>
      <c r="M148" s="634"/>
      <c r="N148" s="472"/>
      <c r="O148" s="1277" t="s">
        <v>298</v>
      </c>
      <c r="P148" s="1279"/>
      <c r="Q148" s="1279"/>
      <c r="R148" s="1279"/>
      <c r="S148" s="1279"/>
      <c r="T148" s="1279"/>
      <c r="U148" s="473"/>
      <c r="V148" s="216"/>
      <c r="W148" s="635"/>
      <c r="X148" s="86"/>
      <c r="Y148" s="86"/>
      <c r="Z148" s="86"/>
      <c r="AA148" s="357"/>
      <c r="AB148" s="357"/>
      <c r="AC148" s="357"/>
      <c r="AD148" s="357"/>
      <c r="AE148" s="357"/>
      <c r="AO148" s="476"/>
      <c r="AP148" s="476"/>
    </row>
    <row r="149" spans="2:42" s="124" customFormat="1" ht="12.75" customHeight="1" x14ac:dyDescent="0.2">
      <c r="B149" s="86"/>
      <c r="C149" s="214"/>
      <c r="D149" s="165" t="s">
        <v>152</v>
      </c>
      <c r="E149" s="165" t="s">
        <v>296</v>
      </c>
      <c r="F149" s="165" t="s">
        <v>275</v>
      </c>
      <c r="G149" s="480" t="s">
        <v>235</v>
      </c>
      <c r="H149" s="481" t="s">
        <v>439</v>
      </c>
      <c r="I149" s="480" t="s">
        <v>333</v>
      </c>
      <c r="J149" s="480" t="s">
        <v>368</v>
      </c>
      <c r="K149" s="482" t="s">
        <v>238</v>
      </c>
      <c r="L149" s="483" t="s">
        <v>334</v>
      </c>
      <c r="M149" s="482" t="s">
        <v>238</v>
      </c>
      <c r="N149" s="259"/>
      <c r="O149" s="584" t="s">
        <v>502</v>
      </c>
      <c r="P149" s="484" t="s">
        <v>637</v>
      </c>
      <c r="Q149" s="584" t="s">
        <v>0</v>
      </c>
      <c r="R149" s="485"/>
      <c r="S149" s="487" t="s">
        <v>334</v>
      </c>
      <c r="T149" s="1130" t="s">
        <v>313</v>
      </c>
      <c r="U149" s="486" t="s">
        <v>467</v>
      </c>
      <c r="V149" s="216" t="s">
        <v>668</v>
      </c>
      <c r="W149" s="636"/>
      <c r="X149" s="86"/>
      <c r="Y149" s="86"/>
      <c r="Z149" s="86"/>
      <c r="AA149" s="350" t="s">
        <v>444</v>
      </c>
      <c r="AB149" s="350" t="s">
        <v>445</v>
      </c>
      <c r="AC149" s="350" t="s">
        <v>237</v>
      </c>
      <c r="AD149" s="350" t="s">
        <v>326</v>
      </c>
      <c r="AE149" s="637" t="s">
        <v>300</v>
      </c>
      <c r="AO149" s="476"/>
      <c r="AP149" s="490"/>
    </row>
    <row r="150" spans="2:42" s="124" customFormat="1" ht="12.75" customHeight="1" x14ac:dyDescent="0.2">
      <c r="B150" s="86"/>
      <c r="C150" s="214"/>
      <c r="D150" s="633"/>
      <c r="E150" s="165"/>
      <c r="F150" s="494"/>
      <c r="G150" s="480" t="s">
        <v>236</v>
      </c>
      <c r="H150" s="481" t="s">
        <v>440</v>
      </c>
      <c r="I150" s="480"/>
      <c r="J150" s="480"/>
      <c r="K150" s="482" t="s">
        <v>443</v>
      </c>
      <c r="L150" s="483"/>
      <c r="M150" s="482" t="s">
        <v>337</v>
      </c>
      <c r="N150" s="259"/>
      <c r="O150" s="584" t="s">
        <v>321</v>
      </c>
      <c r="P150" s="484" t="s">
        <v>636</v>
      </c>
      <c r="Q150" s="1176">
        <f>tab!$E$55</f>
        <v>0.62</v>
      </c>
      <c r="R150" s="485" t="s">
        <v>1</v>
      </c>
      <c r="S150" s="487" t="s">
        <v>367</v>
      </c>
      <c r="T150" s="1130" t="s">
        <v>434</v>
      </c>
      <c r="U150" s="486"/>
      <c r="V150" s="487" t="s">
        <v>367</v>
      </c>
      <c r="X150" s="86"/>
      <c r="Y150" s="86"/>
      <c r="Z150" s="86"/>
      <c r="AA150" s="637" t="s">
        <v>441</v>
      </c>
      <c r="AB150" s="637" t="s">
        <v>441</v>
      </c>
      <c r="AC150" s="350"/>
      <c r="AD150" s="350" t="s">
        <v>300</v>
      </c>
      <c r="AE150" s="637"/>
      <c r="AP150" s="638"/>
    </row>
    <row r="151" spans="2:42" ht="12.75" customHeight="1" x14ac:dyDescent="0.2">
      <c r="C151" s="108"/>
      <c r="D151" s="109"/>
      <c r="E151" s="109"/>
      <c r="F151" s="109"/>
      <c r="G151" s="113"/>
      <c r="H151" s="499"/>
      <c r="I151" s="500"/>
      <c r="J151" s="500"/>
      <c r="K151" s="501"/>
      <c r="L151" s="498"/>
      <c r="M151" s="501"/>
      <c r="N151" s="109"/>
      <c r="O151" s="502"/>
      <c r="P151" s="503"/>
      <c r="Q151" s="503"/>
      <c r="R151" s="639"/>
      <c r="S151" s="503"/>
      <c r="T151" s="694"/>
      <c r="U151" s="138"/>
      <c r="V151" s="504"/>
      <c r="W151" s="124"/>
      <c r="AE151" s="637"/>
      <c r="AM151" s="86"/>
      <c r="AN151" s="86"/>
      <c r="AP151" s="506"/>
    </row>
    <row r="152" spans="2:42" ht="12.75" customHeight="1" x14ac:dyDescent="0.2">
      <c r="C152" s="108"/>
      <c r="D152" s="115" t="str">
        <f>IF(op!D84="","",op!D84)</f>
        <v/>
      </c>
      <c r="E152" s="115" t="str">
        <f>IF(op!E84=0,"",op!E84)</f>
        <v>nn</v>
      </c>
      <c r="F152" s="115" t="str">
        <f>IF(op!F84=0,"",op!F84)</f>
        <v/>
      </c>
      <c r="G152" s="132" t="str">
        <f>IF(op!G84="","",op!G84+1)</f>
        <v/>
      </c>
      <c r="H152" s="508">
        <f>IF(op!H84="","",op!H84)</f>
        <v>25934</v>
      </c>
      <c r="I152" s="132" t="str">
        <f>IF(op!I84=0,"",op!I84)</f>
        <v>LA</v>
      </c>
      <c r="J152" s="150">
        <f>IF(E152="","",(IF(op!J84+1&gt;LOOKUP(I152,schaal2011,regels2011),op!J84,op!J84+1)))</f>
        <v>15</v>
      </c>
      <c r="K152" s="509">
        <f>IF(op!K84="","",op!K84)</f>
        <v>1</v>
      </c>
      <c r="L152" s="510">
        <f>IF(op!L84="","",op!L84)</f>
        <v>0.125</v>
      </c>
      <c r="M152" s="511">
        <f t="shared" ref="M152:M183" si="42">(IF(L152="",(K152),(K152)-L152))</f>
        <v>0.875</v>
      </c>
      <c r="N152" s="109"/>
      <c r="O152" s="513">
        <f>IF(I152="","",VLOOKUP(I152,tab!$A$68:$V$108,J152+2,FALSE))</f>
        <v>3274</v>
      </c>
      <c r="P152" s="514">
        <f t="shared" ref="P152:P183" si="43">IF(E152="","",(O152*M152*12))</f>
        <v>34377</v>
      </c>
      <c r="Q152" s="1173">
        <f>$Q$150</f>
        <v>0.62</v>
      </c>
      <c r="R152" s="514">
        <f t="shared" ref="R152:R183" si="44">IF(E152="","",(P152)*Q152)</f>
        <v>21313.74</v>
      </c>
      <c r="S152" s="514">
        <f>IF(L152="",0,(((O152*12)*L152)*(1+tab!$D$55)*tab!$F$57))</f>
        <v>6236.97</v>
      </c>
      <c r="T152" s="1131">
        <f t="shared" ref="T152:T183" si="45">IF(E152="",0,(P152+R152+S152))</f>
        <v>61927.710000000006</v>
      </c>
      <c r="U152" s="219">
        <f t="shared" ref="U152:U183" si="46">IF(G152&lt;25,0,IF(G152=25,25,IF(G152&lt;40,0,IF(G152=40,40,IF(G152&gt;=40,0)))))</f>
        <v>0</v>
      </c>
      <c r="V152" s="1145">
        <f t="shared" ref="V152:V183" si="47">IF(U152=25,(O152*1.08*(K152)/2),IF(U152=40,(O152*1.08*(K152)),IF(U152=0,0)))</f>
        <v>0</v>
      </c>
      <c r="W152" s="469"/>
      <c r="AA152" s="642" t="b">
        <f>DATE(YEAR(tab!$G$3),MONTH(H152),DAY(H152))&gt;tab!$G$3</f>
        <v>0</v>
      </c>
      <c r="AB152" s="643">
        <f t="shared" ref="AB152:AB183" si="48">YEAR($E$145)-YEAR(H152)-AA152</f>
        <v>44</v>
      </c>
      <c r="AC152" s="244">
        <f t="shared" ref="AC152:AC183" si="49">IF((H152=""),30,AB152)</f>
        <v>44</v>
      </c>
      <c r="AD152" s="244">
        <f t="shared" ref="AD152:AD183" si="50">IF((AC152)&gt;50,50,(AC152))</f>
        <v>44</v>
      </c>
      <c r="AE152" s="643">
        <f t="shared" ref="AE152:AE183" si="51">ROUND((AD152*(SUM(K152:K152))),2)</f>
        <v>44</v>
      </c>
      <c r="AK152" s="552"/>
    </row>
    <row r="153" spans="2:42" ht="12.75" customHeight="1" x14ac:dyDescent="0.2">
      <c r="C153" s="108"/>
      <c r="D153" s="115" t="str">
        <f>IF(op!D85="","",op!D85)</f>
        <v/>
      </c>
      <c r="E153" s="115" t="str">
        <f>IF(op!E85=0,"",op!E85)</f>
        <v/>
      </c>
      <c r="F153" s="115" t="str">
        <f>IF(op!F85=0,"",op!F85)</f>
        <v/>
      </c>
      <c r="G153" s="132" t="str">
        <f>IF(op!G85="","",op!G85+1)</f>
        <v/>
      </c>
      <c r="H153" s="508" t="str">
        <f>IF(op!H85="","",op!H85)</f>
        <v/>
      </c>
      <c r="I153" s="132" t="str">
        <f>IF(op!I85=0,"",op!I85)</f>
        <v/>
      </c>
      <c r="J153" s="150" t="str">
        <f>IF(E153="","",(IF(op!J85+1&gt;LOOKUP(I153,schaal2011,regels2011),op!J85,op!J85+1)))</f>
        <v/>
      </c>
      <c r="K153" s="509" t="str">
        <f>IF(op!K85="","",op!K85)</f>
        <v/>
      </c>
      <c r="L153" s="510" t="str">
        <f>IF(op!L85="","",op!L85)</f>
        <v/>
      </c>
      <c r="M153" s="511" t="str">
        <f t="shared" si="42"/>
        <v/>
      </c>
      <c r="N153" s="109"/>
      <c r="O153" s="513" t="str">
        <f>IF(I153="","",VLOOKUP(I153,tab!$A$68:$V$108,J153+2,FALSE))</f>
        <v/>
      </c>
      <c r="P153" s="514" t="str">
        <f t="shared" si="43"/>
        <v/>
      </c>
      <c r="Q153" s="1173">
        <f t="shared" ref="Q153:Q206" si="52">$Q$150</f>
        <v>0.62</v>
      </c>
      <c r="R153" s="514" t="str">
        <f t="shared" si="44"/>
        <v/>
      </c>
      <c r="S153" s="514">
        <f>IF(L153="",0,(((O153*12)*L153)*(1+tab!$D$55)*tab!$F$57))</f>
        <v>0</v>
      </c>
      <c r="T153" s="1131">
        <f t="shared" si="45"/>
        <v>0</v>
      </c>
      <c r="U153" s="219">
        <f t="shared" si="46"/>
        <v>0</v>
      </c>
      <c r="V153" s="1145">
        <f t="shared" si="47"/>
        <v>0</v>
      </c>
      <c r="W153" s="469"/>
      <c r="AA153" s="642" t="e">
        <f>DATE(YEAR(tab!$G$3),MONTH(H153),DAY(H153))&gt;tab!$G$3</f>
        <v>#VALUE!</v>
      </c>
      <c r="AB153" s="643" t="e">
        <f t="shared" si="48"/>
        <v>#VALUE!</v>
      </c>
      <c r="AC153" s="244">
        <f t="shared" si="49"/>
        <v>30</v>
      </c>
      <c r="AD153" s="244">
        <f t="shared" si="50"/>
        <v>30</v>
      </c>
      <c r="AE153" s="643">
        <f t="shared" si="51"/>
        <v>0</v>
      </c>
      <c r="AK153" s="552"/>
    </row>
    <row r="154" spans="2:42" ht="12.75" customHeight="1" x14ac:dyDescent="0.2">
      <c r="C154" s="108"/>
      <c r="D154" s="115" t="str">
        <f>IF(op!D86="","",op!D86)</f>
        <v/>
      </c>
      <c r="E154" s="115" t="str">
        <f>IF(op!E86=0,"",op!E86)</f>
        <v/>
      </c>
      <c r="F154" s="115" t="str">
        <f>IF(op!F86=0,"",op!F86)</f>
        <v/>
      </c>
      <c r="G154" s="132" t="str">
        <f>IF(op!G86="","",op!G86+1)</f>
        <v/>
      </c>
      <c r="H154" s="508" t="str">
        <f>IF(op!H86="","",op!H86)</f>
        <v/>
      </c>
      <c r="I154" s="132" t="str">
        <f>IF(op!I86=0,"",op!I86)</f>
        <v/>
      </c>
      <c r="J154" s="150" t="str">
        <f>IF(E154="","",(IF(op!J86+1&gt;LOOKUP(I154,schaal2011,regels2011),op!J86,op!J86+1)))</f>
        <v/>
      </c>
      <c r="K154" s="509" t="str">
        <f>IF(op!K86="","",op!K86)</f>
        <v/>
      </c>
      <c r="L154" s="510" t="str">
        <f>IF(op!L86="","",op!L86)</f>
        <v/>
      </c>
      <c r="M154" s="511" t="str">
        <f t="shared" si="42"/>
        <v/>
      </c>
      <c r="N154" s="109"/>
      <c r="O154" s="513" t="str">
        <f>IF(I154="","",VLOOKUP(I154,tab!$A$68:$V$108,J154+2,FALSE))</f>
        <v/>
      </c>
      <c r="P154" s="514" t="str">
        <f t="shared" si="43"/>
        <v/>
      </c>
      <c r="Q154" s="1173">
        <f t="shared" si="52"/>
        <v>0.62</v>
      </c>
      <c r="R154" s="514" t="str">
        <f t="shared" si="44"/>
        <v/>
      </c>
      <c r="S154" s="514">
        <f>IF(L154="",0,(((O154*12)*L154)*(1+tab!$D$55)*tab!$F$57))</f>
        <v>0</v>
      </c>
      <c r="T154" s="1131">
        <f t="shared" si="45"/>
        <v>0</v>
      </c>
      <c r="U154" s="219">
        <f t="shared" si="46"/>
        <v>0</v>
      </c>
      <c r="V154" s="1145">
        <f t="shared" si="47"/>
        <v>0</v>
      </c>
      <c r="W154" s="644"/>
      <c r="AA154" s="642" t="e">
        <f>DATE(YEAR(tab!$G$3),MONTH(H154),DAY(H154))&gt;tab!$G$3</f>
        <v>#VALUE!</v>
      </c>
      <c r="AB154" s="643" t="e">
        <f t="shared" si="48"/>
        <v>#VALUE!</v>
      </c>
      <c r="AC154" s="244">
        <f t="shared" si="49"/>
        <v>30</v>
      </c>
      <c r="AD154" s="244">
        <f t="shared" si="50"/>
        <v>30</v>
      </c>
      <c r="AE154" s="643">
        <f t="shared" si="51"/>
        <v>0</v>
      </c>
      <c r="AK154" s="552"/>
    </row>
    <row r="155" spans="2:42" ht="12.75" customHeight="1" x14ac:dyDescent="0.2">
      <c r="C155" s="108"/>
      <c r="D155" s="115" t="str">
        <f>IF(op!D87="","",op!D87)</f>
        <v/>
      </c>
      <c r="E155" s="115" t="str">
        <f>IF(op!E87=0,"",op!E87)</f>
        <v/>
      </c>
      <c r="F155" s="115" t="str">
        <f>IF(op!F87=0,"",op!F87)</f>
        <v/>
      </c>
      <c r="G155" s="132" t="str">
        <f>IF(op!G87="","",op!G87+1)</f>
        <v/>
      </c>
      <c r="H155" s="508" t="str">
        <f>IF(op!H87="","",op!H87)</f>
        <v/>
      </c>
      <c r="I155" s="132" t="str">
        <f>IF(op!I87=0,"",op!I87)</f>
        <v/>
      </c>
      <c r="J155" s="150" t="str">
        <f>IF(E155="","",(IF(op!J87+1&gt;LOOKUP(I155,schaal2011,regels2011),op!J87,op!J87+1)))</f>
        <v/>
      </c>
      <c r="K155" s="509" t="str">
        <f>IF(op!K87="","",op!K87)</f>
        <v/>
      </c>
      <c r="L155" s="510" t="str">
        <f>IF(op!L87="","",op!L87)</f>
        <v/>
      </c>
      <c r="M155" s="511" t="str">
        <f t="shared" si="42"/>
        <v/>
      </c>
      <c r="N155" s="109"/>
      <c r="O155" s="513" t="str">
        <f>IF(I155="","",VLOOKUP(I155,tab!$A$68:$V$108,J155+2,FALSE))</f>
        <v/>
      </c>
      <c r="P155" s="514" t="str">
        <f t="shared" si="43"/>
        <v/>
      </c>
      <c r="Q155" s="1173">
        <f t="shared" si="52"/>
        <v>0.62</v>
      </c>
      <c r="R155" s="514" t="str">
        <f t="shared" si="44"/>
        <v/>
      </c>
      <c r="S155" s="514">
        <f>IF(L155="",0,(((O155*12)*L155)*(1+tab!$D$55)*tab!$F$57))</f>
        <v>0</v>
      </c>
      <c r="T155" s="1131">
        <f t="shared" si="45"/>
        <v>0</v>
      </c>
      <c r="U155" s="219">
        <f t="shared" si="46"/>
        <v>0</v>
      </c>
      <c r="V155" s="1145">
        <f t="shared" si="47"/>
        <v>0</v>
      </c>
      <c r="W155" s="644"/>
      <c r="AA155" s="642" t="e">
        <f>DATE(YEAR(tab!$G$3),MONTH(H155),DAY(H155))&gt;tab!$G$3</f>
        <v>#VALUE!</v>
      </c>
      <c r="AB155" s="643" t="e">
        <f t="shared" si="48"/>
        <v>#VALUE!</v>
      </c>
      <c r="AC155" s="244">
        <f t="shared" si="49"/>
        <v>30</v>
      </c>
      <c r="AD155" s="244">
        <f t="shared" si="50"/>
        <v>30</v>
      </c>
      <c r="AE155" s="643">
        <f t="shared" si="51"/>
        <v>0</v>
      </c>
      <c r="AK155" s="552"/>
    </row>
    <row r="156" spans="2:42" ht="12.75" customHeight="1" x14ac:dyDescent="0.2">
      <c r="C156" s="108"/>
      <c r="D156" s="115" t="str">
        <f>IF(op!D88="","",op!D88)</f>
        <v/>
      </c>
      <c r="E156" s="115" t="str">
        <f>IF(op!E88=0,"",op!E88)</f>
        <v/>
      </c>
      <c r="F156" s="115" t="str">
        <f>IF(op!F88=0,"",op!F88)</f>
        <v/>
      </c>
      <c r="G156" s="132" t="str">
        <f>IF(op!G88="","",op!G88+1)</f>
        <v/>
      </c>
      <c r="H156" s="508" t="str">
        <f>IF(op!H88="","",op!H88)</f>
        <v/>
      </c>
      <c r="I156" s="132" t="str">
        <f>IF(op!I88=0,"",op!I88)</f>
        <v/>
      </c>
      <c r="J156" s="150" t="str">
        <f>IF(E156="","",(IF(op!J88+1&gt;LOOKUP(I156,schaal2011,regels2011),op!J88,op!J88+1)))</f>
        <v/>
      </c>
      <c r="K156" s="509" t="str">
        <f>IF(op!K88="","",op!K88)</f>
        <v/>
      </c>
      <c r="L156" s="510" t="str">
        <f>IF(op!L88="","",op!L88)</f>
        <v/>
      </c>
      <c r="M156" s="511" t="str">
        <f t="shared" si="42"/>
        <v/>
      </c>
      <c r="N156" s="109"/>
      <c r="O156" s="513" t="str">
        <f>IF(I156="","",VLOOKUP(I156,tab!$A$68:$V$108,J156+2,FALSE))</f>
        <v/>
      </c>
      <c r="P156" s="514" t="str">
        <f t="shared" si="43"/>
        <v/>
      </c>
      <c r="Q156" s="1173">
        <f t="shared" si="52"/>
        <v>0.62</v>
      </c>
      <c r="R156" s="514" t="str">
        <f t="shared" si="44"/>
        <v/>
      </c>
      <c r="S156" s="514">
        <f>IF(L156="",0,(((O156*12)*L156)*(1+tab!$D$55)*tab!$F$57))</f>
        <v>0</v>
      </c>
      <c r="T156" s="1131">
        <f t="shared" si="45"/>
        <v>0</v>
      </c>
      <c r="U156" s="219">
        <f t="shared" si="46"/>
        <v>0</v>
      </c>
      <c r="V156" s="1145">
        <f t="shared" si="47"/>
        <v>0</v>
      </c>
      <c r="W156" s="469"/>
      <c r="AA156" s="642" t="e">
        <f>DATE(YEAR(tab!$G$3),MONTH(H156),DAY(H156))&gt;tab!$G$3</f>
        <v>#VALUE!</v>
      </c>
      <c r="AB156" s="643" t="e">
        <f t="shared" si="48"/>
        <v>#VALUE!</v>
      </c>
      <c r="AC156" s="244">
        <f t="shared" si="49"/>
        <v>30</v>
      </c>
      <c r="AD156" s="244">
        <f t="shared" si="50"/>
        <v>30</v>
      </c>
      <c r="AE156" s="643">
        <f t="shared" si="51"/>
        <v>0</v>
      </c>
      <c r="AK156" s="552"/>
    </row>
    <row r="157" spans="2:42" ht="12.75" customHeight="1" x14ac:dyDescent="0.2">
      <c r="C157" s="108"/>
      <c r="D157" s="115" t="str">
        <f>IF(op!D89="","",op!D89)</f>
        <v/>
      </c>
      <c r="E157" s="115" t="str">
        <f>IF(op!E89=0,"",op!E89)</f>
        <v/>
      </c>
      <c r="F157" s="115" t="str">
        <f>IF(op!F89=0,"",op!F89)</f>
        <v/>
      </c>
      <c r="G157" s="132" t="str">
        <f>IF(op!G89="","",op!G89+1)</f>
        <v/>
      </c>
      <c r="H157" s="508" t="str">
        <f>IF(op!H89="","",op!H89)</f>
        <v/>
      </c>
      <c r="I157" s="132" t="str">
        <f>IF(op!I89=0,"",op!I89)</f>
        <v/>
      </c>
      <c r="J157" s="150" t="str">
        <f>IF(E157="","",(IF(op!J89+1&gt;LOOKUP(I157,schaal2011,regels2011),op!J89,op!J89+1)))</f>
        <v/>
      </c>
      <c r="K157" s="509" t="str">
        <f>IF(op!K89="","",op!K89)</f>
        <v/>
      </c>
      <c r="L157" s="510" t="str">
        <f>IF(op!L89="","",op!L89)</f>
        <v/>
      </c>
      <c r="M157" s="511" t="str">
        <f t="shared" si="42"/>
        <v/>
      </c>
      <c r="N157" s="109"/>
      <c r="O157" s="513" t="str">
        <f>IF(I157="","",VLOOKUP(I157,tab!$A$68:$V$108,J157+2,FALSE))</f>
        <v/>
      </c>
      <c r="P157" s="514" t="str">
        <f t="shared" si="43"/>
        <v/>
      </c>
      <c r="Q157" s="1173">
        <f t="shared" si="52"/>
        <v>0.62</v>
      </c>
      <c r="R157" s="514" t="str">
        <f t="shared" si="44"/>
        <v/>
      </c>
      <c r="S157" s="514">
        <f>IF(L157="",0,(((O157*12)*L157)*(1+tab!$D$55)*tab!$F$57))</f>
        <v>0</v>
      </c>
      <c r="T157" s="1131">
        <f t="shared" si="45"/>
        <v>0</v>
      </c>
      <c r="U157" s="219">
        <f t="shared" si="46"/>
        <v>0</v>
      </c>
      <c r="V157" s="1145">
        <f t="shared" si="47"/>
        <v>0</v>
      </c>
      <c r="W157" s="469"/>
      <c r="AA157" s="642" t="e">
        <f>DATE(YEAR(tab!$G$3),MONTH(H157),DAY(H157))&gt;tab!$G$3</f>
        <v>#VALUE!</v>
      </c>
      <c r="AB157" s="643" t="e">
        <f t="shared" si="48"/>
        <v>#VALUE!</v>
      </c>
      <c r="AC157" s="244">
        <f t="shared" si="49"/>
        <v>30</v>
      </c>
      <c r="AD157" s="244">
        <f t="shared" si="50"/>
        <v>30</v>
      </c>
      <c r="AE157" s="643">
        <f t="shared" si="51"/>
        <v>0</v>
      </c>
      <c r="AK157" s="552"/>
    </row>
    <row r="158" spans="2:42" ht="12.75" customHeight="1" x14ac:dyDescent="0.2">
      <c r="C158" s="108"/>
      <c r="D158" s="115" t="str">
        <f>IF(op!D90="","",op!D90)</f>
        <v/>
      </c>
      <c r="E158" s="115" t="str">
        <f>IF(op!E90=0,"",op!E90)</f>
        <v/>
      </c>
      <c r="F158" s="115" t="str">
        <f>IF(op!F90=0,"",op!F90)</f>
        <v/>
      </c>
      <c r="G158" s="132" t="str">
        <f>IF(op!G90="","",op!G90+1)</f>
        <v/>
      </c>
      <c r="H158" s="508" t="str">
        <f>IF(op!H90="","",op!H90)</f>
        <v/>
      </c>
      <c r="I158" s="132" t="str">
        <f>IF(op!I90=0,"",op!I90)</f>
        <v/>
      </c>
      <c r="J158" s="150" t="str">
        <f>IF(E158="","",(IF(op!J90+1&gt;LOOKUP(I158,schaal2011,regels2011),op!J90,op!J90+1)))</f>
        <v/>
      </c>
      <c r="K158" s="509" t="str">
        <f>IF(op!K90="","",op!K90)</f>
        <v/>
      </c>
      <c r="L158" s="510" t="str">
        <f>IF(op!L90="","",op!L90)</f>
        <v/>
      </c>
      <c r="M158" s="511" t="str">
        <f t="shared" si="42"/>
        <v/>
      </c>
      <c r="N158" s="109"/>
      <c r="O158" s="513" t="str">
        <f>IF(I158="","",VLOOKUP(I158,tab!$A$68:$V$108,J158+2,FALSE))</f>
        <v/>
      </c>
      <c r="P158" s="514" t="str">
        <f t="shared" si="43"/>
        <v/>
      </c>
      <c r="Q158" s="1173">
        <f t="shared" si="52"/>
        <v>0.62</v>
      </c>
      <c r="R158" s="514" t="str">
        <f t="shared" si="44"/>
        <v/>
      </c>
      <c r="S158" s="514">
        <f>IF(L158="",0,(((O158*12)*L158)*(1+tab!$D$55)*tab!$F$57))</f>
        <v>0</v>
      </c>
      <c r="T158" s="1131">
        <f t="shared" si="45"/>
        <v>0</v>
      </c>
      <c r="U158" s="219">
        <f t="shared" si="46"/>
        <v>0</v>
      </c>
      <c r="V158" s="1145">
        <f t="shared" si="47"/>
        <v>0</v>
      </c>
      <c r="W158" s="124"/>
      <c r="AA158" s="642" t="e">
        <f>DATE(YEAR(tab!$G$3),MONTH(H158),DAY(H158))&gt;tab!$G$3</f>
        <v>#VALUE!</v>
      </c>
      <c r="AB158" s="643" t="e">
        <f t="shared" si="48"/>
        <v>#VALUE!</v>
      </c>
      <c r="AC158" s="244">
        <f t="shared" si="49"/>
        <v>30</v>
      </c>
      <c r="AD158" s="244">
        <f t="shared" si="50"/>
        <v>30</v>
      </c>
      <c r="AE158" s="643">
        <f t="shared" si="51"/>
        <v>0</v>
      </c>
      <c r="AK158" s="552"/>
    </row>
    <row r="159" spans="2:42" ht="12.75" customHeight="1" x14ac:dyDescent="0.2">
      <c r="C159" s="108"/>
      <c r="D159" s="115" t="str">
        <f>IF(op!D91="","",op!D91)</f>
        <v/>
      </c>
      <c r="E159" s="115" t="str">
        <f>IF(op!E91=0,"",op!E91)</f>
        <v/>
      </c>
      <c r="F159" s="115" t="str">
        <f>IF(op!F91=0,"",op!F91)</f>
        <v/>
      </c>
      <c r="G159" s="132" t="str">
        <f>IF(op!G91="","",op!G91+1)</f>
        <v/>
      </c>
      <c r="H159" s="508" t="str">
        <f>IF(op!H91="","",op!H91)</f>
        <v/>
      </c>
      <c r="I159" s="132" t="str">
        <f>IF(op!I91=0,"",op!I91)</f>
        <v/>
      </c>
      <c r="J159" s="150" t="str">
        <f>IF(E159="","",(IF(op!J91+1&gt;LOOKUP(I159,schaal2011,regels2011),op!J91,op!J91+1)))</f>
        <v/>
      </c>
      <c r="K159" s="509" t="str">
        <f>IF(op!K91="","",op!K91)</f>
        <v/>
      </c>
      <c r="L159" s="510" t="str">
        <f>IF(op!L91="","",op!L91)</f>
        <v/>
      </c>
      <c r="M159" s="511" t="str">
        <f t="shared" si="42"/>
        <v/>
      </c>
      <c r="N159" s="109"/>
      <c r="O159" s="513" t="str">
        <f>IF(I159="","",VLOOKUP(I159,tab!$A$68:$V$108,J159+2,FALSE))</f>
        <v/>
      </c>
      <c r="P159" s="514" t="str">
        <f t="shared" si="43"/>
        <v/>
      </c>
      <c r="Q159" s="1173">
        <f t="shared" si="52"/>
        <v>0.62</v>
      </c>
      <c r="R159" s="514" t="str">
        <f t="shared" si="44"/>
        <v/>
      </c>
      <c r="S159" s="514">
        <f>IF(L159="",0,(((O159*12)*L159)*(1+tab!$D$55)*tab!$F$57))</f>
        <v>0</v>
      </c>
      <c r="T159" s="1131">
        <f t="shared" si="45"/>
        <v>0</v>
      </c>
      <c r="U159" s="219">
        <f t="shared" si="46"/>
        <v>0</v>
      </c>
      <c r="V159" s="1145">
        <f t="shared" si="47"/>
        <v>0</v>
      </c>
      <c r="W159" s="124"/>
      <c r="AA159" s="642" t="e">
        <f>DATE(YEAR(tab!$G$3),MONTH(H159),DAY(H159))&gt;tab!$G$3</f>
        <v>#VALUE!</v>
      </c>
      <c r="AB159" s="643" t="e">
        <f t="shared" si="48"/>
        <v>#VALUE!</v>
      </c>
      <c r="AC159" s="244">
        <f t="shared" si="49"/>
        <v>30</v>
      </c>
      <c r="AD159" s="244">
        <f t="shared" si="50"/>
        <v>30</v>
      </c>
      <c r="AE159" s="643">
        <f t="shared" si="51"/>
        <v>0</v>
      </c>
      <c r="AK159" s="552"/>
    </row>
    <row r="160" spans="2:42" ht="12.75" customHeight="1" x14ac:dyDescent="0.2">
      <c r="C160" s="108"/>
      <c r="D160" s="115" t="str">
        <f>IF(op!D92="","",op!D92)</f>
        <v/>
      </c>
      <c r="E160" s="115" t="str">
        <f>IF(op!E92=0,"",op!E92)</f>
        <v/>
      </c>
      <c r="F160" s="115" t="str">
        <f>IF(op!F92=0,"",op!F92)</f>
        <v/>
      </c>
      <c r="G160" s="132" t="str">
        <f>IF(op!G92="","",op!G92+1)</f>
        <v/>
      </c>
      <c r="H160" s="508" t="str">
        <f>IF(op!H92="","",op!H92)</f>
        <v/>
      </c>
      <c r="I160" s="132" t="str">
        <f>IF(op!I92=0,"",op!I92)</f>
        <v/>
      </c>
      <c r="J160" s="150" t="str">
        <f>IF(E160="","",(IF(op!J92+1&gt;LOOKUP(I160,schaal2011,regels2011),op!J92,op!J92+1)))</f>
        <v/>
      </c>
      <c r="K160" s="509" t="str">
        <f>IF(op!K92="","",op!K92)</f>
        <v/>
      </c>
      <c r="L160" s="510" t="str">
        <f>IF(op!L92="","",op!L92)</f>
        <v/>
      </c>
      <c r="M160" s="511" t="str">
        <f t="shared" si="42"/>
        <v/>
      </c>
      <c r="N160" s="109"/>
      <c r="O160" s="513" t="str">
        <f>IF(I160="","",VLOOKUP(I160,tab!$A$68:$V$108,J160+2,FALSE))</f>
        <v/>
      </c>
      <c r="P160" s="514" t="str">
        <f t="shared" si="43"/>
        <v/>
      </c>
      <c r="Q160" s="1173">
        <f t="shared" si="52"/>
        <v>0.62</v>
      </c>
      <c r="R160" s="514" t="str">
        <f t="shared" si="44"/>
        <v/>
      </c>
      <c r="S160" s="514">
        <f>IF(L160="",0,(((O160*12)*L160)*(1+tab!$D$55)*tab!$F$57))</f>
        <v>0</v>
      </c>
      <c r="T160" s="1131">
        <f t="shared" si="45"/>
        <v>0</v>
      </c>
      <c r="U160" s="219">
        <f t="shared" si="46"/>
        <v>0</v>
      </c>
      <c r="V160" s="1145">
        <f t="shared" si="47"/>
        <v>0</v>
      </c>
      <c r="W160" s="124"/>
      <c r="AA160" s="642" t="e">
        <f>DATE(YEAR(tab!$G$3),MONTH(H160),DAY(H160))&gt;tab!$G$3</f>
        <v>#VALUE!</v>
      </c>
      <c r="AB160" s="643" t="e">
        <f t="shared" si="48"/>
        <v>#VALUE!</v>
      </c>
      <c r="AC160" s="244">
        <f t="shared" si="49"/>
        <v>30</v>
      </c>
      <c r="AD160" s="244">
        <f t="shared" si="50"/>
        <v>30</v>
      </c>
      <c r="AE160" s="643">
        <f t="shared" si="51"/>
        <v>0</v>
      </c>
      <c r="AK160" s="552"/>
    </row>
    <row r="161" spans="3:37" ht="12.75" customHeight="1" x14ac:dyDescent="0.2">
      <c r="C161" s="108"/>
      <c r="D161" s="115" t="str">
        <f>IF(op!D93="","",op!D93)</f>
        <v/>
      </c>
      <c r="E161" s="115" t="str">
        <f>IF(op!E93=0,"",op!E93)</f>
        <v/>
      </c>
      <c r="F161" s="115" t="str">
        <f>IF(op!F93=0,"",op!F93)</f>
        <v/>
      </c>
      <c r="G161" s="132" t="str">
        <f>IF(op!G93="","",op!G93+1)</f>
        <v/>
      </c>
      <c r="H161" s="508" t="str">
        <f>IF(op!H93="","",op!H93)</f>
        <v/>
      </c>
      <c r="I161" s="132" t="str">
        <f>IF(op!I93=0,"",op!I93)</f>
        <v/>
      </c>
      <c r="J161" s="150" t="str">
        <f>IF(E161="","",(IF(op!J93+1&gt;LOOKUP(I161,schaal2011,regels2011),op!J93,op!J93+1)))</f>
        <v/>
      </c>
      <c r="K161" s="509" t="str">
        <f>IF(op!K93="","",op!K93)</f>
        <v/>
      </c>
      <c r="L161" s="510" t="str">
        <f>IF(op!L93="","",op!L93)</f>
        <v/>
      </c>
      <c r="M161" s="511" t="str">
        <f t="shared" si="42"/>
        <v/>
      </c>
      <c r="N161" s="109"/>
      <c r="O161" s="513" t="str">
        <f>IF(I161="","",VLOOKUP(I161,tab!$A$68:$V$108,J161+2,FALSE))</f>
        <v/>
      </c>
      <c r="P161" s="514" t="str">
        <f t="shared" si="43"/>
        <v/>
      </c>
      <c r="Q161" s="1173">
        <f t="shared" si="52"/>
        <v>0.62</v>
      </c>
      <c r="R161" s="514" t="str">
        <f t="shared" si="44"/>
        <v/>
      </c>
      <c r="S161" s="514">
        <f>IF(L161="",0,(((O161*12)*L161)*(1+tab!$D$55)*tab!$F$57))</f>
        <v>0</v>
      </c>
      <c r="T161" s="1131">
        <f t="shared" si="45"/>
        <v>0</v>
      </c>
      <c r="U161" s="219">
        <f t="shared" si="46"/>
        <v>0</v>
      </c>
      <c r="V161" s="1145">
        <f t="shared" si="47"/>
        <v>0</v>
      </c>
      <c r="W161" s="124"/>
      <c r="AA161" s="642" t="e">
        <f>DATE(YEAR(tab!$G$3),MONTH(H161),DAY(H161))&gt;tab!$G$3</f>
        <v>#VALUE!</v>
      </c>
      <c r="AB161" s="643" t="e">
        <f t="shared" si="48"/>
        <v>#VALUE!</v>
      </c>
      <c r="AC161" s="244">
        <f t="shared" si="49"/>
        <v>30</v>
      </c>
      <c r="AD161" s="244">
        <f t="shared" si="50"/>
        <v>30</v>
      </c>
      <c r="AE161" s="643">
        <f t="shared" si="51"/>
        <v>0</v>
      </c>
      <c r="AK161" s="552"/>
    </row>
    <row r="162" spans="3:37" ht="12.75" customHeight="1" x14ac:dyDescent="0.2">
      <c r="C162" s="108"/>
      <c r="D162" s="115" t="str">
        <f>IF(op!D94="","",op!D94)</f>
        <v/>
      </c>
      <c r="E162" s="115" t="str">
        <f>IF(op!E94=0,"",op!E94)</f>
        <v/>
      </c>
      <c r="F162" s="115" t="str">
        <f>IF(op!F94=0,"",op!F94)</f>
        <v/>
      </c>
      <c r="G162" s="132" t="str">
        <f>IF(op!G94="","",op!G94+1)</f>
        <v/>
      </c>
      <c r="H162" s="508" t="str">
        <f>IF(op!H94="","",op!H94)</f>
        <v/>
      </c>
      <c r="I162" s="132" t="str">
        <f>IF(op!I94=0,"",op!I94)</f>
        <v/>
      </c>
      <c r="J162" s="150" t="str">
        <f>IF(E162="","",(IF(op!J94+1&gt;LOOKUP(I162,schaal2011,regels2011),op!J94,op!J94+1)))</f>
        <v/>
      </c>
      <c r="K162" s="509" t="str">
        <f>IF(op!K94="","",op!K94)</f>
        <v/>
      </c>
      <c r="L162" s="510" t="str">
        <f>IF(op!L94="","",op!L94)</f>
        <v/>
      </c>
      <c r="M162" s="511" t="str">
        <f t="shared" si="42"/>
        <v/>
      </c>
      <c r="N162" s="109"/>
      <c r="O162" s="513" t="str">
        <f>IF(I162="","",VLOOKUP(I162,tab!$A$68:$V$108,J162+2,FALSE))</f>
        <v/>
      </c>
      <c r="P162" s="514" t="str">
        <f t="shared" si="43"/>
        <v/>
      </c>
      <c r="Q162" s="1173">
        <f t="shared" si="52"/>
        <v>0.62</v>
      </c>
      <c r="R162" s="514" t="str">
        <f t="shared" si="44"/>
        <v/>
      </c>
      <c r="S162" s="514">
        <f>IF(L162="",0,(((O162*12)*L162)*(1+tab!$D$55)*tab!$F$57))</f>
        <v>0</v>
      </c>
      <c r="T162" s="1131">
        <f t="shared" si="45"/>
        <v>0</v>
      </c>
      <c r="U162" s="219">
        <f t="shared" si="46"/>
        <v>0</v>
      </c>
      <c r="V162" s="1145">
        <f t="shared" si="47"/>
        <v>0</v>
      </c>
      <c r="W162" s="124"/>
      <c r="AA162" s="642" t="e">
        <f>DATE(YEAR(tab!$G$3),MONTH(H162),DAY(H162))&gt;tab!$G$3</f>
        <v>#VALUE!</v>
      </c>
      <c r="AB162" s="643" t="e">
        <f t="shared" si="48"/>
        <v>#VALUE!</v>
      </c>
      <c r="AC162" s="244">
        <f t="shared" si="49"/>
        <v>30</v>
      </c>
      <c r="AD162" s="244">
        <f t="shared" si="50"/>
        <v>30</v>
      </c>
      <c r="AE162" s="643">
        <f t="shared" si="51"/>
        <v>0</v>
      </c>
      <c r="AK162" s="552"/>
    </row>
    <row r="163" spans="3:37" ht="12.75" customHeight="1" x14ac:dyDescent="0.2">
      <c r="C163" s="108"/>
      <c r="D163" s="115" t="str">
        <f>IF(op!D95="","",op!D95)</f>
        <v/>
      </c>
      <c r="E163" s="115" t="str">
        <f>IF(op!E95=0,"",op!E95)</f>
        <v/>
      </c>
      <c r="F163" s="115" t="str">
        <f>IF(op!F95=0,"",op!F95)</f>
        <v/>
      </c>
      <c r="G163" s="132" t="str">
        <f>IF(op!G95="","",op!G95+1)</f>
        <v/>
      </c>
      <c r="H163" s="508" t="str">
        <f>IF(op!H95="","",op!H95)</f>
        <v/>
      </c>
      <c r="I163" s="132" t="str">
        <f>IF(op!I95=0,"",op!I95)</f>
        <v/>
      </c>
      <c r="J163" s="150" t="str">
        <f>IF(E163="","",(IF(op!J95+1&gt;LOOKUP(I163,schaal2011,regels2011),op!J95,op!J95+1)))</f>
        <v/>
      </c>
      <c r="K163" s="509" t="str">
        <f>IF(op!K95="","",op!K95)</f>
        <v/>
      </c>
      <c r="L163" s="510" t="str">
        <f>IF(op!L95="","",op!L95)</f>
        <v/>
      </c>
      <c r="M163" s="511" t="str">
        <f t="shared" si="42"/>
        <v/>
      </c>
      <c r="N163" s="109"/>
      <c r="O163" s="513" t="str">
        <f>IF(I163="","",VLOOKUP(I163,tab!$A$68:$V$108,J163+2,FALSE))</f>
        <v/>
      </c>
      <c r="P163" s="514" t="str">
        <f t="shared" si="43"/>
        <v/>
      </c>
      <c r="Q163" s="1173">
        <f t="shared" si="52"/>
        <v>0.62</v>
      </c>
      <c r="R163" s="514" t="str">
        <f t="shared" si="44"/>
        <v/>
      </c>
      <c r="S163" s="514">
        <f>IF(L163="",0,(((O163*12)*L163)*(1+tab!$D$55)*tab!$F$57))</f>
        <v>0</v>
      </c>
      <c r="T163" s="1131">
        <f t="shared" si="45"/>
        <v>0</v>
      </c>
      <c r="U163" s="219">
        <f t="shared" si="46"/>
        <v>0</v>
      </c>
      <c r="V163" s="1145">
        <f t="shared" si="47"/>
        <v>0</v>
      </c>
      <c r="W163" s="124"/>
      <c r="AA163" s="642" t="e">
        <f>DATE(YEAR(tab!$G$3),MONTH(H163),DAY(H163))&gt;tab!$G$3</f>
        <v>#VALUE!</v>
      </c>
      <c r="AB163" s="643" t="e">
        <f t="shared" si="48"/>
        <v>#VALUE!</v>
      </c>
      <c r="AC163" s="244">
        <f t="shared" si="49"/>
        <v>30</v>
      </c>
      <c r="AD163" s="244">
        <f t="shared" si="50"/>
        <v>30</v>
      </c>
      <c r="AE163" s="643">
        <f t="shared" si="51"/>
        <v>0</v>
      </c>
      <c r="AK163" s="552"/>
    </row>
    <row r="164" spans="3:37" ht="12.75" customHeight="1" x14ac:dyDescent="0.2">
      <c r="C164" s="108"/>
      <c r="D164" s="115" t="str">
        <f>IF(op!D96="","",op!D96)</f>
        <v/>
      </c>
      <c r="E164" s="115" t="str">
        <f>IF(op!E96=0,"",op!E96)</f>
        <v/>
      </c>
      <c r="F164" s="115" t="str">
        <f>IF(op!F96=0,"",op!F96)</f>
        <v/>
      </c>
      <c r="G164" s="132" t="str">
        <f>IF(op!G96="","",op!G96+1)</f>
        <v/>
      </c>
      <c r="H164" s="508" t="str">
        <f>IF(op!H96="","",op!H96)</f>
        <v/>
      </c>
      <c r="I164" s="132" t="str">
        <f>IF(op!I96=0,"",op!I96)</f>
        <v/>
      </c>
      <c r="J164" s="150" t="str">
        <f>IF(E164="","",(IF(op!J96+1&gt;LOOKUP(I164,schaal2011,regels2011),op!J96,op!J96+1)))</f>
        <v/>
      </c>
      <c r="K164" s="509" t="str">
        <f>IF(op!K96="","",op!K96)</f>
        <v/>
      </c>
      <c r="L164" s="510" t="str">
        <f>IF(op!L96="","",op!L96)</f>
        <v/>
      </c>
      <c r="M164" s="511" t="str">
        <f t="shared" si="42"/>
        <v/>
      </c>
      <c r="N164" s="109"/>
      <c r="O164" s="513" t="str">
        <f>IF(I164="","",VLOOKUP(I164,tab!$A$68:$V$108,J164+2,FALSE))</f>
        <v/>
      </c>
      <c r="P164" s="514" t="str">
        <f t="shared" si="43"/>
        <v/>
      </c>
      <c r="Q164" s="1173">
        <f t="shared" si="52"/>
        <v>0.62</v>
      </c>
      <c r="R164" s="514" t="str">
        <f t="shared" si="44"/>
        <v/>
      </c>
      <c r="S164" s="514">
        <f>IF(L164="",0,(((O164*12)*L164)*(1+tab!$D$55)*tab!$F$57))</f>
        <v>0</v>
      </c>
      <c r="T164" s="1131">
        <f t="shared" si="45"/>
        <v>0</v>
      </c>
      <c r="U164" s="219">
        <f t="shared" si="46"/>
        <v>0</v>
      </c>
      <c r="V164" s="1145">
        <f t="shared" si="47"/>
        <v>0</v>
      </c>
      <c r="W164" s="124"/>
      <c r="AA164" s="642" t="e">
        <f>DATE(YEAR(tab!$G$3),MONTH(H164),DAY(H164))&gt;tab!$G$3</f>
        <v>#VALUE!</v>
      </c>
      <c r="AB164" s="643" t="e">
        <f t="shared" si="48"/>
        <v>#VALUE!</v>
      </c>
      <c r="AC164" s="244">
        <f t="shared" si="49"/>
        <v>30</v>
      </c>
      <c r="AD164" s="244">
        <f t="shared" si="50"/>
        <v>30</v>
      </c>
      <c r="AE164" s="643">
        <f t="shared" si="51"/>
        <v>0</v>
      </c>
      <c r="AK164" s="552"/>
    </row>
    <row r="165" spans="3:37" ht="12.75" customHeight="1" x14ac:dyDescent="0.2">
      <c r="C165" s="108"/>
      <c r="D165" s="115" t="str">
        <f>IF(op!D97="","",op!D97)</f>
        <v/>
      </c>
      <c r="E165" s="115" t="str">
        <f>IF(op!E97=0,"",op!E97)</f>
        <v/>
      </c>
      <c r="F165" s="115" t="str">
        <f>IF(op!F97=0,"",op!F97)</f>
        <v/>
      </c>
      <c r="G165" s="132" t="str">
        <f>IF(op!G97="","",op!G97+1)</f>
        <v/>
      </c>
      <c r="H165" s="508" t="str">
        <f>IF(op!H97="","",op!H97)</f>
        <v/>
      </c>
      <c r="I165" s="132" t="str">
        <f>IF(op!I97=0,"",op!I97)</f>
        <v/>
      </c>
      <c r="J165" s="150" t="str">
        <f>IF(E165="","",(IF(op!J97+1&gt;LOOKUP(I165,schaal2011,regels2011),op!J97,op!J97+1)))</f>
        <v/>
      </c>
      <c r="K165" s="509" t="str">
        <f>IF(op!K97="","",op!K97)</f>
        <v/>
      </c>
      <c r="L165" s="510" t="str">
        <f>IF(op!L97="","",op!L97)</f>
        <v/>
      </c>
      <c r="M165" s="511" t="str">
        <f t="shared" si="42"/>
        <v/>
      </c>
      <c r="N165" s="109"/>
      <c r="O165" s="513" t="str">
        <f>IF(I165="","",VLOOKUP(I165,tab!$A$68:$V$108,J165+2,FALSE))</f>
        <v/>
      </c>
      <c r="P165" s="514" t="str">
        <f t="shared" si="43"/>
        <v/>
      </c>
      <c r="Q165" s="1173">
        <f t="shared" si="52"/>
        <v>0.62</v>
      </c>
      <c r="R165" s="514" t="str">
        <f t="shared" si="44"/>
        <v/>
      </c>
      <c r="S165" s="514">
        <f>IF(L165="",0,(((O165*12)*L165)*(1+tab!$D$55)*tab!$F$57))</f>
        <v>0</v>
      </c>
      <c r="T165" s="1131">
        <f t="shared" si="45"/>
        <v>0</v>
      </c>
      <c r="U165" s="219">
        <f t="shared" si="46"/>
        <v>0</v>
      </c>
      <c r="V165" s="1145">
        <f t="shared" si="47"/>
        <v>0</v>
      </c>
      <c r="W165" s="124"/>
      <c r="AA165" s="642" t="e">
        <f>DATE(YEAR(tab!$G$3),MONTH(H165),DAY(H165))&gt;tab!$G$3</f>
        <v>#VALUE!</v>
      </c>
      <c r="AB165" s="643" t="e">
        <f t="shared" si="48"/>
        <v>#VALUE!</v>
      </c>
      <c r="AC165" s="244">
        <f t="shared" si="49"/>
        <v>30</v>
      </c>
      <c r="AD165" s="244">
        <f t="shared" si="50"/>
        <v>30</v>
      </c>
      <c r="AE165" s="643">
        <f t="shared" si="51"/>
        <v>0</v>
      </c>
      <c r="AK165" s="552"/>
    </row>
    <row r="166" spans="3:37" ht="12.75" customHeight="1" x14ac:dyDescent="0.2">
      <c r="C166" s="108"/>
      <c r="D166" s="115" t="str">
        <f>IF(op!D98="","",op!D98)</f>
        <v/>
      </c>
      <c r="E166" s="115" t="str">
        <f>IF(op!E98=0,"",op!E98)</f>
        <v/>
      </c>
      <c r="F166" s="115" t="str">
        <f>IF(op!F98=0,"",op!F98)</f>
        <v/>
      </c>
      <c r="G166" s="132" t="str">
        <f>IF(op!G98="","",op!G98+1)</f>
        <v/>
      </c>
      <c r="H166" s="508" t="str">
        <f>IF(op!H98="","",op!H98)</f>
        <v/>
      </c>
      <c r="I166" s="132" t="str">
        <f>IF(op!I98=0,"",op!I98)</f>
        <v/>
      </c>
      <c r="J166" s="150" t="str">
        <f>IF(E166="","",(IF(op!J98+1&gt;LOOKUP(I166,schaal2011,regels2011),op!J98,op!J98+1)))</f>
        <v/>
      </c>
      <c r="K166" s="509" t="str">
        <f>IF(op!K98="","",op!K98)</f>
        <v/>
      </c>
      <c r="L166" s="510" t="str">
        <f>IF(op!L98="","",op!L98)</f>
        <v/>
      </c>
      <c r="M166" s="511" t="str">
        <f t="shared" si="42"/>
        <v/>
      </c>
      <c r="N166" s="109"/>
      <c r="O166" s="513" t="str">
        <f>IF(I166="","",VLOOKUP(I166,tab!$A$68:$V$108,J166+2,FALSE))</f>
        <v/>
      </c>
      <c r="P166" s="514" t="str">
        <f t="shared" si="43"/>
        <v/>
      </c>
      <c r="Q166" s="1173">
        <f t="shared" si="52"/>
        <v>0.62</v>
      </c>
      <c r="R166" s="514" t="str">
        <f t="shared" si="44"/>
        <v/>
      </c>
      <c r="S166" s="514">
        <f>IF(L166="",0,(((O166*12)*L166)*(1+tab!$D$55)*tab!$F$57))</f>
        <v>0</v>
      </c>
      <c r="T166" s="1131">
        <f t="shared" si="45"/>
        <v>0</v>
      </c>
      <c r="U166" s="219">
        <f t="shared" si="46"/>
        <v>0</v>
      </c>
      <c r="V166" s="1145">
        <f t="shared" si="47"/>
        <v>0</v>
      </c>
      <c r="W166" s="124"/>
      <c r="AA166" s="642" t="e">
        <f>DATE(YEAR(tab!$G$3),MONTH(H166),DAY(H166))&gt;tab!$G$3</f>
        <v>#VALUE!</v>
      </c>
      <c r="AB166" s="643" t="e">
        <f t="shared" si="48"/>
        <v>#VALUE!</v>
      </c>
      <c r="AC166" s="244">
        <f t="shared" si="49"/>
        <v>30</v>
      </c>
      <c r="AD166" s="244">
        <f t="shared" si="50"/>
        <v>30</v>
      </c>
      <c r="AE166" s="643">
        <f t="shared" si="51"/>
        <v>0</v>
      </c>
      <c r="AK166" s="552"/>
    </row>
    <row r="167" spans="3:37" ht="12.75" customHeight="1" x14ac:dyDescent="0.2">
      <c r="C167" s="108"/>
      <c r="D167" s="115" t="str">
        <f>IF(op!D99="","",op!D99)</f>
        <v/>
      </c>
      <c r="E167" s="115" t="str">
        <f>IF(op!E99=0,"",op!E99)</f>
        <v/>
      </c>
      <c r="F167" s="115" t="str">
        <f>IF(op!F99=0,"",op!F99)</f>
        <v/>
      </c>
      <c r="G167" s="132" t="str">
        <f>IF(op!G99="","",op!G99+1)</f>
        <v/>
      </c>
      <c r="H167" s="508" t="str">
        <f>IF(op!H99="","",op!H99)</f>
        <v/>
      </c>
      <c r="I167" s="132" t="str">
        <f>IF(op!I99=0,"",op!I99)</f>
        <v/>
      </c>
      <c r="J167" s="150" t="str">
        <f>IF(E167="","",(IF(op!J99+1&gt;LOOKUP(I167,schaal2011,regels2011),op!J99,op!J99+1)))</f>
        <v/>
      </c>
      <c r="K167" s="509" t="str">
        <f>IF(op!K99="","",op!K99)</f>
        <v/>
      </c>
      <c r="L167" s="510" t="str">
        <f>IF(op!L99="","",op!L99)</f>
        <v/>
      </c>
      <c r="M167" s="511" t="str">
        <f t="shared" si="42"/>
        <v/>
      </c>
      <c r="N167" s="109"/>
      <c r="O167" s="513" t="str">
        <f>IF(I167="","",VLOOKUP(I167,tab!$A$68:$V$108,J167+2,FALSE))</f>
        <v/>
      </c>
      <c r="P167" s="514" t="str">
        <f t="shared" si="43"/>
        <v/>
      </c>
      <c r="Q167" s="1173">
        <f t="shared" si="52"/>
        <v>0.62</v>
      </c>
      <c r="R167" s="514" t="str">
        <f t="shared" si="44"/>
        <v/>
      </c>
      <c r="S167" s="514">
        <f>IF(L167="",0,(((O167*12)*L167)*(1+tab!$D$55)*tab!$F$57))</f>
        <v>0</v>
      </c>
      <c r="T167" s="1131">
        <f t="shared" si="45"/>
        <v>0</v>
      </c>
      <c r="U167" s="219">
        <f t="shared" si="46"/>
        <v>0</v>
      </c>
      <c r="V167" s="1145">
        <f t="shared" si="47"/>
        <v>0</v>
      </c>
      <c r="W167" s="124"/>
      <c r="AA167" s="642" t="e">
        <f>DATE(YEAR(tab!$G$3),MONTH(H167),DAY(H167))&gt;tab!$G$3</f>
        <v>#VALUE!</v>
      </c>
      <c r="AB167" s="643" t="e">
        <f t="shared" si="48"/>
        <v>#VALUE!</v>
      </c>
      <c r="AC167" s="244">
        <f t="shared" si="49"/>
        <v>30</v>
      </c>
      <c r="AD167" s="244">
        <f t="shared" si="50"/>
        <v>30</v>
      </c>
      <c r="AE167" s="643">
        <f t="shared" si="51"/>
        <v>0</v>
      </c>
      <c r="AK167" s="552"/>
    </row>
    <row r="168" spans="3:37" ht="12.75" customHeight="1" x14ac:dyDescent="0.2">
      <c r="C168" s="108"/>
      <c r="D168" s="115" t="str">
        <f>IF(op!D100="","",op!D100)</f>
        <v/>
      </c>
      <c r="E168" s="115" t="str">
        <f>IF(op!E100=0,"",op!E100)</f>
        <v/>
      </c>
      <c r="F168" s="115" t="str">
        <f>IF(op!F100=0,"",op!F100)</f>
        <v/>
      </c>
      <c r="G168" s="132" t="str">
        <f>IF(op!G100="","",op!G100+1)</f>
        <v/>
      </c>
      <c r="H168" s="508" t="str">
        <f>IF(op!H100="","",op!H100)</f>
        <v/>
      </c>
      <c r="I168" s="132" t="str">
        <f>IF(op!I100=0,"",op!I100)</f>
        <v/>
      </c>
      <c r="J168" s="150" t="str">
        <f>IF(E168="","",(IF(op!J100+1&gt;LOOKUP(I168,schaal2011,regels2011),op!J100,op!J100+1)))</f>
        <v/>
      </c>
      <c r="K168" s="509" t="str">
        <f>IF(op!K100="","",op!K100)</f>
        <v/>
      </c>
      <c r="L168" s="510" t="str">
        <f>IF(op!L100="","",op!L100)</f>
        <v/>
      </c>
      <c r="M168" s="511" t="str">
        <f t="shared" si="42"/>
        <v/>
      </c>
      <c r="N168" s="109"/>
      <c r="O168" s="513" t="str">
        <f>IF(I168="","",VLOOKUP(I168,tab!$A$68:$V$108,J168+2,FALSE))</f>
        <v/>
      </c>
      <c r="P168" s="514" t="str">
        <f t="shared" si="43"/>
        <v/>
      </c>
      <c r="Q168" s="1173">
        <f t="shared" si="52"/>
        <v>0.62</v>
      </c>
      <c r="R168" s="514" t="str">
        <f t="shared" si="44"/>
        <v/>
      </c>
      <c r="S168" s="514">
        <f>IF(L168="",0,(((O168*12)*L168)*(1+tab!$D$55)*tab!$F$57))</f>
        <v>0</v>
      </c>
      <c r="T168" s="1131">
        <f t="shared" si="45"/>
        <v>0</v>
      </c>
      <c r="U168" s="219">
        <f t="shared" si="46"/>
        <v>0</v>
      </c>
      <c r="V168" s="1145">
        <f t="shared" si="47"/>
        <v>0</v>
      </c>
      <c r="W168" s="124"/>
      <c r="AA168" s="642" t="e">
        <f>DATE(YEAR(tab!$G$3),MONTH(H168),DAY(H168))&gt;tab!$G$3</f>
        <v>#VALUE!</v>
      </c>
      <c r="AB168" s="643" t="e">
        <f t="shared" si="48"/>
        <v>#VALUE!</v>
      </c>
      <c r="AC168" s="244">
        <f t="shared" si="49"/>
        <v>30</v>
      </c>
      <c r="AD168" s="244">
        <f t="shared" si="50"/>
        <v>30</v>
      </c>
      <c r="AE168" s="643">
        <f t="shared" si="51"/>
        <v>0</v>
      </c>
      <c r="AK168" s="552"/>
    </row>
    <row r="169" spans="3:37" ht="12.75" customHeight="1" x14ac:dyDescent="0.2">
      <c r="C169" s="108"/>
      <c r="D169" s="115" t="str">
        <f>IF(op!D101="","",op!D101)</f>
        <v/>
      </c>
      <c r="E169" s="115" t="str">
        <f>IF(op!E101=0,"",op!E101)</f>
        <v/>
      </c>
      <c r="F169" s="115" t="str">
        <f>IF(op!F101=0,"",op!F101)</f>
        <v/>
      </c>
      <c r="G169" s="132" t="str">
        <f>IF(op!G101="","",op!G101+1)</f>
        <v/>
      </c>
      <c r="H169" s="508" t="str">
        <f>IF(op!H101="","",op!H101)</f>
        <v/>
      </c>
      <c r="I169" s="132" t="str">
        <f>IF(op!I101=0,"",op!I101)</f>
        <v/>
      </c>
      <c r="J169" s="150" t="str">
        <f>IF(E169="","",(IF(op!J101+1&gt;LOOKUP(I169,schaal2011,regels2011),op!J101,op!J101+1)))</f>
        <v/>
      </c>
      <c r="K169" s="509" t="str">
        <f>IF(op!K101="","",op!K101)</f>
        <v/>
      </c>
      <c r="L169" s="510" t="str">
        <f>IF(op!L101="","",op!L101)</f>
        <v/>
      </c>
      <c r="M169" s="511" t="str">
        <f t="shared" si="42"/>
        <v/>
      </c>
      <c r="N169" s="109"/>
      <c r="O169" s="513" t="str">
        <f>IF(I169="","",VLOOKUP(I169,tab!$A$68:$V$108,J169+2,FALSE))</f>
        <v/>
      </c>
      <c r="P169" s="514" t="str">
        <f t="shared" si="43"/>
        <v/>
      </c>
      <c r="Q169" s="1173">
        <f t="shared" si="52"/>
        <v>0.62</v>
      </c>
      <c r="R169" s="514" t="str">
        <f t="shared" si="44"/>
        <v/>
      </c>
      <c r="S169" s="514">
        <f>IF(L169="",0,(((O169*12)*L169)*(1+tab!$D$55)*tab!$F$57))</f>
        <v>0</v>
      </c>
      <c r="T169" s="1131">
        <f t="shared" si="45"/>
        <v>0</v>
      </c>
      <c r="U169" s="219">
        <f t="shared" si="46"/>
        <v>0</v>
      </c>
      <c r="V169" s="1145">
        <f t="shared" si="47"/>
        <v>0</v>
      </c>
      <c r="W169" s="124"/>
      <c r="AA169" s="642" t="e">
        <f>DATE(YEAR(tab!$G$3),MONTH(H169),DAY(H169))&gt;tab!$G$3</f>
        <v>#VALUE!</v>
      </c>
      <c r="AB169" s="643" t="e">
        <f t="shared" si="48"/>
        <v>#VALUE!</v>
      </c>
      <c r="AC169" s="244">
        <f t="shared" si="49"/>
        <v>30</v>
      </c>
      <c r="AD169" s="244">
        <f t="shared" si="50"/>
        <v>30</v>
      </c>
      <c r="AE169" s="643">
        <f t="shared" si="51"/>
        <v>0</v>
      </c>
      <c r="AK169" s="552"/>
    </row>
    <row r="170" spans="3:37" ht="12.75" customHeight="1" x14ac:dyDescent="0.2">
      <c r="C170" s="108"/>
      <c r="D170" s="115" t="str">
        <f>IF(op!D102="","",op!D102)</f>
        <v/>
      </c>
      <c r="E170" s="115" t="str">
        <f>IF(op!E102=0,"",op!E102)</f>
        <v/>
      </c>
      <c r="F170" s="115" t="str">
        <f>IF(op!F102=0,"",op!F102)</f>
        <v/>
      </c>
      <c r="G170" s="132" t="str">
        <f>IF(op!G102="","",op!G102+1)</f>
        <v/>
      </c>
      <c r="H170" s="508" t="str">
        <f>IF(op!H102="","",op!H102)</f>
        <v/>
      </c>
      <c r="I170" s="132" t="str">
        <f>IF(op!I102=0,"",op!I102)</f>
        <v/>
      </c>
      <c r="J170" s="150" t="str">
        <f>IF(E170="","",(IF(op!J102+1&gt;LOOKUP(I170,schaal2011,regels2011),op!J102,op!J102+1)))</f>
        <v/>
      </c>
      <c r="K170" s="509" t="str">
        <f>IF(op!K102="","",op!K102)</f>
        <v/>
      </c>
      <c r="L170" s="510" t="str">
        <f>IF(op!L102="","",op!L102)</f>
        <v/>
      </c>
      <c r="M170" s="511" t="str">
        <f t="shared" si="42"/>
        <v/>
      </c>
      <c r="N170" s="109"/>
      <c r="O170" s="513" t="str">
        <f>IF(I170="","",VLOOKUP(I170,tab!$A$68:$V$108,J170+2,FALSE))</f>
        <v/>
      </c>
      <c r="P170" s="514" t="str">
        <f t="shared" si="43"/>
        <v/>
      </c>
      <c r="Q170" s="1173">
        <f t="shared" si="52"/>
        <v>0.62</v>
      </c>
      <c r="R170" s="514" t="str">
        <f t="shared" si="44"/>
        <v/>
      </c>
      <c r="S170" s="514">
        <f>IF(L170="",0,(((O170*12)*L170)*(1+tab!$D$55)*tab!$F$57))</f>
        <v>0</v>
      </c>
      <c r="T170" s="1131">
        <f t="shared" si="45"/>
        <v>0</v>
      </c>
      <c r="U170" s="219">
        <f t="shared" si="46"/>
        <v>0</v>
      </c>
      <c r="V170" s="1145">
        <f t="shared" si="47"/>
        <v>0</v>
      </c>
      <c r="W170" s="124"/>
      <c r="AA170" s="642" t="e">
        <f>DATE(YEAR(tab!$G$3),MONTH(H170),DAY(H170))&gt;tab!$G$3</f>
        <v>#VALUE!</v>
      </c>
      <c r="AB170" s="643" t="e">
        <f t="shared" si="48"/>
        <v>#VALUE!</v>
      </c>
      <c r="AC170" s="244">
        <f t="shared" si="49"/>
        <v>30</v>
      </c>
      <c r="AD170" s="244">
        <f t="shared" si="50"/>
        <v>30</v>
      </c>
      <c r="AE170" s="643">
        <f t="shared" si="51"/>
        <v>0</v>
      </c>
      <c r="AK170" s="552"/>
    </row>
    <row r="171" spans="3:37" ht="12.75" customHeight="1" x14ac:dyDescent="0.2">
      <c r="C171" s="108"/>
      <c r="D171" s="115" t="str">
        <f>IF(op!D103="","",op!D103)</f>
        <v/>
      </c>
      <c r="E171" s="115" t="str">
        <f>IF(op!E103=0,"",op!E103)</f>
        <v/>
      </c>
      <c r="F171" s="115" t="str">
        <f>IF(op!F103=0,"",op!F103)</f>
        <v/>
      </c>
      <c r="G171" s="132" t="str">
        <f>IF(op!G103="","",op!G103+1)</f>
        <v/>
      </c>
      <c r="H171" s="508" t="str">
        <f>IF(op!H103="","",op!H103)</f>
        <v/>
      </c>
      <c r="I171" s="132" t="str">
        <f>IF(op!I103=0,"",op!I103)</f>
        <v/>
      </c>
      <c r="J171" s="150" t="str">
        <f>IF(E171="","",(IF(op!J103+1&gt;LOOKUP(I171,schaal2011,regels2011),op!J103,op!J103+1)))</f>
        <v/>
      </c>
      <c r="K171" s="509" t="str">
        <f>IF(op!K103="","",op!K103)</f>
        <v/>
      </c>
      <c r="L171" s="510" t="str">
        <f>IF(op!L103="","",op!L103)</f>
        <v/>
      </c>
      <c r="M171" s="511" t="str">
        <f t="shared" si="42"/>
        <v/>
      </c>
      <c r="N171" s="109"/>
      <c r="O171" s="513" t="str">
        <f>IF(I171="","",VLOOKUP(I171,tab!$A$68:$V$108,J171+2,FALSE))</f>
        <v/>
      </c>
      <c r="P171" s="514" t="str">
        <f t="shared" si="43"/>
        <v/>
      </c>
      <c r="Q171" s="1173">
        <f t="shared" si="52"/>
        <v>0.62</v>
      </c>
      <c r="R171" s="514" t="str">
        <f t="shared" si="44"/>
        <v/>
      </c>
      <c r="S171" s="514">
        <f>IF(L171="",0,(((O171*12)*L171)*(1+tab!$D$55)*tab!$F$57))</f>
        <v>0</v>
      </c>
      <c r="T171" s="1131">
        <f t="shared" si="45"/>
        <v>0</v>
      </c>
      <c r="U171" s="219">
        <f t="shared" si="46"/>
        <v>0</v>
      </c>
      <c r="V171" s="1145">
        <f t="shared" si="47"/>
        <v>0</v>
      </c>
      <c r="W171" s="124"/>
      <c r="AA171" s="642" t="e">
        <f>DATE(YEAR(tab!$G$3),MONTH(H171),DAY(H171))&gt;tab!$G$3</f>
        <v>#VALUE!</v>
      </c>
      <c r="AB171" s="643" t="e">
        <f t="shared" si="48"/>
        <v>#VALUE!</v>
      </c>
      <c r="AC171" s="244">
        <f t="shared" si="49"/>
        <v>30</v>
      </c>
      <c r="AD171" s="244">
        <f t="shared" si="50"/>
        <v>30</v>
      </c>
      <c r="AE171" s="643">
        <f t="shared" si="51"/>
        <v>0</v>
      </c>
      <c r="AK171" s="552"/>
    </row>
    <row r="172" spans="3:37" ht="12.75" customHeight="1" x14ac:dyDescent="0.2">
      <c r="C172" s="108"/>
      <c r="D172" s="115" t="str">
        <f>IF(op!D104="","",op!D104)</f>
        <v/>
      </c>
      <c r="E172" s="115" t="str">
        <f>IF(op!E104=0,"",op!E104)</f>
        <v/>
      </c>
      <c r="F172" s="115" t="str">
        <f>IF(op!F104=0,"",op!F104)</f>
        <v/>
      </c>
      <c r="G172" s="132" t="str">
        <f>IF(op!G104="","",op!G104+1)</f>
        <v/>
      </c>
      <c r="H172" s="508" t="str">
        <f>IF(op!H104="","",op!H104)</f>
        <v/>
      </c>
      <c r="I172" s="132" t="str">
        <f>IF(op!I104=0,"",op!I104)</f>
        <v/>
      </c>
      <c r="J172" s="150" t="str">
        <f>IF(E172="","",(IF(op!J104+1&gt;LOOKUP(I172,schaal2011,regels2011),op!J104,op!J104+1)))</f>
        <v/>
      </c>
      <c r="K172" s="509" t="str">
        <f>IF(op!K104="","",op!K104)</f>
        <v/>
      </c>
      <c r="L172" s="510" t="str">
        <f>IF(op!L104="","",op!L104)</f>
        <v/>
      </c>
      <c r="M172" s="511" t="str">
        <f t="shared" si="42"/>
        <v/>
      </c>
      <c r="N172" s="109"/>
      <c r="O172" s="513" t="str">
        <f>IF(I172="","",VLOOKUP(I172,tab!$A$68:$V$108,J172+2,FALSE))</f>
        <v/>
      </c>
      <c r="P172" s="514" t="str">
        <f t="shared" si="43"/>
        <v/>
      </c>
      <c r="Q172" s="1173">
        <f t="shared" si="52"/>
        <v>0.62</v>
      </c>
      <c r="R172" s="514" t="str">
        <f t="shared" si="44"/>
        <v/>
      </c>
      <c r="S172" s="514">
        <f>IF(L172="",0,(((O172*12)*L172)*(1+tab!$D$55)*tab!$F$57))</f>
        <v>0</v>
      </c>
      <c r="T172" s="1131">
        <f t="shared" si="45"/>
        <v>0</v>
      </c>
      <c r="U172" s="219">
        <f t="shared" si="46"/>
        <v>0</v>
      </c>
      <c r="V172" s="1145">
        <f t="shared" si="47"/>
        <v>0</v>
      </c>
      <c r="W172" s="124"/>
      <c r="AA172" s="642" t="e">
        <f>DATE(YEAR(tab!$G$3),MONTH(H172),DAY(H172))&gt;tab!$G$3</f>
        <v>#VALUE!</v>
      </c>
      <c r="AB172" s="643" t="e">
        <f t="shared" si="48"/>
        <v>#VALUE!</v>
      </c>
      <c r="AC172" s="244">
        <f t="shared" si="49"/>
        <v>30</v>
      </c>
      <c r="AD172" s="244">
        <f t="shared" si="50"/>
        <v>30</v>
      </c>
      <c r="AE172" s="643">
        <f t="shared" si="51"/>
        <v>0</v>
      </c>
      <c r="AK172" s="552"/>
    </row>
    <row r="173" spans="3:37" ht="12.75" customHeight="1" x14ac:dyDescent="0.2">
      <c r="C173" s="108"/>
      <c r="D173" s="115" t="str">
        <f>IF(op!D105="","",op!D105)</f>
        <v/>
      </c>
      <c r="E173" s="115" t="str">
        <f>IF(op!E105=0,"",op!E105)</f>
        <v/>
      </c>
      <c r="F173" s="115" t="str">
        <f>IF(op!F105=0,"",op!F105)</f>
        <v/>
      </c>
      <c r="G173" s="132" t="str">
        <f>IF(op!G105="","",op!G105+1)</f>
        <v/>
      </c>
      <c r="H173" s="508" t="str">
        <f>IF(op!H105="","",op!H105)</f>
        <v/>
      </c>
      <c r="I173" s="132" t="str">
        <f>IF(op!I105=0,"",op!I105)</f>
        <v/>
      </c>
      <c r="J173" s="150" t="str">
        <f>IF(E173="","",(IF(op!J105+1&gt;LOOKUP(I173,schaal2011,regels2011),op!J105,op!J105+1)))</f>
        <v/>
      </c>
      <c r="K173" s="509" t="str">
        <f>IF(op!K105="","",op!K105)</f>
        <v/>
      </c>
      <c r="L173" s="510" t="str">
        <f>IF(op!L105="","",op!L105)</f>
        <v/>
      </c>
      <c r="M173" s="511" t="str">
        <f t="shared" si="42"/>
        <v/>
      </c>
      <c r="N173" s="109"/>
      <c r="O173" s="513" t="str">
        <f>IF(I173="","",VLOOKUP(I173,tab!$A$68:$V$108,J173+2,FALSE))</f>
        <v/>
      </c>
      <c r="P173" s="514" t="str">
        <f t="shared" si="43"/>
        <v/>
      </c>
      <c r="Q173" s="1173">
        <f t="shared" si="52"/>
        <v>0.62</v>
      </c>
      <c r="R173" s="514" t="str">
        <f t="shared" si="44"/>
        <v/>
      </c>
      <c r="S173" s="514">
        <f>IF(L173="",0,(((O173*12)*L173)*(1+tab!$D$55)*tab!$F$57))</f>
        <v>0</v>
      </c>
      <c r="T173" s="1131">
        <f t="shared" si="45"/>
        <v>0</v>
      </c>
      <c r="U173" s="219">
        <f t="shared" si="46"/>
        <v>0</v>
      </c>
      <c r="V173" s="1145">
        <f t="shared" si="47"/>
        <v>0</v>
      </c>
      <c r="W173" s="124"/>
      <c r="AA173" s="642" t="e">
        <f>DATE(YEAR(tab!$G$3),MONTH(H173),DAY(H173))&gt;tab!$G$3</f>
        <v>#VALUE!</v>
      </c>
      <c r="AB173" s="643" t="e">
        <f t="shared" si="48"/>
        <v>#VALUE!</v>
      </c>
      <c r="AC173" s="244">
        <f t="shared" si="49"/>
        <v>30</v>
      </c>
      <c r="AD173" s="244">
        <f t="shared" si="50"/>
        <v>30</v>
      </c>
      <c r="AE173" s="643">
        <f t="shared" si="51"/>
        <v>0</v>
      </c>
      <c r="AK173" s="552"/>
    </row>
    <row r="174" spans="3:37" ht="12.75" customHeight="1" x14ac:dyDescent="0.2">
      <c r="C174" s="108"/>
      <c r="D174" s="115" t="str">
        <f>IF(op!D106="","",op!D106)</f>
        <v/>
      </c>
      <c r="E174" s="115" t="str">
        <f>IF(op!E106=0,"",op!E106)</f>
        <v/>
      </c>
      <c r="F174" s="115" t="str">
        <f>IF(op!F106=0,"",op!F106)</f>
        <v/>
      </c>
      <c r="G174" s="132" t="str">
        <f>IF(op!G106="","",op!G106+1)</f>
        <v/>
      </c>
      <c r="H174" s="508" t="str">
        <f>IF(op!H106="","",op!H106)</f>
        <v/>
      </c>
      <c r="I174" s="132" t="str">
        <f>IF(op!I106=0,"",op!I106)</f>
        <v/>
      </c>
      <c r="J174" s="150" t="str">
        <f>IF(E174="","",(IF(op!J106+1&gt;LOOKUP(I174,schaal2011,regels2011),op!J106,op!J106+1)))</f>
        <v/>
      </c>
      <c r="K174" s="509" t="str">
        <f>IF(op!K106="","",op!K106)</f>
        <v/>
      </c>
      <c r="L174" s="510" t="str">
        <f>IF(op!L106="","",op!L106)</f>
        <v/>
      </c>
      <c r="M174" s="511" t="str">
        <f t="shared" si="42"/>
        <v/>
      </c>
      <c r="N174" s="109"/>
      <c r="O174" s="513" t="str">
        <f>IF(I174="","",VLOOKUP(I174,tab!$A$68:$V$108,J174+2,FALSE))</f>
        <v/>
      </c>
      <c r="P174" s="514" t="str">
        <f t="shared" si="43"/>
        <v/>
      </c>
      <c r="Q174" s="1173">
        <f t="shared" si="52"/>
        <v>0.62</v>
      </c>
      <c r="R174" s="514" t="str">
        <f t="shared" si="44"/>
        <v/>
      </c>
      <c r="S174" s="514">
        <f>IF(L174="",0,(((O174*12)*L174)*(1+tab!$D$55)*tab!$F$57))</f>
        <v>0</v>
      </c>
      <c r="T174" s="1131">
        <f t="shared" si="45"/>
        <v>0</v>
      </c>
      <c r="U174" s="219">
        <f t="shared" si="46"/>
        <v>0</v>
      </c>
      <c r="V174" s="1145">
        <f t="shared" si="47"/>
        <v>0</v>
      </c>
      <c r="W174" s="124"/>
      <c r="AA174" s="642" t="e">
        <f>DATE(YEAR(tab!$G$3),MONTH(H174),DAY(H174))&gt;tab!$G$3</f>
        <v>#VALUE!</v>
      </c>
      <c r="AB174" s="643" t="e">
        <f t="shared" si="48"/>
        <v>#VALUE!</v>
      </c>
      <c r="AC174" s="244">
        <f t="shared" si="49"/>
        <v>30</v>
      </c>
      <c r="AD174" s="244">
        <f t="shared" si="50"/>
        <v>30</v>
      </c>
      <c r="AE174" s="643">
        <f t="shared" si="51"/>
        <v>0</v>
      </c>
      <c r="AK174" s="552"/>
    </row>
    <row r="175" spans="3:37" ht="12.75" customHeight="1" x14ac:dyDescent="0.2">
      <c r="C175" s="108"/>
      <c r="D175" s="115" t="str">
        <f>IF(op!D107="","",op!D107)</f>
        <v/>
      </c>
      <c r="E175" s="115" t="str">
        <f>IF(op!E107=0,"",op!E107)</f>
        <v/>
      </c>
      <c r="F175" s="115" t="str">
        <f>IF(op!F107=0,"",op!F107)</f>
        <v/>
      </c>
      <c r="G175" s="132" t="str">
        <f>IF(op!G107="","",op!G107+1)</f>
        <v/>
      </c>
      <c r="H175" s="508" t="str">
        <f>IF(op!H107="","",op!H107)</f>
        <v/>
      </c>
      <c r="I175" s="132" t="str">
        <f>IF(op!I107=0,"",op!I107)</f>
        <v/>
      </c>
      <c r="J175" s="150" t="str">
        <f>IF(E175="","",(IF(op!J107+1&gt;LOOKUP(I175,schaal2011,regels2011),op!J107,op!J107+1)))</f>
        <v/>
      </c>
      <c r="K175" s="509" t="str">
        <f>IF(op!K107="","",op!K107)</f>
        <v/>
      </c>
      <c r="L175" s="510" t="str">
        <f>IF(op!L107="","",op!L107)</f>
        <v/>
      </c>
      <c r="M175" s="511" t="str">
        <f t="shared" si="42"/>
        <v/>
      </c>
      <c r="N175" s="109"/>
      <c r="O175" s="513" t="str">
        <f>IF(I175="","",VLOOKUP(I175,tab!$A$68:$V$108,J175+2,FALSE))</f>
        <v/>
      </c>
      <c r="P175" s="514" t="str">
        <f t="shared" si="43"/>
        <v/>
      </c>
      <c r="Q175" s="1173">
        <f t="shared" si="52"/>
        <v>0.62</v>
      </c>
      <c r="R175" s="514" t="str">
        <f t="shared" si="44"/>
        <v/>
      </c>
      <c r="S175" s="514">
        <f>IF(L175="",0,(((O175*12)*L175)*(1+tab!$D$55)*tab!$F$57))</f>
        <v>0</v>
      </c>
      <c r="T175" s="1131">
        <f t="shared" si="45"/>
        <v>0</v>
      </c>
      <c r="U175" s="219">
        <f t="shared" si="46"/>
        <v>0</v>
      </c>
      <c r="V175" s="1145">
        <f t="shared" si="47"/>
        <v>0</v>
      </c>
      <c r="W175" s="124"/>
      <c r="AA175" s="642" t="e">
        <f>DATE(YEAR(tab!$G$3),MONTH(H175),DAY(H175))&gt;tab!$G$3</f>
        <v>#VALUE!</v>
      </c>
      <c r="AB175" s="643" t="e">
        <f t="shared" si="48"/>
        <v>#VALUE!</v>
      </c>
      <c r="AC175" s="244">
        <f t="shared" si="49"/>
        <v>30</v>
      </c>
      <c r="AD175" s="244">
        <f t="shared" si="50"/>
        <v>30</v>
      </c>
      <c r="AE175" s="643">
        <f t="shared" si="51"/>
        <v>0</v>
      </c>
      <c r="AK175" s="552"/>
    </row>
    <row r="176" spans="3:37" ht="12.75" customHeight="1" x14ac:dyDescent="0.2">
      <c r="C176" s="108"/>
      <c r="D176" s="115" t="str">
        <f>IF(op!D108="","",op!D108)</f>
        <v/>
      </c>
      <c r="E176" s="115" t="str">
        <f>IF(op!E108=0,"",op!E108)</f>
        <v/>
      </c>
      <c r="F176" s="115" t="str">
        <f>IF(op!F108=0,"",op!F108)</f>
        <v/>
      </c>
      <c r="G176" s="132" t="str">
        <f>IF(op!G108="","",op!G108+1)</f>
        <v/>
      </c>
      <c r="H176" s="508" t="str">
        <f>IF(op!H108="","",op!H108)</f>
        <v/>
      </c>
      <c r="I176" s="132" t="str">
        <f>IF(op!I108=0,"",op!I108)</f>
        <v/>
      </c>
      <c r="J176" s="150" t="str">
        <f>IF(E176="","",(IF(op!J108+1&gt;LOOKUP(I176,schaal2011,regels2011),op!J108,op!J108+1)))</f>
        <v/>
      </c>
      <c r="K176" s="509" t="str">
        <f>IF(op!K108="","",op!K108)</f>
        <v/>
      </c>
      <c r="L176" s="510" t="str">
        <f>IF(op!L108="","",op!L108)</f>
        <v/>
      </c>
      <c r="M176" s="511" t="str">
        <f t="shared" si="42"/>
        <v/>
      </c>
      <c r="N176" s="109"/>
      <c r="O176" s="513" t="str">
        <f>IF(I176="","",VLOOKUP(I176,tab!$A$68:$V$108,J176+2,FALSE))</f>
        <v/>
      </c>
      <c r="P176" s="514" t="str">
        <f t="shared" si="43"/>
        <v/>
      </c>
      <c r="Q176" s="1173">
        <f t="shared" si="52"/>
        <v>0.62</v>
      </c>
      <c r="R176" s="514" t="str">
        <f t="shared" si="44"/>
        <v/>
      </c>
      <c r="S176" s="514">
        <f>IF(L176="",0,(((O176*12)*L176)*(1+tab!$D$55)*tab!$F$57))</f>
        <v>0</v>
      </c>
      <c r="T176" s="1131">
        <f t="shared" si="45"/>
        <v>0</v>
      </c>
      <c r="U176" s="219">
        <f t="shared" si="46"/>
        <v>0</v>
      </c>
      <c r="V176" s="1145">
        <f t="shared" si="47"/>
        <v>0</v>
      </c>
      <c r="W176" s="124"/>
      <c r="AA176" s="642" t="e">
        <f>DATE(YEAR(tab!$G$3),MONTH(H176),DAY(H176))&gt;tab!$G$3</f>
        <v>#VALUE!</v>
      </c>
      <c r="AB176" s="643" t="e">
        <f t="shared" si="48"/>
        <v>#VALUE!</v>
      </c>
      <c r="AC176" s="244">
        <f t="shared" si="49"/>
        <v>30</v>
      </c>
      <c r="AD176" s="244">
        <f t="shared" si="50"/>
        <v>30</v>
      </c>
      <c r="AE176" s="643">
        <f t="shared" si="51"/>
        <v>0</v>
      </c>
      <c r="AK176" s="552"/>
    </row>
    <row r="177" spans="3:37" ht="12.75" customHeight="1" x14ac:dyDescent="0.2">
      <c r="C177" s="108"/>
      <c r="D177" s="115" t="str">
        <f>IF(op!D109="","",op!D109)</f>
        <v/>
      </c>
      <c r="E177" s="115" t="str">
        <f>IF(op!E109=0,"",op!E109)</f>
        <v/>
      </c>
      <c r="F177" s="115" t="str">
        <f>IF(op!F109=0,"",op!F109)</f>
        <v/>
      </c>
      <c r="G177" s="132" t="str">
        <f>IF(op!G109="","",op!G109+1)</f>
        <v/>
      </c>
      <c r="H177" s="508" t="str">
        <f>IF(op!H109="","",op!H109)</f>
        <v/>
      </c>
      <c r="I177" s="132" t="str">
        <f>IF(op!I109=0,"",op!I109)</f>
        <v/>
      </c>
      <c r="J177" s="150" t="str">
        <f>IF(E177="","",(IF(op!J109+1&gt;LOOKUP(I177,schaal2011,regels2011),op!J109,op!J109+1)))</f>
        <v/>
      </c>
      <c r="K177" s="509" t="str">
        <f>IF(op!K109="","",op!K109)</f>
        <v/>
      </c>
      <c r="L177" s="510" t="str">
        <f>IF(op!L109="","",op!L109)</f>
        <v/>
      </c>
      <c r="M177" s="511" t="str">
        <f t="shared" si="42"/>
        <v/>
      </c>
      <c r="N177" s="109"/>
      <c r="O177" s="513" t="str">
        <f>IF(I177="","",VLOOKUP(I177,tab!$A$68:$V$108,J177+2,FALSE))</f>
        <v/>
      </c>
      <c r="P177" s="514" t="str">
        <f t="shared" si="43"/>
        <v/>
      </c>
      <c r="Q177" s="1173">
        <f t="shared" si="52"/>
        <v>0.62</v>
      </c>
      <c r="R177" s="514" t="str">
        <f t="shared" si="44"/>
        <v/>
      </c>
      <c r="S177" s="514">
        <f>IF(L177="",0,(((O177*12)*L177)*(1+tab!$D$55)*tab!$F$57))</f>
        <v>0</v>
      </c>
      <c r="T177" s="1131">
        <f t="shared" si="45"/>
        <v>0</v>
      </c>
      <c r="U177" s="219">
        <f t="shared" si="46"/>
        <v>0</v>
      </c>
      <c r="V177" s="1145">
        <f t="shared" si="47"/>
        <v>0</v>
      </c>
      <c r="W177" s="124"/>
      <c r="AA177" s="642" t="e">
        <f>DATE(YEAR(tab!$G$3),MONTH(H177),DAY(H177))&gt;tab!$G$3</f>
        <v>#VALUE!</v>
      </c>
      <c r="AB177" s="643" t="e">
        <f t="shared" si="48"/>
        <v>#VALUE!</v>
      </c>
      <c r="AC177" s="244">
        <f t="shared" si="49"/>
        <v>30</v>
      </c>
      <c r="AD177" s="244">
        <f t="shared" si="50"/>
        <v>30</v>
      </c>
      <c r="AE177" s="643">
        <f t="shared" si="51"/>
        <v>0</v>
      </c>
      <c r="AK177" s="552"/>
    </row>
    <row r="178" spans="3:37" ht="12.75" customHeight="1" x14ac:dyDescent="0.2">
      <c r="C178" s="108"/>
      <c r="D178" s="115" t="str">
        <f>IF(op!D110="","",op!D110)</f>
        <v/>
      </c>
      <c r="E178" s="115" t="str">
        <f>IF(op!E110=0,"",op!E110)</f>
        <v/>
      </c>
      <c r="F178" s="115" t="str">
        <f>IF(op!F110=0,"",op!F110)</f>
        <v/>
      </c>
      <c r="G178" s="132" t="str">
        <f>IF(op!G110="","",op!G110+1)</f>
        <v/>
      </c>
      <c r="H178" s="508" t="str">
        <f>IF(op!H110="","",op!H110)</f>
        <v/>
      </c>
      <c r="I178" s="132" t="str">
        <f>IF(op!I110=0,"",op!I110)</f>
        <v/>
      </c>
      <c r="J178" s="150" t="str">
        <f>IF(E178="","",(IF(op!J110+1&gt;LOOKUP(I178,schaal2011,regels2011),op!J110,op!J110+1)))</f>
        <v/>
      </c>
      <c r="K178" s="509" t="str">
        <f>IF(op!K110="","",op!K110)</f>
        <v/>
      </c>
      <c r="L178" s="510" t="str">
        <f>IF(op!L110="","",op!L110)</f>
        <v/>
      </c>
      <c r="M178" s="511" t="str">
        <f t="shared" si="42"/>
        <v/>
      </c>
      <c r="N178" s="109"/>
      <c r="O178" s="513" t="str">
        <f>IF(I178="","",VLOOKUP(I178,tab!$A$68:$V$108,J178+2,FALSE))</f>
        <v/>
      </c>
      <c r="P178" s="514" t="str">
        <f t="shared" si="43"/>
        <v/>
      </c>
      <c r="Q178" s="1173">
        <f t="shared" si="52"/>
        <v>0.62</v>
      </c>
      <c r="R178" s="514" t="str">
        <f t="shared" si="44"/>
        <v/>
      </c>
      <c r="S178" s="514">
        <f>IF(L178="",0,(((O178*12)*L178)*(1+tab!$D$55)*tab!$F$57))</f>
        <v>0</v>
      </c>
      <c r="T178" s="1131">
        <f t="shared" si="45"/>
        <v>0</v>
      </c>
      <c r="U178" s="219">
        <f t="shared" si="46"/>
        <v>0</v>
      </c>
      <c r="V178" s="1145">
        <f t="shared" si="47"/>
        <v>0</v>
      </c>
      <c r="W178" s="124"/>
      <c r="AA178" s="642" t="e">
        <f>DATE(YEAR(tab!$G$3),MONTH(H178),DAY(H178))&gt;tab!$G$3</f>
        <v>#VALUE!</v>
      </c>
      <c r="AB178" s="643" t="e">
        <f t="shared" si="48"/>
        <v>#VALUE!</v>
      </c>
      <c r="AC178" s="244">
        <f t="shared" si="49"/>
        <v>30</v>
      </c>
      <c r="AD178" s="244">
        <f t="shared" si="50"/>
        <v>30</v>
      </c>
      <c r="AE178" s="643">
        <f t="shared" si="51"/>
        <v>0</v>
      </c>
      <c r="AK178" s="552"/>
    </row>
    <row r="179" spans="3:37" ht="12.75" customHeight="1" x14ac:dyDescent="0.2">
      <c r="C179" s="108"/>
      <c r="D179" s="115" t="str">
        <f>IF(op!D111="","",op!D111)</f>
        <v/>
      </c>
      <c r="E179" s="115" t="str">
        <f>IF(op!E111=0,"",op!E111)</f>
        <v/>
      </c>
      <c r="F179" s="115" t="str">
        <f>IF(op!F111=0,"",op!F111)</f>
        <v/>
      </c>
      <c r="G179" s="132" t="str">
        <f>IF(op!G111="","",op!G111+1)</f>
        <v/>
      </c>
      <c r="H179" s="508" t="str">
        <f>IF(op!H111="","",op!H111)</f>
        <v/>
      </c>
      <c r="I179" s="132" t="str">
        <f>IF(op!I111=0,"",op!I111)</f>
        <v/>
      </c>
      <c r="J179" s="150" t="str">
        <f>IF(E179="","",(IF(op!J111+1&gt;LOOKUP(I179,schaal2011,regels2011),op!J111,op!J111+1)))</f>
        <v/>
      </c>
      <c r="K179" s="509" t="str">
        <f>IF(op!K111="","",op!K111)</f>
        <v/>
      </c>
      <c r="L179" s="510" t="str">
        <f>IF(op!L111="","",op!L111)</f>
        <v/>
      </c>
      <c r="M179" s="511" t="str">
        <f t="shared" si="42"/>
        <v/>
      </c>
      <c r="N179" s="109"/>
      <c r="O179" s="513" t="str">
        <f>IF(I179="","",VLOOKUP(I179,tab!$A$68:$V$108,J179+2,FALSE))</f>
        <v/>
      </c>
      <c r="P179" s="514" t="str">
        <f t="shared" si="43"/>
        <v/>
      </c>
      <c r="Q179" s="1173">
        <f t="shared" si="52"/>
        <v>0.62</v>
      </c>
      <c r="R179" s="514" t="str">
        <f t="shared" si="44"/>
        <v/>
      </c>
      <c r="S179" s="514">
        <f>IF(L179="",0,(((O179*12)*L179)*(1+tab!$D$55)*tab!$F$57))</f>
        <v>0</v>
      </c>
      <c r="T179" s="1131">
        <f t="shared" si="45"/>
        <v>0</v>
      </c>
      <c r="U179" s="219">
        <f t="shared" si="46"/>
        <v>0</v>
      </c>
      <c r="V179" s="1145">
        <f t="shared" si="47"/>
        <v>0</v>
      </c>
      <c r="W179" s="124"/>
      <c r="AA179" s="642" t="e">
        <f>DATE(YEAR(tab!$G$3),MONTH(H179),DAY(H179))&gt;tab!$G$3</f>
        <v>#VALUE!</v>
      </c>
      <c r="AB179" s="643" t="e">
        <f t="shared" si="48"/>
        <v>#VALUE!</v>
      </c>
      <c r="AC179" s="244">
        <f t="shared" si="49"/>
        <v>30</v>
      </c>
      <c r="AD179" s="244">
        <f t="shared" si="50"/>
        <v>30</v>
      </c>
      <c r="AE179" s="643">
        <f t="shared" si="51"/>
        <v>0</v>
      </c>
      <c r="AK179" s="552"/>
    </row>
    <row r="180" spans="3:37" ht="12.75" customHeight="1" x14ac:dyDescent="0.2">
      <c r="C180" s="108"/>
      <c r="D180" s="115" t="str">
        <f>IF(op!D112="","",op!D112)</f>
        <v/>
      </c>
      <c r="E180" s="115" t="str">
        <f>IF(op!E112=0,"",op!E112)</f>
        <v/>
      </c>
      <c r="F180" s="115" t="str">
        <f>IF(op!F112=0,"",op!F112)</f>
        <v/>
      </c>
      <c r="G180" s="132" t="str">
        <f>IF(op!G112="","",op!G112+1)</f>
        <v/>
      </c>
      <c r="H180" s="508" t="str">
        <f>IF(op!H112="","",op!H112)</f>
        <v/>
      </c>
      <c r="I180" s="132" t="str">
        <f>IF(op!I112=0,"",op!I112)</f>
        <v/>
      </c>
      <c r="J180" s="150" t="str">
        <f>IF(E180="","",(IF(op!J112+1&gt;LOOKUP(I180,schaal2011,regels2011),op!J112,op!J112+1)))</f>
        <v/>
      </c>
      <c r="K180" s="509" t="str">
        <f>IF(op!K112="","",op!K112)</f>
        <v/>
      </c>
      <c r="L180" s="510" t="str">
        <f>IF(op!L112="","",op!L112)</f>
        <v/>
      </c>
      <c r="M180" s="511" t="str">
        <f t="shared" si="42"/>
        <v/>
      </c>
      <c r="N180" s="109"/>
      <c r="O180" s="513" t="str">
        <f>IF(I180="","",VLOOKUP(I180,tab!$A$68:$V$108,J180+2,FALSE))</f>
        <v/>
      </c>
      <c r="P180" s="514" t="str">
        <f t="shared" si="43"/>
        <v/>
      </c>
      <c r="Q180" s="1173">
        <f t="shared" si="52"/>
        <v>0.62</v>
      </c>
      <c r="R180" s="514" t="str">
        <f t="shared" si="44"/>
        <v/>
      </c>
      <c r="S180" s="514">
        <f>IF(L180="",0,(((O180*12)*L180)*(1+tab!$D$55)*tab!$F$57))</f>
        <v>0</v>
      </c>
      <c r="T180" s="1131">
        <f t="shared" si="45"/>
        <v>0</v>
      </c>
      <c r="U180" s="219">
        <f t="shared" si="46"/>
        <v>0</v>
      </c>
      <c r="V180" s="1145">
        <f t="shared" si="47"/>
        <v>0</v>
      </c>
      <c r="W180" s="124"/>
      <c r="AA180" s="642" t="e">
        <f>DATE(YEAR(tab!$G$3),MONTH(H180),DAY(H180))&gt;tab!$G$3</f>
        <v>#VALUE!</v>
      </c>
      <c r="AB180" s="643" t="e">
        <f t="shared" si="48"/>
        <v>#VALUE!</v>
      </c>
      <c r="AC180" s="244">
        <f t="shared" si="49"/>
        <v>30</v>
      </c>
      <c r="AD180" s="244">
        <f t="shared" si="50"/>
        <v>30</v>
      </c>
      <c r="AE180" s="643">
        <f t="shared" si="51"/>
        <v>0</v>
      </c>
      <c r="AK180" s="552"/>
    </row>
    <row r="181" spans="3:37" ht="12.75" customHeight="1" x14ac:dyDescent="0.2">
      <c r="C181" s="108"/>
      <c r="D181" s="115" t="str">
        <f>IF(op!D113="","",op!D113)</f>
        <v/>
      </c>
      <c r="E181" s="115" t="str">
        <f>IF(op!E113=0,"",op!E113)</f>
        <v/>
      </c>
      <c r="F181" s="115" t="str">
        <f>IF(op!F113=0,"",op!F113)</f>
        <v/>
      </c>
      <c r="G181" s="132" t="str">
        <f>IF(op!G113="","",op!G113+1)</f>
        <v/>
      </c>
      <c r="H181" s="508" t="str">
        <f>IF(op!H113="","",op!H113)</f>
        <v/>
      </c>
      <c r="I181" s="132" t="str">
        <f>IF(op!I113=0,"",op!I113)</f>
        <v/>
      </c>
      <c r="J181" s="150" t="str">
        <f>IF(E181="","",(IF(op!J113+1&gt;LOOKUP(I181,schaal2011,regels2011),op!J113,op!J113+1)))</f>
        <v/>
      </c>
      <c r="K181" s="509" t="str">
        <f>IF(op!K113="","",op!K113)</f>
        <v/>
      </c>
      <c r="L181" s="510" t="str">
        <f>IF(op!L113="","",op!L113)</f>
        <v/>
      </c>
      <c r="M181" s="511" t="str">
        <f t="shared" si="42"/>
        <v/>
      </c>
      <c r="N181" s="109"/>
      <c r="O181" s="513" t="str">
        <f>IF(I181="","",VLOOKUP(I181,tab!$A$68:$V$108,J181+2,FALSE))</f>
        <v/>
      </c>
      <c r="P181" s="514" t="str">
        <f t="shared" si="43"/>
        <v/>
      </c>
      <c r="Q181" s="1173">
        <f t="shared" si="52"/>
        <v>0.62</v>
      </c>
      <c r="R181" s="514" t="str">
        <f t="shared" si="44"/>
        <v/>
      </c>
      <c r="S181" s="514">
        <f>IF(L181="",0,(((O181*12)*L181)*(1+tab!$D$55)*tab!$F$57))</f>
        <v>0</v>
      </c>
      <c r="T181" s="1131">
        <f t="shared" si="45"/>
        <v>0</v>
      </c>
      <c r="U181" s="219">
        <f t="shared" si="46"/>
        <v>0</v>
      </c>
      <c r="V181" s="1145">
        <f t="shared" si="47"/>
        <v>0</v>
      </c>
      <c r="W181" s="124"/>
      <c r="AA181" s="642" t="e">
        <f>DATE(YEAR(tab!$G$3),MONTH(H181),DAY(H181))&gt;tab!$G$3</f>
        <v>#VALUE!</v>
      </c>
      <c r="AB181" s="643" t="e">
        <f t="shared" si="48"/>
        <v>#VALUE!</v>
      </c>
      <c r="AC181" s="244">
        <f t="shared" si="49"/>
        <v>30</v>
      </c>
      <c r="AD181" s="244">
        <f t="shared" si="50"/>
        <v>30</v>
      </c>
      <c r="AE181" s="643">
        <f t="shared" si="51"/>
        <v>0</v>
      </c>
      <c r="AK181" s="552"/>
    </row>
    <row r="182" spans="3:37" ht="12.75" customHeight="1" x14ac:dyDescent="0.2">
      <c r="C182" s="108"/>
      <c r="D182" s="115" t="str">
        <f>IF(op!D114="","",op!D114)</f>
        <v/>
      </c>
      <c r="E182" s="115" t="str">
        <f>IF(op!E114=0,"",op!E114)</f>
        <v/>
      </c>
      <c r="F182" s="115" t="str">
        <f>IF(op!F114=0,"",op!F114)</f>
        <v/>
      </c>
      <c r="G182" s="132" t="str">
        <f>IF(op!G114="","",op!G114+1)</f>
        <v/>
      </c>
      <c r="H182" s="508" t="str">
        <f>IF(op!H114="","",op!H114)</f>
        <v/>
      </c>
      <c r="I182" s="132" t="str">
        <f>IF(op!I114=0,"",op!I114)</f>
        <v/>
      </c>
      <c r="J182" s="150" t="str">
        <f>IF(E182="","",(IF(op!J114+1&gt;LOOKUP(I182,schaal2011,regels2011),op!J114,op!J114+1)))</f>
        <v/>
      </c>
      <c r="K182" s="509" t="str">
        <f>IF(op!K114="","",op!K114)</f>
        <v/>
      </c>
      <c r="L182" s="510" t="str">
        <f>IF(op!L114="","",op!L114)</f>
        <v/>
      </c>
      <c r="M182" s="511" t="str">
        <f t="shared" si="42"/>
        <v/>
      </c>
      <c r="N182" s="109"/>
      <c r="O182" s="513" t="str">
        <f>IF(I182="","",VLOOKUP(I182,tab!$A$68:$V$108,J182+2,FALSE))</f>
        <v/>
      </c>
      <c r="P182" s="514" t="str">
        <f t="shared" si="43"/>
        <v/>
      </c>
      <c r="Q182" s="1173">
        <f t="shared" si="52"/>
        <v>0.62</v>
      </c>
      <c r="R182" s="514" t="str">
        <f t="shared" si="44"/>
        <v/>
      </c>
      <c r="S182" s="514">
        <f>IF(L182="",0,(((O182*12)*L182)*(1+tab!$D$55)*tab!$F$57))</f>
        <v>0</v>
      </c>
      <c r="T182" s="1131">
        <f t="shared" si="45"/>
        <v>0</v>
      </c>
      <c r="U182" s="219">
        <f t="shared" si="46"/>
        <v>0</v>
      </c>
      <c r="V182" s="1145">
        <f t="shared" si="47"/>
        <v>0</v>
      </c>
      <c r="W182" s="124"/>
      <c r="AA182" s="642" t="e">
        <f>DATE(YEAR(tab!$G$3),MONTH(H182),DAY(H182))&gt;tab!$G$3</f>
        <v>#VALUE!</v>
      </c>
      <c r="AB182" s="643" t="e">
        <f t="shared" si="48"/>
        <v>#VALUE!</v>
      </c>
      <c r="AC182" s="244">
        <f t="shared" si="49"/>
        <v>30</v>
      </c>
      <c r="AD182" s="244">
        <f t="shared" si="50"/>
        <v>30</v>
      </c>
      <c r="AE182" s="643">
        <f t="shared" si="51"/>
        <v>0</v>
      </c>
      <c r="AK182" s="552"/>
    </row>
    <row r="183" spans="3:37" ht="12.75" customHeight="1" x14ac:dyDescent="0.2">
      <c r="C183" s="108"/>
      <c r="D183" s="115" t="str">
        <f>IF(op!D115="","",op!D115)</f>
        <v/>
      </c>
      <c r="E183" s="115" t="str">
        <f>IF(op!E115=0,"",op!E115)</f>
        <v/>
      </c>
      <c r="F183" s="115" t="str">
        <f>IF(op!F115=0,"",op!F115)</f>
        <v/>
      </c>
      <c r="G183" s="132" t="str">
        <f>IF(op!G115="","",op!G115+1)</f>
        <v/>
      </c>
      <c r="H183" s="508" t="str">
        <f>IF(op!H115="","",op!H115)</f>
        <v/>
      </c>
      <c r="I183" s="132" t="str">
        <f>IF(op!I115=0,"",op!I115)</f>
        <v/>
      </c>
      <c r="J183" s="150" t="str">
        <f>IF(E183="","",(IF(op!J115+1&gt;LOOKUP(I183,schaal2011,regels2011),op!J115,op!J115+1)))</f>
        <v/>
      </c>
      <c r="K183" s="509" t="str">
        <f>IF(op!K115="","",op!K115)</f>
        <v/>
      </c>
      <c r="L183" s="510" t="str">
        <f>IF(op!L115="","",op!L115)</f>
        <v/>
      </c>
      <c r="M183" s="511" t="str">
        <f t="shared" si="42"/>
        <v/>
      </c>
      <c r="N183" s="109"/>
      <c r="O183" s="513" t="str">
        <f>IF(I183="","",VLOOKUP(I183,tab!$A$68:$V$108,J183+2,FALSE))</f>
        <v/>
      </c>
      <c r="P183" s="514" t="str">
        <f t="shared" si="43"/>
        <v/>
      </c>
      <c r="Q183" s="1173">
        <f t="shared" si="52"/>
        <v>0.62</v>
      </c>
      <c r="R183" s="514" t="str">
        <f t="shared" si="44"/>
        <v/>
      </c>
      <c r="S183" s="514">
        <f>IF(L183="",0,(((O183*12)*L183)*(1+tab!$D$55)*tab!$F$57))</f>
        <v>0</v>
      </c>
      <c r="T183" s="1131">
        <f t="shared" si="45"/>
        <v>0</v>
      </c>
      <c r="U183" s="219">
        <f t="shared" si="46"/>
        <v>0</v>
      </c>
      <c r="V183" s="1145">
        <f t="shared" si="47"/>
        <v>0</v>
      </c>
      <c r="W183" s="124"/>
      <c r="AA183" s="642" t="e">
        <f>DATE(YEAR(tab!$G$3),MONTH(H183),DAY(H183))&gt;tab!$G$3</f>
        <v>#VALUE!</v>
      </c>
      <c r="AB183" s="643" t="e">
        <f t="shared" si="48"/>
        <v>#VALUE!</v>
      </c>
      <c r="AC183" s="244">
        <f t="shared" si="49"/>
        <v>30</v>
      </c>
      <c r="AD183" s="244">
        <f t="shared" si="50"/>
        <v>30</v>
      </c>
      <c r="AE183" s="643">
        <f t="shared" si="51"/>
        <v>0</v>
      </c>
      <c r="AK183" s="552"/>
    </row>
    <row r="184" spans="3:37" ht="12.75" customHeight="1" x14ac:dyDescent="0.2">
      <c r="C184" s="108"/>
      <c r="D184" s="115" t="str">
        <f>IF(op!D116="","",op!D116)</f>
        <v/>
      </c>
      <c r="E184" s="115" t="str">
        <f>IF(op!E116=0,"",op!E116)</f>
        <v/>
      </c>
      <c r="F184" s="115" t="str">
        <f>IF(op!F116=0,"",op!F116)</f>
        <v/>
      </c>
      <c r="G184" s="132" t="str">
        <f>IF(op!G116="","",op!G116+1)</f>
        <v/>
      </c>
      <c r="H184" s="508" t="str">
        <f>IF(op!H116="","",op!H116)</f>
        <v/>
      </c>
      <c r="I184" s="132" t="str">
        <f>IF(op!I116=0,"",op!I116)</f>
        <v/>
      </c>
      <c r="J184" s="150" t="str">
        <f>IF(E184="","",(IF(op!J116+1&gt;LOOKUP(I184,schaal2011,regels2011),op!J116,op!J116+1)))</f>
        <v/>
      </c>
      <c r="K184" s="509" t="str">
        <f>IF(op!K116="","",op!K116)</f>
        <v/>
      </c>
      <c r="L184" s="510" t="str">
        <f>IF(op!L116="","",op!L116)</f>
        <v/>
      </c>
      <c r="M184" s="511" t="str">
        <f t="shared" ref="M184:M206" si="53">(IF(L184="",(K184),(K184)-L184))</f>
        <v/>
      </c>
      <c r="N184" s="109"/>
      <c r="O184" s="513" t="str">
        <f>IF(I184="","",VLOOKUP(I184,tab!$A$68:$V$108,J184+2,FALSE))</f>
        <v/>
      </c>
      <c r="P184" s="514" t="str">
        <f t="shared" ref="P184:P206" si="54">IF(E184="","",(O184*M184*12))</f>
        <v/>
      </c>
      <c r="Q184" s="1173">
        <f t="shared" si="52"/>
        <v>0.62</v>
      </c>
      <c r="R184" s="514" t="str">
        <f t="shared" ref="R184:R206" si="55">IF(E184="","",(P184)*Q184)</f>
        <v/>
      </c>
      <c r="S184" s="514">
        <f>IF(L184="",0,(((O184*12)*L184)*(1+tab!$D$55)*tab!$F$57))</f>
        <v>0</v>
      </c>
      <c r="T184" s="1131">
        <f t="shared" ref="T184:T206" si="56">IF(E184="",0,(P184+R184+S184))</f>
        <v>0</v>
      </c>
      <c r="U184" s="219">
        <f t="shared" ref="U184:U206" si="57">IF(G184&lt;25,0,IF(G184=25,25,IF(G184&lt;40,0,IF(G184=40,40,IF(G184&gt;=40,0)))))</f>
        <v>0</v>
      </c>
      <c r="V184" s="1145">
        <f t="shared" ref="V184:V206" si="58">IF(U184=25,(O184*1.08*(K184)/2),IF(U184=40,(O184*1.08*(K184)),IF(U184=0,0)))</f>
        <v>0</v>
      </c>
      <c r="W184" s="124"/>
      <c r="AA184" s="642" t="e">
        <f>DATE(YEAR(tab!$G$3),MONTH(H184),DAY(H184))&gt;tab!$G$3</f>
        <v>#VALUE!</v>
      </c>
      <c r="AB184" s="643" t="e">
        <f t="shared" ref="AB184:AB206" si="59">YEAR($E$145)-YEAR(H184)-AA184</f>
        <v>#VALUE!</v>
      </c>
      <c r="AC184" s="244">
        <f t="shared" ref="AC184:AC206" si="60">IF((H184=""),30,AB184)</f>
        <v>30</v>
      </c>
      <c r="AD184" s="244">
        <f t="shared" ref="AD184:AD206" si="61">IF((AC184)&gt;50,50,(AC184))</f>
        <v>30</v>
      </c>
      <c r="AE184" s="643">
        <f t="shared" ref="AE184:AE206" si="62">ROUND((AD184*(SUM(K184:K184))),2)</f>
        <v>0</v>
      </c>
      <c r="AK184" s="552"/>
    </row>
    <row r="185" spans="3:37" ht="12.75" customHeight="1" x14ac:dyDescent="0.2">
      <c r="C185" s="108"/>
      <c r="D185" s="115" t="str">
        <f>IF(op!D117="","",op!D117)</f>
        <v/>
      </c>
      <c r="E185" s="115" t="str">
        <f>IF(op!E117=0,"",op!E117)</f>
        <v/>
      </c>
      <c r="F185" s="115" t="str">
        <f>IF(op!F117=0,"",op!F117)</f>
        <v/>
      </c>
      <c r="G185" s="132" t="str">
        <f>IF(op!G117="","",op!G117+1)</f>
        <v/>
      </c>
      <c r="H185" s="508" t="str">
        <f>IF(op!H117="","",op!H117)</f>
        <v/>
      </c>
      <c r="I185" s="132" t="str">
        <f>IF(op!I117=0,"",op!I117)</f>
        <v/>
      </c>
      <c r="J185" s="150" t="str">
        <f>IF(E185="","",(IF(op!J117+1&gt;LOOKUP(I185,schaal2011,regels2011),op!J117,op!J117+1)))</f>
        <v/>
      </c>
      <c r="K185" s="509" t="str">
        <f>IF(op!K117="","",op!K117)</f>
        <v/>
      </c>
      <c r="L185" s="510" t="str">
        <f>IF(op!L117="","",op!L117)</f>
        <v/>
      </c>
      <c r="M185" s="511" t="str">
        <f t="shared" si="53"/>
        <v/>
      </c>
      <c r="N185" s="109"/>
      <c r="O185" s="513" t="str">
        <f>IF(I185="","",VLOOKUP(I185,tab!$A$68:$V$108,J185+2,FALSE))</f>
        <v/>
      </c>
      <c r="P185" s="514" t="str">
        <f t="shared" si="54"/>
        <v/>
      </c>
      <c r="Q185" s="1173">
        <f t="shared" si="52"/>
        <v>0.62</v>
      </c>
      <c r="R185" s="514" t="str">
        <f t="shared" si="55"/>
        <v/>
      </c>
      <c r="S185" s="514">
        <f>IF(L185="",0,(((O185*12)*L185)*(1+tab!$D$55)*tab!$F$57))</f>
        <v>0</v>
      </c>
      <c r="T185" s="1131">
        <f t="shared" si="56"/>
        <v>0</v>
      </c>
      <c r="U185" s="219">
        <f t="shared" si="57"/>
        <v>0</v>
      </c>
      <c r="V185" s="1145">
        <f t="shared" si="58"/>
        <v>0</v>
      </c>
      <c r="W185" s="124"/>
      <c r="AA185" s="642" t="e">
        <f>DATE(YEAR(tab!$G$3),MONTH(H185),DAY(H185))&gt;tab!$G$3</f>
        <v>#VALUE!</v>
      </c>
      <c r="AB185" s="643" t="e">
        <f t="shared" si="59"/>
        <v>#VALUE!</v>
      </c>
      <c r="AC185" s="244">
        <f t="shared" si="60"/>
        <v>30</v>
      </c>
      <c r="AD185" s="244">
        <f t="shared" si="61"/>
        <v>30</v>
      </c>
      <c r="AE185" s="643">
        <f t="shared" si="62"/>
        <v>0</v>
      </c>
      <c r="AK185" s="552"/>
    </row>
    <row r="186" spans="3:37" ht="12.75" customHeight="1" x14ac:dyDescent="0.2">
      <c r="C186" s="108"/>
      <c r="D186" s="115" t="str">
        <f>IF(op!D118="","",op!D118)</f>
        <v/>
      </c>
      <c r="E186" s="115" t="str">
        <f>IF(op!E118=0,"",op!E118)</f>
        <v/>
      </c>
      <c r="F186" s="115" t="str">
        <f>IF(op!F118=0,"",op!F118)</f>
        <v/>
      </c>
      <c r="G186" s="132" t="str">
        <f>IF(op!G118="","",op!G118+1)</f>
        <v/>
      </c>
      <c r="H186" s="508" t="str">
        <f>IF(op!H118="","",op!H118)</f>
        <v/>
      </c>
      <c r="I186" s="132" t="str">
        <f>IF(op!I118=0,"",op!I118)</f>
        <v/>
      </c>
      <c r="J186" s="150" t="str">
        <f>IF(E186="","",(IF(op!J118+1&gt;LOOKUP(I186,schaal2011,regels2011),op!J118,op!J118+1)))</f>
        <v/>
      </c>
      <c r="K186" s="509" t="str">
        <f>IF(op!K118="","",op!K118)</f>
        <v/>
      </c>
      <c r="L186" s="510" t="str">
        <f>IF(op!L118="","",op!L118)</f>
        <v/>
      </c>
      <c r="M186" s="511" t="str">
        <f t="shared" si="53"/>
        <v/>
      </c>
      <c r="N186" s="109"/>
      <c r="O186" s="513" t="str">
        <f>IF(I186="","",VLOOKUP(I186,tab!$A$68:$V$108,J186+2,FALSE))</f>
        <v/>
      </c>
      <c r="P186" s="514" t="str">
        <f t="shared" si="54"/>
        <v/>
      </c>
      <c r="Q186" s="1173">
        <f t="shared" si="52"/>
        <v>0.62</v>
      </c>
      <c r="R186" s="514" t="str">
        <f t="shared" si="55"/>
        <v/>
      </c>
      <c r="S186" s="514">
        <f>IF(L186="",0,(((O186*12)*L186)*(1+tab!$D$55)*tab!$F$57))</f>
        <v>0</v>
      </c>
      <c r="T186" s="1131">
        <f t="shared" si="56"/>
        <v>0</v>
      </c>
      <c r="U186" s="219">
        <f t="shared" si="57"/>
        <v>0</v>
      </c>
      <c r="V186" s="1145">
        <f t="shared" si="58"/>
        <v>0</v>
      </c>
      <c r="W186" s="124"/>
      <c r="AA186" s="642" t="e">
        <f>DATE(YEAR(tab!$G$3),MONTH(H186),DAY(H186))&gt;tab!$G$3</f>
        <v>#VALUE!</v>
      </c>
      <c r="AB186" s="643" t="e">
        <f t="shared" si="59"/>
        <v>#VALUE!</v>
      </c>
      <c r="AC186" s="244">
        <f t="shared" si="60"/>
        <v>30</v>
      </c>
      <c r="AD186" s="244">
        <f t="shared" si="61"/>
        <v>30</v>
      </c>
      <c r="AE186" s="643">
        <f t="shared" si="62"/>
        <v>0</v>
      </c>
      <c r="AK186" s="552"/>
    </row>
    <row r="187" spans="3:37" ht="12.75" customHeight="1" x14ac:dyDescent="0.2">
      <c r="C187" s="108"/>
      <c r="D187" s="115" t="str">
        <f>IF(op!D119="","",op!D119)</f>
        <v/>
      </c>
      <c r="E187" s="115" t="str">
        <f>IF(op!E119=0,"",op!E119)</f>
        <v/>
      </c>
      <c r="F187" s="115" t="str">
        <f>IF(op!F119=0,"",op!F119)</f>
        <v/>
      </c>
      <c r="G187" s="132" t="str">
        <f>IF(op!G119="","",op!G119+1)</f>
        <v/>
      </c>
      <c r="H187" s="508" t="str">
        <f>IF(op!H119="","",op!H119)</f>
        <v/>
      </c>
      <c r="I187" s="132" t="str">
        <f>IF(op!I119=0,"",op!I119)</f>
        <v/>
      </c>
      <c r="J187" s="150" t="str">
        <f>IF(E187="","",(IF(op!J119+1&gt;LOOKUP(I187,schaal2011,regels2011),op!J119,op!J119+1)))</f>
        <v/>
      </c>
      <c r="K187" s="509" t="str">
        <f>IF(op!K119="","",op!K119)</f>
        <v/>
      </c>
      <c r="L187" s="510" t="str">
        <f>IF(op!L119="","",op!L119)</f>
        <v/>
      </c>
      <c r="M187" s="511" t="str">
        <f t="shared" si="53"/>
        <v/>
      </c>
      <c r="N187" s="109"/>
      <c r="O187" s="513" t="str">
        <f>IF(I187="","",VLOOKUP(I187,tab!$A$68:$V$108,J187+2,FALSE))</f>
        <v/>
      </c>
      <c r="P187" s="514" t="str">
        <f t="shared" si="54"/>
        <v/>
      </c>
      <c r="Q187" s="1173">
        <f t="shared" si="52"/>
        <v>0.62</v>
      </c>
      <c r="R187" s="514" t="str">
        <f t="shared" si="55"/>
        <v/>
      </c>
      <c r="S187" s="514">
        <f>IF(L187="",0,(((O187*12)*L187)*(1+tab!$D$55)*tab!$F$57))</f>
        <v>0</v>
      </c>
      <c r="T187" s="1131">
        <f t="shared" si="56"/>
        <v>0</v>
      </c>
      <c r="U187" s="219">
        <f t="shared" si="57"/>
        <v>0</v>
      </c>
      <c r="V187" s="1145">
        <f t="shared" si="58"/>
        <v>0</v>
      </c>
      <c r="W187" s="124"/>
      <c r="AA187" s="642" t="e">
        <f>DATE(YEAR(tab!$G$3),MONTH(H187),DAY(H187))&gt;tab!$G$3</f>
        <v>#VALUE!</v>
      </c>
      <c r="AB187" s="643" t="e">
        <f t="shared" si="59"/>
        <v>#VALUE!</v>
      </c>
      <c r="AC187" s="244">
        <f t="shared" si="60"/>
        <v>30</v>
      </c>
      <c r="AD187" s="244">
        <f t="shared" si="61"/>
        <v>30</v>
      </c>
      <c r="AE187" s="643">
        <f t="shared" si="62"/>
        <v>0</v>
      </c>
      <c r="AK187" s="552"/>
    </row>
    <row r="188" spans="3:37" ht="12.75" customHeight="1" x14ac:dyDescent="0.2">
      <c r="C188" s="108"/>
      <c r="D188" s="115" t="str">
        <f>IF(op!D120="","",op!D120)</f>
        <v/>
      </c>
      <c r="E188" s="115" t="str">
        <f>IF(op!E120=0,"",op!E120)</f>
        <v/>
      </c>
      <c r="F188" s="115" t="str">
        <f>IF(op!F120=0,"",op!F120)</f>
        <v/>
      </c>
      <c r="G188" s="132" t="str">
        <f>IF(op!G120="","",op!G120+1)</f>
        <v/>
      </c>
      <c r="H188" s="508" t="str">
        <f>IF(op!H120="","",op!H120)</f>
        <v/>
      </c>
      <c r="I188" s="132" t="str">
        <f>IF(op!I120=0,"",op!I120)</f>
        <v/>
      </c>
      <c r="J188" s="150" t="str">
        <f>IF(E188="","",(IF(op!J120+1&gt;LOOKUP(I188,schaal2011,regels2011),op!J120,op!J120+1)))</f>
        <v/>
      </c>
      <c r="K188" s="509" t="str">
        <f>IF(op!K120="","",op!K120)</f>
        <v/>
      </c>
      <c r="L188" s="510" t="str">
        <f>IF(op!L120="","",op!L120)</f>
        <v/>
      </c>
      <c r="M188" s="511" t="str">
        <f t="shared" si="53"/>
        <v/>
      </c>
      <c r="N188" s="109"/>
      <c r="O188" s="513" t="str">
        <f>IF(I188="","",VLOOKUP(I188,tab!$A$68:$V$108,J188+2,FALSE))</f>
        <v/>
      </c>
      <c r="P188" s="514" t="str">
        <f t="shared" si="54"/>
        <v/>
      </c>
      <c r="Q188" s="1173">
        <f t="shared" si="52"/>
        <v>0.62</v>
      </c>
      <c r="R188" s="514" t="str">
        <f t="shared" si="55"/>
        <v/>
      </c>
      <c r="S188" s="514">
        <f>IF(L188="",0,(((O188*12)*L188)*(1+tab!$D$55)*tab!$F$57))</f>
        <v>0</v>
      </c>
      <c r="T188" s="1131">
        <f t="shared" si="56"/>
        <v>0</v>
      </c>
      <c r="U188" s="219">
        <f t="shared" si="57"/>
        <v>0</v>
      </c>
      <c r="V188" s="1145">
        <f t="shared" si="58"/>
        <v>0</v>
      </c>
      <c r="W188" s="124"/>
      <c r="AA188" s="642" t="e">
        <f>DATE(YEAR(tab!$G$3),MONTH(H188),DAY(H188))&gt;tab!$G$3</f>
        <v>#VALUE!</v>
      </c>
      <c r="AB188" s="643" t="e">
        <f t="shared" si="59"/>
        <v>#VALUE!</v>
      </c>
      <c r="AC188" s="244">
        <f t="shared" si="60"/>
        <v>30</v>
      </c>
      <c r="AD188" s="244">
        <f t="shared" si="61"/>
        <v>30</v>
      </c>
      <c r="AE188" s="643">
        <f t="shared" si="62"/>
        <v>0</v>
      </c>
      <c r="AK188" s="552"/>
    </row>
    <row r="189" spans="3:37" ht="12.75" customHeight="1" x14ac:dyDescent="0.2">
      <c r="C189" s="108"/>
      <c r="D189" s="115" t="str">
        <f>IF(op!D121="","",op!D121)</f>
        <v/>
      </c>
      <c r="E189" s="115" t="str">
        <f>IF(op!E121=0,"",op!E121)</f>
        <v/>
      </c>
      <c r="F189" s="115" t="str">
        <f>IF(op!F121=0,"",op!F121)</f>
        <v/>
      </c>
      <c r="G189" s="132" t="str">
        <f>IF(op!G121="","",op!G121+1)</f>
        <v/>
      </c>
      <c r="H189" s="508" t="str">
        <f>IF(op!H121="","",op!H121)</f>
        <v/>
      </c>
      <c r="I189" s="132" t="str">
        <f>IF(op!I121=0,"",op!I121)</f>
        <v/>
      </c>
      <c r="J189" s="150" t="str">
        <f>IF(E189="","",(IF(op!J121+1&gt;LOOKUP(I189,schaal2011,regels2011),op!J121,op!J121+1)))</f>
        <v/>
      </c>
      <c r="K189" s="509" t="str">
        <f>IF(op!K121="","",op!K121)</f>
        <v/>
      </c>
      <c r="L189" s="510" t="str">
        <f>IF(op!L121="","",op!L121)</f>
        <v/>
      </c>
      <c r="M189" s="511" t="str">
        <f t="shared" si="53"/>
        <v/>
      </c>
      <c r="N189" s="109"/>
      <c r="O189" s="513" t="str">
        <f>IF(I189="","",VLOOKUP(I189,tab!$A$68:$V$108,J189+2,FALSE))</f>
        <v/>
      </c>
      <c r="P189" s="514" t="str">
        <f t="shared" si="54"/>
        <v/>
      </c>
      <c r="Q189" s="1173">
        <f t="shared" si="52"/>
        <v>0.62</v>
      </c>
      <c r="R189" s="514" t="str">
        <f t="shared" si="55"/>
        <v/>
      </c>
      <c r="S189" s="514">
        <f>IF(L189="",0,(((O189*12)*L189)*(1+tab!$D$55)*tab!$F$57))</f>
        <v>0</v>
      </c>
      <c r="T189" s="1131">
        <f t="shared" si="56"/>
        <v>0</v>
      </c>
      <c r="U189" s="219">
        <f t="shared" si="57"/>
        <v>0</v>
      </c>
      <c r="V189" s="1145">
        <f t="shared" si="58"/>
        <v>0</v>
      </c>
      <c r="W189" s="124"/>
      <c r="AA189" s="642" t="e">
        <f>DATE(YEAR(tab!$G$3),MONTH(H189),DAY(H189))&gt;tab!$G$3</f>
        <v>#VALUE!</v>
      </c>
      <c r="AB189" s="643" t="e">
        <f t="shared" si="59"/>
        <v>#VALUE!</v>
      </c>
      <c r="AC189" s="244">
        <f t="shared" si="60"/>
        <v>30</v>
      </c>
      <c r="AD189" s="244">
        <f t="shared" si="61"/>
        <v>30</v>
      </c>
      <c r="AE189" s="643">
        <f t="shared" si="62"/>
        <v>0</v>
      </c>
      <c r="AK189" s="552"/>
    </row>
    <row r="190" spans="3:37" ht="12.75" customHeight="1" x14ac:dyDescent="0.2">
      <c r="C190" s="108"/>
      <c r="D190" s="115" t="str">
        <f>IF(op!D122="","",op!D122)</f>
        <v/>
      </c>
      <c r="E190" s="115" t="str">
        <f>IF(op!E122=0,"",op!E122)</f>
        <v/>
      </c>
      <c r="F190" s="115" t="str">
        <f>IF(op!F122=0,"",op!F122)</f>
        <v/>
      </c>
      <c r="G190" s="132" t="str">
        <f>IF(op!G122="","",op!G122+1)</f>
        <v/>
      </c>
      <c r="H190" s="508" t="str">
        <f>IF(op!H122="","",op!H122)</f>
        <v/>
      </c>
      <c r="I190" s="132" t="str">
        <f>IF(op!I122=0,"",op!I122)</f>
        <v/>
      </c>
      <c r="J190" s="150" t="str">
        <f>IF(E190="","",(IF(op!J122+1&gt;LOOKUP(I190,schaal2011,regels2011),op!J122,op!J122+1)))</f>
        <v/>
      </c>
      <c r="K190" s="509" t="str">
        <f>IF(op!K122="","",op!K122)</f>
        <v/>
      </c>
      <c r="L190" s="510" t="str">
        <f>IF(op!L122="","",op!L122)</f>
        <v/>
      </c>
      <c r="M190" s="511" t="str">
        <f t="shared" si="53"/>
        <v/>
      </c>
      <c r="N190" s="109"/>
      <c r="O190" s="513" t="str">
        <f>IF(I190="","",VLOOKUP(I190,tab!$A$68:$V$108,J190+2,FALSE))</f>
        <v/>
      </c>
      <c r="P190" s="514" t="str">
        <f t="shared" si="54"/>
        <v/>
      </c>
      <c r="Q190" s="1173">
        <f t="shared" si="52"/>
        <v>0.62</v>
      </c>
      <c r="R190" s="514" t="str">
        <f t="shared" si="55"/>
        <v/>
      </c>
      <c r="S190" s="514">
        <f>IF(L190="",0,(((O190*12)*L190)*(1+tab!$D$55)*tab!$F$57))</f>
        <v>0</v>
      </c>
      <c r="T190" s="1131">
        <f t="shared" si="56"/>
        <v>0</v>
      </c>
      <c r="U190" s="219">
        <f t="shared" si="57"/>
        <v>0</v>
      </c>
      <c r="V190" s="1145">
        <f t="shared" si="58"/>
        <v>0</v>
      </c>
      <c r="W190" s="124"/>
      <c r="AA190" s="642" t="e">
        <f>DATE(YEAR(tab!$G$3),MONTH(H190),DAY(H190))&gt;tab!$G$3</f>
        <v>#VALUE!</v>
      </c>
      <c r="AB190" s="643" t="e">
        <f t="shared" si="59"/>
        <v>#VALUE!</v>
      </c>
      <c r="AC190" s="244">
        <f t="shared" si="60"/>
        <v>30</v>
      </c>
      <c r="AD190" s="244">
        <f t="shared" si="61"/>
        <v>30</v>
      </c>
      <c r="AE190" s="643">
        <f t="shared" si="62"/>
        <v>0</v>
      </c>
      <c r="AK190" s="552"/>
    </row>
    <row r="191" spans="3:37" ht="12.75" customHeight="1" x14ac:dyDescent="0.2">
      <c r="C191" s="108"/>
      <c r="D191" s="115" t="str">
        <f>IF(op!D123="","",op!D123)</f>
        <v/>
      </c>
      <c r="E191" s="115" t="str">
        <f>IF(op!E123=0,"",op!E123)</f>
        <v/>
      </c>
      <c r="F191" s="115" t="str">
        <f>IF(op!F123=0,"",op!F123)</f>
        <v/>
      </c>
      <c r="G191" s="132" t="str">
        <f>IF(op!G123="","",op!G123+1)</f>
        <v/>
      </c>
      <c r="H191" s="508" t="str">
        <f>IF(op!H123="","",op!H123)</f>
        <v/>
      </c>
      <c r="I191" s="132" t="str">
        <f>IF(op!I123=0,"",op!I123)</f>
        <v/>
      </c>
      <c r="J191" s="150" t="str">
        <f>IF(E191="","",(IF(op!J123+1&gt;LOOKUP(I191,schaal2011,regels2011),op!J123,op!J123+1)))</f>
        <v/>
      </c>
      <c r="K191" s="509" t="str">
        <f>IF(op!K123="","",op!K123)</f>
        <v/>
      </c>
      <c r="L191" s="510" t="str">
        <f>IF(op!L123="","",op!L123)</f>
        <v/>
      </c>
      <c r="M191" s="511" t="str">
        <f t="shared" si="53"/>
        <v/>
      </c>
      <c r="N191" s="109"/>
      <c r="O191" s="513" t="str">
        <f>IF(I191="","",VLOOKUP(I191,tab!$A$68:$V$108,J191+2,FALSE))</f>
        <v/>
      </c>
      <c r="P191" s="514" t="str">
        <f t="shared" si="54"/>
        <v/>
      </c>
      <c r="Q191" s="1173">
        <f t="shared" si="52"/>
        <v>0.62</v>
      </c>
      <c r="R191" s="514" t="str">
        <f t="shared" si="55"/>
        <v/>
      </c>
      <c r="S191" s="514">
        <f>IF(L191="",0,(((O191*12)*L191)*(1+tab!$D$55)*tab!$F$57))</f>
        <v>0</v>
      </c>
      <c r="T191" s="1131">
        <f t="shared" si="56"/>
        <v>0</v>
      </c>
      <c r="U191" s="219">
        <f t="shared" si="57"/>
        <v>0</v>
      </c>
      <c r="V191" s="1145">
        <f t="shared" si="58"/>
        <v>0</v>
      </c>
      <c r="W191" s="124"/>
      <c r="AA191" s="642" t="e">
        <f>DATE(YEAR(tab!$G$3),MONTH(H191),DAY(H191))&gt;tab!$G$3</f>
        <v>#VALUE!</v>
      </c>
      <c r="AB191" s="643" t="e">
        <f t="shared" si="59"/>
        <v>#VALUE!</v>
      </c>
      <c r="AC191" s="244">
        <f t="shared" si="60"/>
        <v>30</v>
      </c>
      <c r="AD191" s="244">
        <f t="shared" si="61"/>
        <v>30</v>
      </c>
      <c r="AE191" s="643">
        <f t="shared" si="62"/>
        <v>0</v>
      </c>
      <c r="AK191" s="552"/>
    </row>
    <row r="192" spans="3:37" ht="12.75" customHeight="1" x14ac:dyDescent="0.2">
      <c r="C192" s="108"/>
      <c r="D192" s="115" t="str">
        <f>IF(op!D124="","",op!D124)</f>
        <v/>
      </c>
      <c r="E192" s="115" t="str">
        <f>IF(op!E124=0,"",op!E124)</f>
        <v/>
      </c>
      <c r="F192" s="115" t="str">
        <f>IF(op!F124=0,"",op!F124)</f>
        <v/>
      </c>
      <c r="G192" s="132" t="str">
        <f>IF(op!G124="","",op!G124+1)</f>
        <v/>
      </c>
      <c r="H192" s="508" t="str">
        <f>IF(op!H124="","",op!H124)</f>
        <v/>
      </c>
      <c r="I192" s="132" t="str">
        <f>IF(op!I124=0,"",op!I124)</f>
        <v/>
      </c>
      <c r="J192" s="150" t="str">
        <f>IF(E192="","",(IF(op!J124+1&gt;LOOKUP(I192,schaal2011,regels2011),op!J124,op!J124+1)))</f>
        <v/>
      </c>
      <c r="K192" s="509" t="str">
        <f>IF(op!K124="","",op!K124)</f>
        <v/>
      </c>
      <c r="L192" s="510" t="str">
        <f>IF(op!L124="","",op!L124)</f>
        <v/>
      </c>
      <c r="M192" s="511" t="str">
        <f t="shared" si="53"/>
        <v/>
      </c>
      <c r="N192" s="109"/>
      <c r="O192" s="513" t="str">
        <f>IF(I192="","",VLOOKUP(I192,tab!$A$68:$V$108,J192+2,FALSE))</f>
        <v/>
      </c>
      <c r="P192" s="514" t="str">
        <f t="shared" si="54"/>
        <v/>
      </c>
      <c r="Q192" s="1173">
        <f t="shared" si="52"/>
        <v>0.62</v>
      </c>
      <c r="R192" s="514" t="str">
        <f t="shared" si="55"/>
        <v/>
      </c>
      <c r="S192" s="514">
        <f>IF(L192="",0,(((O192*12)*L192)*(1+tab!$D$55)*tab!$F$57))</f>
        <v>0</v>
      </c>
      <c r="T192" s="1131">
        <f t="shared" si="56"/>
        <v>0</v>
      </c>
      <c r="U192" s="219">
        <f t="shared" si="57"/>
        <v>0</v>
      </c>
      <c r="V192" s="1145">
        <f t="shared" si="58"/>
        <v>0</v>
      </c>
      <c r="W192" s="124"/>
      <c r="AA192" s="642" t="e">
        <f>DATE(YEAR(tab!$G$3),MONTH(H192),DAY(H192))&gt;tab!$G$3</f>
        <v>#VALUE!</v>
      </c>
      <c r="AB192" s="643" t="e">
        <f t="shared" si="59"/>
        <v>#VALUE!</v>
      </c>
      <c r="AC192" s="244">
        <f t="shared" si="60"/>
        <v>30</v>
      </c>
      <c r="AD192" s="244">
        <f t="shared" si="61"/>
        <v>30</v>
      </c>
      <c r="AE192" s="643">
        <f t="shared" si="62"/>
        <v>0</v>
      </c>
      <c r="AK192" s="552"/>
    </row>
    <row r="193" spans="3:37" ht="12.75" customHeight="1" x14ac:dyDescent="0.2">
      <c r="C193" s="108"/>
      <c r="D193" s="115" t="str">
        <f>IF(op!D125="","",op!D125)</f>
        <v/>
      </c>
      <c r="E193" s="115" t="str">
        <f>IF(op!E125=0,"",op!E125)</f>
        <v/>
      </c>
      <c r="F193" s="115" t="str">
        <f>IF(op!F125=0,"",op!F125)</f>
        <v/>
      </c>
      <c r="G193" s="132" t="str">
        <f>IF(op!G125="","",op!G125+1)</f>
        <v/>
      </c>
      <c r="H193" s="508" t="str">
        <f>IF(op!H125="","",op!H125)</f>
        <v/>
      </c>
      <c r="I193" s="132" t="str">
        <f>IF(op!I125=0,"",op!I125)</f>
        <v/>
      </c>
      <c r="J193" s="150" t="str">
        <f>IF(E193="","",(IF(op!J125+1&gt;LOOKUP(I193,schaal2011,regels2011),op!J125,op!J125+1)))</f>
        <v/>
      </c>
      <c r="K193" s="509" t="str">
        <f>IF(op!K125="","",op!K125)</f>
        <v/>
      </c>
      <c r="L193" s="510" t="str">
        <f>IF(op!L125="","",op!L125)</f>
        <v/>
      </c>
      <c r="M193" s="511" t="str">
        <f t="shared" si="53"/>
        <v/>
      </c>
      <c r="N193" s="109"/>
      <c r="O193" s="513" t="str">
        <f>IF(I193="","",VLOOKUP(I193,tab!$A$68:$V$108,J193+2,FALSE))</f>
        <v/>
      </c>
      <c r="P193" s="514" t="str">
        <f t="shared" si="54"/>
        <v/>
      </c>
      <c r="Q193" s="1173">
        <f t="shared" si="52"/>
        <v>0.62</v>
      </c>
      <c r="R193" s="514" t="str">
        <f t="shared" si="55"/>
        <v/>
      </c>
      <c r="S193" s="514">
        <f>IF(L193="",0,(((O193*12)*L193)*(1+tab!$D$55)*tab!$F$57))</f>
        <v>0</v>
      </c>
      <c r="T193" s="1131">
        <f t="shared" si="56"/>
        <v>0</v>
      </c>
      <c r="U193" s="219">
        <f t="shared" si="57"/>
        <v>0</v>
      </c>
      <c r="V193" s="1145">
        <f t="shared" si="58"/>
        <v>0</v>
      </c>
      <c r="W193" s="124"/>
      <c r="AA193" s="642" t="e">
        <f>DATE(YEAR(tab!$G$3),MONTH(H193),DAY(H193))&gt;tab!$G$3</f>
        <v>#VALUE!</v>
      </c>
      <c r="AB193" s="643" t="e">
        <f t="shared" si="59"/>
        <v>#VALUE!</v>
      </c>
      <c r="AC193" s="244">
        <f t="shared" si="60"/>
        <v>30</v>
      </c>
      <c r="AD193" s="244">
        <f t="shared" si="61"/>
        <v>30</v>
      </c>
      <c r="AE193" s="643">
        <f t="shared" si="62"/>
        <v>0</v>
      </c>
      <c r="AK193" s="552"/>
    </row>
    <row r="194" spans="3:37" ht="12.75" customHeight="1" x14ac:dyDescent="0.2">
      <c r="C194" s="108"/>
      <c r="D194" s="115" t="str">
        <f>IF(op!D126="","",op!D126)</f>
        <v/>
      </c>
      <c r="E194" s="115" t="str">
        <f>IF(op!E126=0,"",op!E126)</f>
        <v/>
      </c>
      <c r="F194" s="115" t="str">
        <f>IF(op!F126=0,"",op!F126)</f>
        <v/>
      </c>
      <c r="G194" s="132" t="str">
        <f>IF(op!G126="","",op!G126+1)</f>
        <v/>
      </c>
      <c r="H194" s="508" t="str">
        <f>IF(op!H126="","",op!H126)</f>
        <v/>
      </c>
      <c r="I194" s="132" t="str">
        <f>IF(op!I126=0,"",op!I126)</f>
        <v/>
      </c>
      <c r="J194" s="150" t="str">
        <f>IF(E194="","",(IF(op!J126+1&gt;LOOKUP(I194,schaal2011,regels2011),op!J126,op!J126+1)))</f>
        <v/>
      </c>
      <c r="K194" s="509" t="str">
        <f>IF(op!K126="","",op!K126)</f>
        <v/>
      </c>
      <c r="L194" s="510" t="str">
        <f>IF(op!L126="","",op!L126)</f>
        <v/>
      </c>
      <c r="M194" s="511" t="str">
        <f t="shared" si="53"/>
        <v/>
      </c>
      <c r="N194" s="109"/>
      <c r="O194" s="513" t="str">
        <f>IF(I194="","",VLOOKUP(I194,tab!$A$68:$V$108,J194+2,FALSE))</f>
        <v/>
      </c>
      <c r="P194" s="514" t="str">
        <f t="shared" si="54"/>
        <v/>
      </c>
      <c r="Q194" s="1173">
        <f t="shared" si="52"/>
        <v>0.62</v>
      </c>
      <c r="R194" s="514" t="str">
        <f t="shared" si="55"/>
        <v/>
      </c>
      <c r="S194" s="514">
        <f>IF(L194="",0,(((O194*12)*L194)*(1+tab!$D$55)*tab!$F$57))</f>
        <v>0</v>
      </c>
      <c r="T194" s="1131">
        <f t="shared" si="56"/>
        <v>0</v>
      </c>
      <c r="U194" s="219">
        <f t="shared" si="57"/>
        <v>0</v>
      </c>
      <c r="V194" s="1145">
        <f t="shared" si="58"/>
        <v>0</v>
      </c>
      <c r="W194" s="124"/>
      <c r="AA194" s="642" t="e">
        <f>DATE(YEAR(tab!$G$3),MONTH(H194),DAY(H194))&gt;tab!$G$3</f>
        <v>#VALUE!</v>
      </c>
      <c r="AB194" s="643" t="e">
        <f t="shared" si="59"/>
        <v>#VALUE!</v>
      </c>
      <c r="AC194" s="244">
        <f t="shared" si="60"/>
        <v>30</v>
      </c>
      <c r="AD194" s="244">
        <f t="shared" si="61"/>
        <v>30</v>
      </c>
      <c r="AE194" s="643">
        <f t="shared" si="62"/>
        <v>0</v>
      </c>
      <c r="AK194" s="552"/>
    </row>
    <row r="195" spans="3:37" ht="12.75" customHeight="1" x14ac:dyDescent="0.2">
      <c r="C195" s="108"/>
      <c r="D195" s="115" t="str">
        <f>IF(op!D127="","",op!D127)</f>
        <v/>
      </c>
      <c r="E195" s="115" t="str">
        <f>IF(op!E127=0,"",op!E127)</f>
        <v/>
      </c>
      <c r="F195" s="115" t="str">
        <f>IF(op!F127=0,"",op!F127)</f>
        <v/>
      </c>
      <c r="G195" s="132" t="str">
        <f>IF(op!G127="","",op!G127+1)</f>
        <v/>
      </c>
      <c r="H195" s="508" t="str">
        <f>IF(op!H127="","",op!H127)</f>
        <v/>
      </c>
      <c r="I195" s="132" t="str">
        <f>IF(op!I127=0,"",op!I127)</f>
        <v/>
      </c>
      <c r="J195" s="150" t="str">
        <f>IF(E195="","",(IF(op!J127+1&gt;LOOKUP(I195,schaal2011,regels2011),op!J127,op!J127+1)))</f>
        <v/>
      </c>
      <c r="K195" s="509" t="str">
        <f>IF(op!K127="","",op!K127)</f>
        <v/>
      </c>
      <c r="L195" s="510" t="str">
        <f>IF(op!L127="","",op!L127)</f>
        <v/>
      </c>
      <c r="M195" s="511" t="str">
        <f t="shared" si="53"/>
        <v/>
      </c>
      <c r="N195" s="109"/>
      <c r="O195" s="513" t="str">
        <f>IF(I195="","",VLOOKUP(I195,tab!$A$68:$V$108,J195+2,FALSE))</f>
        <v/>
      </c>
      <c r="P195" s="514" t="str">
        <f t="shared" si="54"/>
        <v/>
      </c>
      <c r="Q195" s="1173">
        <f t="shared" si="52"/>
        <v>0.62</v>
      </c>
      <c r="R195" s="514" t="str">
        <f t="shared" si="55"/>
        <v/>
      </c>
      <c r="S195" s="514">
        <f>IF(L195="",0,(((O195*12)*L195)*(1+tab!$D$55)*tab!$F$57))</f>
        <v>0</v>
      </c>
      <c r="T195" s="1131">
        <f t="shared" si="56"/>
        <v>0</v>
      </c>
      <c r="U195" s="219">
        <f t="shared" si="57"/>
        <v>0</v>
      </c>
      <c r="V195" s="1145">
        <f t="shared" si="58"/>
        <v>0</v>
      </c>
      <c r="W195" s="124"/>
      <c r="AA195" s="642" t="e">
        <f>DATE(YEAR(tab!$G$3),MONTH(H195),DAY(H195))&gt;tab!$G$3</f>
        <v>#VALUE!</v>
      </c>
      <c r="AB195" s="643" t="e">
        <f t="shared" si="59"/>
        <v>#VALUE!</v>
      </c>
      <c r="AC195" s="244">
        <f t="shared" si="60"/>
        <v>30</v>
      </c>
      <c r="AD195" s="244">
        <f t="shared" si="61"/>
        <v>30</v>
      </c>
      <c r="AE195" s="643">
        <f t="shared" si="62"/>
        <v>0</v>
      </c>
      <c r="AK195" s="552"/>
    </row>
    <row r="196" spans="3:37" ht="12.75" customHeight="1" x14ac:dyDescent="0.2">
      <c r="C196" s="108"/>
      <c r="D196" s="115" t="str">
        <f>IF(op!D128="","",op!D128)</f>
        <v/>
      </c>
      <c r="E196" s="115" t="str">
        <f>IF(op!E128=0,"",op!E128)</f>
        <v/>
      </c>
      <c r="F196" s="115" t="str">
        <f>IF(op!F128=0,"",op!F128)</f>
        <v/>
      </c>
      <c r="G196" s="132" t="str">
        <f>IF(op!G128="","",op!G128+1)</f>
        <v/>
      </c>
      <c r="H196" s="508" t="str">
        <f>IF(op!H128="","",op!H128)</f>
        <v/>
      </c>
      <c r="I196" s="132" t="str">
        <f>IF(op!I128=0,"",op!I128)</f>
        <v/>
      </c>
      <c r="J196" s="150" t="str">
        <f>IF(E196="","",(IF(op!J128+1&gt;LOOKUP(I196,schaal2011,regels2011),op!J128,op!J128+1)))</f>
        <v/>
      </c>
      <c r="K196" s="509" t="str">
        <f>IF(op!K128="","",op!K128)</f>
        <v/>
      </c>
      <c r="L196" s="510" t="str">
        <f>IF(op!L128="","",op!L128)</f>
        <v/>
      </c>
      <c r="M196" s="511" t="str">
        <f t="shared" si="53"/>
        <v/>
      </c>
      <c r="N196" s="109"/>
      <c r="O196" s="513" t="str">
        <f>IF(I196="","",VLOOKUP(I196,tab!$A$68:$V$108,J196+2,FALSE))</f>
        <v/>
      </c>
      <c r="P196" s="514" t="str">
        <f t="shared" si="54"/>
        <v/>
      </c>
      <c r="Q196" s="1173">
        <f t="shared" si="52"/>
        <v>0.62</v>
      </c>
      <c r="R196" s="514" t="str">
        <f t="shared" si="55"/>
        <v/>
      </c>
      <c r="S196" s="514">
        <f>IF(L196="",0,(((O196*12)*L196)*(1+tab!$D$55)*tab!$F$57))</f>
        <v>0</v>
      </c>
      <c r="T196" s="1131">
        <f t="shared" si="56"/>
        <v>0</v>
      </c>
      <c r="U196" s="219">
        <f t="shared" si="57"/>
        <v>0</v>
      </c>
      <c r="V196" s="1145">
        <f t="shared" si="58"/>
        <v>0</v>
      </c>
      <c r="W196" s="124"/>
      <c r="AA196" s="642" t="e">
        <f>DATE(YEAR(tab!$G$3),MONTH(H196),DAY(H196))&gt;tab!$G$3</f>
        <v>#VALUE!</v>
      </c>
      <c r="AB196" s="643" t="e">
        <f t="shared" si="59"/>
        <v>#VALUE!</v>
      </c>
      <c r="AC196" s="244">
        <f t="shared" si="60"/>
        <v>30</v>
      </c>
      <c r="AD196" s="244">
        <f t="shared" si="61"/>
        <v>30</v>
      </c>
      <c r="AE196" s="643">
        <f t="shared" si="62"/>
        <v>0</v>
      </c>
      <c r="AK196" s="552"/>
    </row>
    <row r="197" spans="3:37" ht="12.75" customHeight="1" x14ac:dyDescent="0.2">
      <c r="C197" s="108"/>
      <c r="D197" s="115" t="str">
        <f>IF(op!D129="","",op!D129)</f>
        <v/>
      </c>
      <c r="E197" s="115" t="str">
        <f>IF(op!E129=0,"",op!E129)</f>
        <v/>
      </c>
      <c r="F197" s="115" t="str">
        <f>IF(op!F129=0,"",op!F129)</f>
        <v/>
      </c>
      <c r="G197" s="132" t="str">
        <f>IF(op!G129="","",op!G129+1)</f>
        <v/>
      </c>
      <c r="H197" s="508" t="str">
        <f>IF(op!H129="","",op!H129)</f>
        <v/>
      </c>
      <c r="I197" s="132" t="str">
        <f>IF(op!I129=0,"",op!I129)</f>
        <v/>
      </c>
      <c r="J197" s="150" t="str">
        <f>IF(E197="","",(IF(op!J129+1&gt;LOOKUP(I197,schaal2011,regels2011),op!J129,op!J129+1)))</f>
        <v/>
      </c>
      <c r="K197" s="509" t="str">
        <f>IF(op!K129="","",op!K129)</f>
        <v/>
      </c>
      <c r="L197" s="510" t="str">
        <f>IF(op!L129="","",op!L129)</f>
        <v/>
      </c>
      <c r="M197" s="511" t="str">
        <f t="shared" si="53"/>
        <v/>
      </c>
      <c r="N197" s="109"/>
      <c r="O197" s="513" t="str">
        <f>IF(I197="","",VLOOKUP(I197,tab!$A$68:$V$108,J197+2,FALSE))</f>
        <v/>
      </c>
      <c r="P197" s="514" t="str">
        <f t="shared" si="54"/>
        <v/>
      </c>
      <c r="Q197" s="1173">
        <f t="shared" si="52"/>
        <v>0.62</v>
      </c>
      <c r="R197" s="514" t="str">
        <f t="shared" si="55"/>
        <v/>
      </c>
      <c r="S197" s="514">
        <f>IF(L197="",0,(((O197*12)*L197)*(1+tab!$D$55)*tab!$F$57))</f>
        <v>0</v>
      </c>
      <c r="T197" s="1131">
        <f t="shared" si="56"/>
        <v>0</v>
      </c>
      <c r="U197" s="219">
        <f t="shared" si="57"/>
        <v>0</v>
      </c>
      <c r="V197" s="1145">
        <f t="shared" si="58"/>
        <v>0</v>
      </c>
      <c r="W197" s="124"/>
      <c r="AA197" s="642" t="e">
        <f>DATE(YEAR(tab!$G$3),MONTH(H197),DAY(H197))&gt;tab!$G$3</f>
        <v>#VALUE!</v>
      </c>
      <c r="AB197" s="643" t="e">
        <f t="shared" si="59"/>
        <v>#VALUE!</v>
      </c>
      <c r="AC197" s="244">
        <f t="shared" si="60"/>
        <v>30</v>
      </c>
      <c r="AD197" s="244">
        <f t="shared" si="61"/>
        <v>30</v>
      </c>
      <c r="AE197" s="643">
        <f t="shared" si="62"/>
        <v>0</v>
      </c>
      <c r="AK197" s="552"/>
    </row>
    <row r="198" spans="3:37" ht="12.75" customHeight="1" x14ac:dyDescent="0.2">
      <c r="C198" s="108"/>
      <c r="D198" s="115" t="str">
        <f>IF(op!D130="","",op!D130)</f>
        <v/>
      </c>
      <c r="E198" s="115" t="str">
        <f>IF(op!E130=0,"",op!E130)</f>
        <v/>
      </c>
      <c r="F198" s="115" t="str">
        <f>IF(op!F130=0,"",op!F130)</f>
        <v/>
      </c>
      <c r="G198" s="132" t="str">
        <f>IF(op!G130="","",op!G130+1)</f>
        <v/>
      </c>
      <c r="H198" s="508" t="str">
        <f>IF(op!H130="","",op!H130)</f>
        <v/>
      </c>
      <c r="I198" s="132" t="str">
        <f>IF(op!I130=0,"",op!I130)</f>
        <v/>
      </c>
      <c r="J198" s="150" t="str">
        <f>IF(E198="","",(IF(op!J130+1&gt;LOOKUP(I198,schaal2011,regels2011),op!J130,op!J130+1)))</f>
        <v/>
      </c>
      <c r="K198" s="509" t="str">
        <f>IF(op!K130="","",op!K130)</f>
        <v/>
      </c>
      <c r="L198" s="510" t="str">
        <f>IF(op!L130="","",op!L130)</f>
        <v/>
      </c>
      <c r="M198" s="511" t="str">
        <f t="shared" si="53"/>
        <v/>
      </c>
      <c r="N198" s="109"/>
      <c r="O198" s="513" t="str">
        <f>IF(I198="","",VLOOKUP(I198,tab!$A$68:$V$108,J198+2,FALSE))</f>
        <v/>
      </c>
      <c r="P198" s="514" t="str">
        <f t="shared" si="54"/>
        <v/>
      </c>
      <c r="Q198" s="1173">
        <f t="shared" si="52"/>
        <v>0.62</v>
      </c>
      <c r="R198" s="514" t="str">
        <f t="shared" si="55"/>
        <v/>
      </c>
      <c r="S198" s="514">
        <f>IF(L198="",0,(((O198*12)*L198)*(1+tab!$D$55)*tab!$F$57))</f>
        <v>0</v>
      </c>
      <c r="T198" s="1131">
        <f t="shared" si="56"/>
        <v>0</v>
      </c>
      <c r="U198" s="219">
        <f t="shared" si="57"/>
        <v>0</v>
      </c>
      <c r="V198" s="1145">
        <f t="shared" si="58"/>
        <v>0</v>
      </c>
      <c r="W198" s="124"/>
      <c r="AA198" s="642" t="e">
        <f>DATE(YEAR(tab!$G$3),MONTH(H198),DAY(H198))&gt;tab!$G$3</f>
        <v>#VALUE!</v>
      </c>
      <c r="AB198" s="643" t="e">
        <f t="shared" si="59"/>
        <v>#VALUE!</v>
      </c>
      <c r="AC198" s="244">
        <f t="shared" si="60"/>
        <v>30</v>
      </c>
      <c r="AD198" s="244">
        <f t="shared" si="61"/>
        <v>30</v>
      </c>
      <c r="AE198" s="643">
        <f t="shared" si="62"/>
        <v>0</v>
      </c>
      <c r="AK198" s="552"/>
    </row>
    <row r="199" spans="3:37" ht="12.75" customHeight="1" x14ac:dyDescent="0.2">
      <c r="C199" s="108"/>
      <c r="D199" s="115" t="str">
        <f>IF(op!D131="","",op!D131)</f>
        <v/>
      </c>
      <c r="E199" s="115" t="str">
        <f>IF(op!E131=0,"",op!E131)</f>
        <v/>
      </c>
      <c r="F199" s="115" t="str">
        <f>IF(op!F131=0,"",op!F131)</f>
        <v/>
      </c>
      <c r="G199" s="132" t="str">
        <f>IF(op!G131="","",op!G131+1)</f>
        <v/>
      </c>
      <c r="H199" s="508" t="str">
        <f>IF(op!H131="","",op!H131)</f>
        <v/>
      </c>
      <c r="I199" s="132" t="str">
        <f>IF(op!I131=0,"",op!I131)</f>
        <v/>
      </c>
      <c r="J199" s="150" t="str">
        <f>IF(E199="","",(IF(op!J131+1&gt;LOOKUP(I199,schaal2011,regels2011),op!J131,op!J131+1)))</f>
        <v/>
      </c>
      <c r="K199" s="509" t="str">
        <f>IF(op!K131="","",op!K131)</f>
        <v/>
      </c>
      <c r="L199" s="510" t="str">
        <f>IF(op!L131="","",op!L131)</f>
        <v/>
      </c>
      <c r="M199" s="511" t="str">
        <f t="shared" si="53"/>
        <v/>
      </c>
      <c r="N199" s="109"/>
      <c r="O199" s="513" t="str">
        <f>IF(I199="","",VLOOKUP(I199,tab!$A$68:$V$108,J199+2,FALSE))</f>
        <v/>
      </c>
      <c r="P199" s="514" t="str">
        <f t="shared" si="54"/>
        <v/>
      </c>
      <c r="Q199" s="1173">
        <f t="shared" si="52"/>
        <v>0.62</v>
      </c>
      <c r="R199" s="514" t="str">
        <f t="shared" si="55"/>
        <v/>
      </c>
      <c r="S199" s="514">
        <f>IF(L199="",0,(((O199*12)*L199)*(1+tab!$D$55)*tab!$F$57))</f>
        <v>0</v>
      </c>
      <c r="T199" s="1131">
        <f t="shared" si="56"/>
        <v>0</v>
      </c>
      <c r="U199" s="219">
        <f t="shared" si="57"/>
        <v>0</v>
      </c>
      <c r="V199" s="1145">
        <f t="shared" si="58"/>
        <v>0</v>
      </c>
      <c r="W199" s="124"/>
      <c r="AA199" s="642" t="e">
        <f>DATE(YEAR(tab!$G$3),MONTH(H199),DAY(H199))&gt;tab!$G$3</f>
        <v>#VALUE!</v>
      </c>
      <c r="AB199" s="643" t="e">
        <f t="shared" si="59"/>
        <v>#VALUE!</v>
      </c>
      <c r="AC199" s="244">
        <f t="shared" si="60"/>
        <v>30</v>
      </c>
      <c r="AD199" s="244">
        <f t="shared" si="61"/>
        <v>30</v>
      </c>
      <c r="AE199" s="643">
        <f t="shared" si="62"/>
        <v>0</v>
      </c>
      <c r="AK199" s="552"/>
    </row>
    <row r="200" spans="3:37" ht="12.75" customHeight="1" x14ac:dyDescent="0.2">
      <c r="C200" s="108"/>
      <c r="D200" s="115" t="str">
        <f>IF(op!D132="","",op!D132)</f>
        <v/>
      </c>
      <c r="E200" s="115" t="str">
        <f>IF(op!E132=0,"",op!E132)</f>
        <v/>
      </c>
      <c r="F200" s="115" t="str">
        <f>IF(op!F132=0,"",op!F132)</f>
        <v/>
      </c>
      <c r="G200" s="132" t="str">
        <f>IF(op!G132="","",op!G132+1)</f>
        <v/>
      </c>
      <c r="H200" s="508" t="str">
        <f>IF(op!H132="","",op!H132)</f>
        <v/>
      </c>
      <c r="I200" s="132" t="str">
        <f>IF(op!I132=0,"",op!I132)</f>
        <v/>
      </c>
      <c r="J200" s="150" t="str">
        <f>IF(E200="","",(IF(op!J132+1&gt;LOOKUP(I200,schaal2011,regels2011),op!J132,op!J132+1)))</f>
        <v/>
      </c>
      <c r="K200" s="509" t="str">
        <f>IF(op!K132="","",op!K132)</f>
        <v/>
      </c>
      <c r="L200" s="510" t="str">
        <f>IF(op!L132="","",op!L132)</f>
        <v/>
      </c>
      <c r="M200" s="511" t="str">
        <f t="shared" si="53"/>
        <v/>
      </c>
      <c r="N200" s="109"/>
      <c r="O200" s="513" t="str">
        <f>IF(I200="","",VLOOKUP(I200,tab!$A$68:$V$108,J200+2,FALSE))</f>
        <v/>
      </c>
      <c r="P200" s="514" t="str">
        <f t="shared" si="54"/>
        <v/>
      </c>
      <c r="Q200" s="1173">
        <f t="shared" si="52"/>
        <v>0.62</v>
      </c>
      <c r="R200" s="514" t="str">
        <f t="shared" si="55"/>
        <v/>
      </c>
      <c r="S200" s="514">
        <f>IF(L200="",0,(((O200*12)*L200)*(1+tab!$D$55)*tab!$F$57))</f>
        <v>0</v>
      </c>
      <c r="T200" s="1131">
        <f t="shared" si="56"/>
        <v>0</v>
      </c>
      <c r="U200" s="219">
        <f t="shared" si="57"/>
        <v>0</v>
      </c>
      <c r="V200" s="1145">
        <f t="shared" si="58"/>
        <v>0</v>
      </c>
      <c r="W200" s="124"/>
      <c r="AA200" s="642" t="e">
        <f>DATE(YEAR(tab!$G$3),MONTH(H200),DAY(H200))&gt;tab!$G$3</f>
        <v>#VALUE!</v>
      </c>
      <c r="AB200" s="643" t="e">
        <f t="shared" si="59"/>
        <v>#VALUE!</v>
      </c>
      <c r="AC200" s="244">
        <f t="shared" si="60"/>
        <v>30</v>
      </c>
      <c r="AD200" s="244">
        <f t="shared" si="61"/>
        <v>30</v>
      </c>
      <c r="AE200" s="643">
        <f t="shared" si="62"/>
        <v>0</v>
      </c>
      <c r="AK200" s="552"/>
    </row>
    <row r="201" spans="3:37" ht="12.75" customHeight="1" x14ac:dyDescent="0.2">
      <c r="C201" s="108"/>
      <c r="D201" s="115" t="str">
        <f>IF(op!D133="","",op!D133)</f>
        <v/>
      </c>
      <c r="E201" s="115" t="str">
        <f>IF(op!E133=0,"",op!E133)</f>
        <v/>
      </c>
      <c r="F201" s="115" t="str">
        <f>IF(op!F133=0,"",op!F133)</f>
        <v/>
      </c>
      <c r="G201" s="132" t="str">
        <f>IF(op!G133="","",op!G133+1)</f>
        <v/>
      </c>
      <c r="H201" s="508" t="str">
        <f>IF(op!H133="","",op!H133)</f>
        <v/>
      </c>
      <c r="I201" s="132" t="str">
        <f>IF(op!I133=0,"",op!I133)</f>
        <v/>
      </c>
      <c r="J201" s="150" t="str">
        <f>IF(E201="","",(IF(op!J133+1&gt;LOOKUP(I201,schaal2011,regels2011),op!J133,op!J133+1)))</f>
        <v/>
      </c>
      <c r="K201" s="509" t="str">
        <f>IF(op!K133="","",op!K133)</f>
        <v/>
      </c>
      <c r="L201" s="510" t="str">
        <f>IF(op!L133="","",op!L133)</f>
        <v/>
      </c>
      <c r="M201" s="511" t="str">
        <f t="shared" si="53"/>
        <v/>
      </c>
      <c r="N201" s="109"/>
      <c r="O201" s="513" t="str">
        <f>IF(I201="","",VLOOKUP(I201,tab!$A$68:$V$108,J201+2,FALSE))</f>
        <v/>
      </c>
      <c r="P201" s="514" t="str">
        <f t="shared" si="54"/>
        <v/>
      </c>
      <c r="Q201" s="1173">
        <f t="shared" si="52"/>
        <v>0.62</v>
      </c>
      <c r="R201" s="514" t="str">
        <f t="shared" si="55"/>
        <v/>
      </c>
      <c r="S201" s="514">
        <f>IF(L201="",0,(((O201*12)*L201)*(1+tab!$D$55)*tab!$F$57))</f>
        <v>0</v>
      </c>
      <c r="T201" s="1131">
        <f t="shared" si="56"/>
        <v>0</v>
      </c>
      <c r="U201" s="219">
        <f t="shared" si="57"/>
        <v>0</v>
      </c>
      <c r="V201" s="1145">
        <f t="shared" si="58"/>
        <v>0</v>
      </c>
      <c r="W201" s="124"/>
      <c r="AA201" s="642" t="e">
        <f>DATE(YEAR(tab!$G$3),MONTH(H201),DAY(H201))&gt;tab!$G$3</f>
        <v>#VALUE!</v>
      </c>
      <c r="AB201" s="643" t="e">
        <f t="shared" si="59"/>
        <v>#VALUE!</v>
      </c>
      <c r="AC201" s="244">
        <f t="shared" si="60"/>
        <v>30</v>
      </c>
      <c r="AD201" s="244">
        <f t="shared" si="61"/>
        <v>30</v>
      </c>
      <c r="AE201" s="643">
        <f t="shared" si="62"/>
        <v>0</v>
      </c>
      <c r="AK201" s="552"/>
    </row>
    <row r="202" spans="3:37" ht="12.75" customHeight="1" x14ac:dyDescent="0.2">
      <c r="C202" s="108"/>
      <c r="D202" s="115" t="str">
        <f>IF(op!D134="","",op!D134)</f>
        <v/>
      </c>
      <c r="E202" s="115" t="str">
        <f>IF(op!E134=0,"",op!E134)</f>
        <v/>
      </c>
      <c r="F202" s="115" t="str">
        <f>IF(op!F134=0,"",op!F134)</f>
        <v/>
      </c>
      <c r="G202" s="132" t="str">
        <f>IF(op!G134="","",op!G134+1)</f>
        <v/>
      </c>
      <c r="H202" s="508" t="str">
        <f>IF(op!H134="","",op!H134)</f>
        <v/>
      </c>
      <c r="I202" s="132" t="str">
        <f>IF(op!I134=0,"",op!I134)</f>
        <v/>
      </c>
      <c r="J202" s="150" t="str">
        <f>IF(E202="","",(IF(op!J134+1&gt;LOOKUP(I202,schaal2011,regels2011),op!J134,op!J134+1)))</f>
        <v/>
      </c>
      <c r="K202" s="509" t="str">
        <f>IF(op!K134="","",op!K134)</f>
        <v/>
      </c>
      <c r="L202" s="510" t="str">
        <f>IF(op!L134="","",op!L134)</f>
        <v/>
      </c>
      <c r="M202" s="511" t="str">
        <f t="shared" si="53"/>
        <v/>
      </c>
      <c r="N202" s="109"/>
      <c r="O202" s="513" t="str">
        <f>IF(I202="","",VLOOKUP(I202,tab!$A$68:$V$108,J202+2,FALSE))</f>
        <v/>
      </c>
      <c r="P202" s="514" t="str">
        <f t="shared" si="54"/>
        <v/>
      </c>
      <c r="Q202" s="1173">
        <f t="shared" si="52"/>
        <v>0.62</v>
      </c>
      <c r="R202" s="514" t="str">
        <f t="shared" si="55"/>
        <v/>
      </c>
      <c r="S202" s="514">
        <f>IF(L202="",0,(((O202*12)*L202)*(1+tab!$D$55)*tab!$F$57))</f>
        <v>0</v>
      </c>
      <c r="T202" s="1131">
        <f t="shared" si="56"/>
        <v>0</v>
      </c>
      <c r="U202" s="219">
        <f t="shared" si="57"/>
        <v>0</v>
      </c>
      <c r="V202" s="1145">
        <f t="shared" si="58"/>
        <v>0</v>
      </c>
      <c r="W202" s="124"/>
      <c r="AA202" s="642" t="e">
        <f>DATE(YEAR(tab!$G$3),MONTH(H202),DAY(H202))&gt;tab!$G$3</f>
        <v>#VALUE!</v>
      </c>
      <c r="AB202" s="643" t="e">
        <f t="shared" si="59"/>
        <v>#VALUE!</v>
      </c>
      <c r="AC202" s="244">
        <f t="shared" si="60"/>
        <v>30</v>
      </c>
      <c r="AD202" s="244">
        <f t="shared" si="61"/>
        <v>30</v>
      </c>
      <c r="AE202" s="643">
        <f t="shared" si="62"/>
        <v>0</v>
      </c>
      <c r="AK202" s="552"/>
    </row>
    <row r="203" spans="3:37" ht="12.75" customHeight="1" x14ac:dyDescent="0.2">
      <c r="C203" s="108"/>
      <c r="D203" s="115" t="str">
        <f>IF(op!D135="","",op!D135)</f>
        <v/>
      </c>
      <c r="E203" s="115" t="str">
        <f>IF(op!E135=0,"",op!E135)</f>
        <v/>
      </c>
      <c r="F203" s="115" t="str">
        <f>IF(op!F135=0,"",op!F135)</f>
        <v/>
      </c>
      <c r="G203" s="132" t="str">
        <f>IF(op!G135="","",op!G135+1)</f>
        <v/>
      </c>
      <c r="H203" s="508" t="str">
        <f>IF(op!H135="","",op!H135)</f>
        <v/>
      </c>
      <c r="I203" s="132" t="str">
        <f>IF(op!I135=0,"",op!I135)</f>
        <v/>
      </c>
      <c r="J203" s="150" t="str">
        <f>IF(E203="","",(IF(op!J135+1&gt;LOOKUP(I203,schaal2011,regels2011),op!J135,op!J135+1)))</f>
        <v/>
      </c>
      <c r="K203" s="509" t="str">
        <f>IF(op!K135="","",op!K135)</f>
        <v/>
      </c>
      <c r="L203" s="510" t="str">
        <f>IF(op!L135="","",op!L135)</f>
        <v/>
      </c>
      <c r="M203" s="511" t="str">
        <f t="shared" si="53"/>
        <v/>
      </c>
      <c r="N203" s="109"/>
      <c r="O203" s="513" t="str">
        <f>IF(I203="","",VLOOKUP(I203,tab!$A$68:$V$108,J203+2,FALSE))</f>
        <v/>
      </c>
      <c r="P203" s="514" t="str">
        <f t="shared" si="54"/>
        <v/>
      </c>
      <c r="Q203" s="1173">
        <f t="shared" si="52"/>
        <v>0.62</v>
      </c>
      <c r="R203" s="514" t="str">
        <f t="shared" si="55"/>
        <v/>
      </c>
      <c r="S203" s="514">
        <f>IF(L203="",0,(((O203*12)*L203)*(1+tab!$D$55)*tab!$F$57))</f>
        <v>0</v>
      </c>
      <c r="T203" s="1131">
        <f t="shared" si="56"/>
        <v>0</v>
      </c>
      <c r="U203" s="219">
        <f t="shared" si="57"/>
        <v>0</v>
      </c>
      <c r="V203" s="1145">
        <f t="shared" si="58"/>
        <v>0</v>
      </c>
      <c r="W203" s="124"/>
      <c r="AA203" s="642" t="e">
        <f>DATE(YEAR(tab!$G$3),MONTH(H203),DAY(H203))&gt;tab!$G$3</f>
        <v>#VALUE!</v>
      </c>
      <c r="AB203" s="643" t="e">
        <f t="shared" si="59"/>
        <v>#VALUE!</v>
      </c>
      <c r="AC203" s="244">
        <f t="shared" si="60"/>
        <v>30</v>
      </c>
      <c r="AD203" s="244">
        <f t="shared" si="61"/>
        <v>30</v>
      </c>
      <c r="AE203" s="643">
        <f t="shared" si="62"/>
        <v>0</v>
      </c>
      <c r="AK203" s="552"/>
    </row>
    <row r="204" spans="3:37" ht="12.75" customHeight="1" x14ac:dyDescent="0.2">
      <c r="C204" s="108"/>
      <c r="D204" s="115" t="str">
        <f>IF(op!D136="","",op!D136)</f>
        <v/>
      </c>
      <c r="E204" s="115" t="str">
        <f>IF(op!E136=0,"",op!E136)</f>
        <v/>
      </c>
      <c r="F204" s="115" t="str">
        <f>IF(op!F136=0,"",op!F136)</f>
        <v/>
      </c>
      <c r="G204" s="132" t="str">
        <f>IF(op!G136="","",op!G136+1)</f>
        <v/>
      </c>
      <c r="H204" s="508" t="str">
        <f>IF(op!H136="","",op!H136)</f>
        <v/>
      </c>
      <c r="I204" s="132" t="str">
        <f>IF(op!I136=0,"",op!I136)</f>
        <v/>
      </c>
      <c r="J204" s="150" t="str">
        <f>IF(E204="","",(IF(op!J136+1&gt;LOOKUP(I204,schaal2011,regels2011),op!J136,op!J136+1)))</f>
        <v/>
      </c>
      <c r="K204" s="509" t="str">
        <f>IF(op!K136="","",op!K136)</f>
        <v/>
      </c>
      <c r="L204" s="510" t="str">
        <f>IF(op!L136="","",op!L136)</f>
        <v/>
      </c>
      <c r="M204" s="511" t="str">
        <f t="shared" si="53"/>
        <v/>
      </c>
      <c r="N204" s="109"/>
      <c r="O204" s="513" t="str">
        <f>IF(I204="","",VLOOKUP(I204,tab!$A$68:$V$108,J204+2,FALSE))</f>
        <v/>
      </c>
      <c r="P204" s="514" t="str">
        <f t="shared" si="54"/>
        <v/>
      </c>
      <c r="Q204" s="1173">
        <f t="shared" si="52"/>
        <v>0.62</v>
      </c>
      <c r="R204" s="514" t="str">
        <f t="shared" si="55"/>
        <v/>
      </c>
      <c r="S204" s="514">
        <f>IF(L204="",0,(((O204*12)*L204)*(1+tab!$D$55)*tab!$F$57))</f>
        <v>0</v>
      </c>
      <c r="T204" s="1131">
        <f t="shared" si="56"/>
        <v>0</v>
      </c>
      <c r="U204" s="219">
        <f t="shared" si="57"/>
        <v>0</v>
      </c>
      <c r="V204" s="1145">
        <f t="shared" si="58"/>
        <v>0</v>
      </c>
      <c r="W204" s="124"/>
      <c r="AA204" s="642" t="e">
        <f>DATE(YEAR(tab!$G$3),MONTH(H204),DAY(H204))&gt;tab!$G$3</f>
        <v>#VALUE!</v>
      </c>
      <c r="AB204" s="643" t="e">
        <f t="shared" si="59"/>
        <v>#VALUE!</v>
      </c>
      <c r="AC204" s="244">
        <f t="shared" si="60"/>
        <v>30</v>
      </c>
      <c r="AD204" s="244">
        <f t="shared" si="61"/>
        <v>30</v>
      </c>
      <c r="AE204" s="643">
        <f t="shared" si="62"/>
        <v>0</v>
      </c>
      <c r="AK204" s="552"/>
    </row>
    <row r="205" spans="3:37" ht="12.75" customHeight="1" x14ac:dyDescent="0.2">
      <c r="C205" s="108"/>
      <c r="D205" s="115" t="str">
        <f>IF(op!D137="","",op!D137)</f>
        <v/>
      </c>
      <c r="E205" s="115" t="str">
        <f>IF(op!E137=0,"",op!E137)</f>
        <v/>
      </c>
      <c r="F205" s="115" t="str">
        <f>IF(op!F137=0,"",op!F137)</f>
        <v/>
      </c>
      <c r="G205" s="132" t="str">
        <f>IF(op!G137="","",op!G137+1)</f>
        <v/>
      </c>
      <c r="H205" s="508" t="str">
        <f>IF(op!H137="","",op!H137)</f>
        <v/>
      </c>
      <c r="I205" s="132" t="str">
        <f>IF(op!I137=0,"",op!I137)</f>
        <v/>
      </c>
      <c r="J205" s="150" t="str">
        <f>IF(E205="","",(IF(op!J137+1&gt;LOOKUP(I205,schaal2011,regels2011),op!J137,op!J137+1)))</f>
        <v/>
      </c>
      <c r="K205" s="509" t="str">
        <f>IF(op!K137="","",op!K137)</f>
        <v/>
      </c>
      <c r="L205" s="510" t="str">
        <f>IF(op!L137="","",op!L137)</f>
        <v/>
      </c>
      <c r="M205" s="511" t="str">
        <f t="shared" si="53"/>
        <v/>
      </c>
      <c r="N205" s="109"/>
      <c r="O205" s="513" t="str">
        <f>IF(I205="","",VLOOKUP(I205,tab!$A$68:$V$108,J205+2,FALSE))</f>
        <v/>
      </c>
      <c r="P205" s="514" t="str">
        <f t="shared" si="54"/>
        <v/>
      </c>
      <c r="Q205" s="1173">
        <f t="shared" si="52"/>
        <v>0.62</v>
      </c>
      <c r="R205" s="514" t="str">
        <f t="shared" si="55"/>
        <v/>
      </c>
      <c r="S205" s="514">
        <f>IF(L205="",0,(((O205*12)*L205)*(1+tab!$D$55)*tab!$F$57))</f>
        <v>0</v>
      </c>
      <c r="T205" s="1131">
        <f t="shared" si="56"/>
        <v>0</v>
      </c>
      <c r="U205" s="219">
        <f t="shared" si="57"/>
        <v>0</v>
      </c>
      <c r="V205" s="1145">
        <f t="shared" si="58"/>
        <v>0</v>
      </c>
      <c r="W205" s="124"/>
      <c r="AA205" s="642" t="e">
        <f>DATE(YEAR(tab!$G$3),MONTH(H205),DAY(H205))&gt;tab!$G$3</f>
        <v>#VALUE!</v>
      </c>
      <c r="AB205" s="643" t="e">
        <f t="shared" si="59"/>
        <v>#VALUE!</v>
      </c>
      <c r="AC205" s="244">
        <f t="shared" si="60"/>
        <v>30</v>
      </c>
      <c r="AD205" s="244">
        <f t="shared" si="61"/>
        <v>30</v>
      </c>
      <c r="AE205" s="643">
        <f t="shared" si="62"/>
        <v>0</v>
      </c>
      <c r="AK205" s="552"/>
    </row>
    <row r="206" spans="3:37" ht="12.75" customHeight="1" x14ac:dyDescent="0.2">
      <c r="C206" s="108"/>
      <c r="D206" s="115" t="str">
        <f>IF(op!D138="","",op!D138)</f>
        <v/>
      </c>
      <c r="E206" s="115" t="str">
        <f>IF(op!E138=0,"",op!E138)</f>
        <v/>
      </c>
      <c r="F206" s="115" t="str">
        <f>IF(op!F138=0,"",op!F138)</f>
        <v/>
      </c>
      <c r="G206" s="132" t="str">
        <f>IF(op!G138="","",op!G138+1)</f>
        <v/>
      </c>
      <c r="H206" s="508" t="str">
        <f>IF(op!H138="","",op!H138)</f>
        <v/>
      </c>
      <c r="I206" s="132" t="str">
        <f>IF(op!I138=0,"",op!I138)</f>
        <v/>
      </c>
      <c r="J206" s="150" t="str">
        <f>IF(E206="","",(IF(op!J138+1&gt;LOOKUP(I206,schaal2011,regels2011),op!J138,op!J138+1)))</f>
        <v/>
      </c>
      <c r="K206" s="509" t="str">
        <f>IF(op!K138="","",op!K138)</f>
        <v/>
      </c>
      <c r="L206" s="510" t="str">
        <f>IF(op!L138="","",op!L138)</f>
        <v/>
      </c>
      <c r="M206" s="511" t="str">
        <f t="shared" si="53"/>
        <v/>
      </c>
      <c r="N206" s="109"/>
      <c r="O206" s="513" t="str">
        <f>IF(I206="","",VLOOKUP(I206,tab!$A$68:$V$108,J206+2,FALSE))</f>
        <v/>
      </c>
      <c r="P206" s="514" t="str">
        <f t="shared" si="54"/>
        <v/>
      </c>
      <c r="Q206" s="1173">
        <f t="shared" si="52"/>
        <v>0.62</v>
      </c>
      <c r="R206" s="514" t="str">
        <f t="shared" si="55"/>
        <v/>
      </c>
      <c r="S206" s="514">
        <f>IF(L206="",0,(((O206*12)*L206)*(1+tab!$D$55)*tab!$F$57))</f>
        <v>0</v>
      </c>
      <c r="T206" s="1131">
        <f t="shared" si="56"/>
        <v>0</v>
      </c>
      <c r="U206" s="219">
        <f t="shared" si="57"/>
        <v>0</v>
      </c>
      <c r="V206" s="1145">
        <f t="shared" si="58"/>
        <v>0</v>
      </c>
      <c r="W206" s="124"/>
      <c r="AA206" s="642" t="e">
        <f>DATE(YEAR(tab!$G$3),MONTH(H206),DAY(H206))&gt;tab!$G$3</f>
        <v>#VALUE!</v>
      </c>
      <c r="AB206" s="643" t="e">
        <f t="shared" si="59"/>
        <v>#VALUE!</v>
      </c>
      <c r="AC206" s="244">
        <f t="shared" si="60"/>
        <v>30</v>
      </c>
      <c r="AD206" s="244">
        <f t="shared" si="61"/>
        <v>30</v>
      </c>
      <c r="AE206" s="643">
        <f t="shared" si="62"/>
        <v>0</v>
      </c>
      <c r="AK206" s="552"/>
    </row>
    <row r="207" spans="3:37" x14ac:dyDescent="0.2">
      <c r="C207" s="116"/>
      <c r="D207" s="296"/>
      <c r="E207" s="645"/>
      <c r="F207" s="296"/>
      <c r="G207" s="645"/>
      <c r="H207" s="646"/>
      <c r="I207" s="645"/>
      <c r="J207" s="647"/>
      <c r="K207" s="648">
        <f>SUM(K152:K206)</f>
        <v>1</v>
      </c>
      <c r="L207" s="648">
        <f>SUM(L152:L206)</f>
        <v>0.125</v>
      </c>
      <c r="M207" s="648">
        <f>SUM(M152:M206)</f>
        <v>0.875</v>
      </c>
      <c r="N207" s="296"/>
      <c r="O207" s="649">
        <f t="shared" ref="O207:V207" si="63">SUM(O152:O206)</f>
        <v>3274</v>
      </c>
      <c r="P207" s="649">
        <f t="shared" si="63"/>
        <v>34377</v>
      </c>
      <c r="Q207" s="650"/>
      <c r="R207" s="649">
        <f t="shared" si="63"/>
        <v>21313.74</v>
      </c>
      <c r="S207" s="649">
        <f t="shared" si="63"/>
        <v>6236.97</v>
      </c>
      <c r="T207" s="649">
        <f t="shared" si="63"/>
        <v>61927.710000000006</v>
      </c>
      <c r="U207" s="651">
        <f t="shared" si="63"/>
        <v>0</v>
      </c>
      <c r="V207" s="1154">
        <f t="shared" si="63"/>
        <v>0</v>
      </c>
      <c r="W207" s="124"/>
      <c r="AA207" s="652"/>
      <c r="AB207" s="652"/>
      <c r="AK207" s="552"/>
    </row>
    <row r="208" spans="3:37" x14ac:dyDescent="0.2">
      <c r="I208" s="202"/>
      <c r="M208" s="366"/>
      <c r="N208" s="363"/>
      <c r="O208" s="365"/>
      <c r="P208" s="573"/>
      <c r="Q208" s="653"/>
      <c r="R208" s="654"/>
      <c r="S208" s="573"/>
      <c r="U208" s="655"/>
      <c r="V208" s="1152"/>
      <c r="AK208" s="552"/>
    </row>
    <row r="211" spans="2:42" x14ac:dyDescent="0.2">
      <c r="C211" s="86" t="s">
        <v>290</v>
      </c>
      <c r="E211" s="567" t="str">
        <f>dir!E75</f>
        <v>2016/17</v>
      </c>
    </row>
    <row r="212" spans="2:42" x14ac:dyDescent="0.2">
      <c r="C212" s="86" t="s">
        <v>314</v>
      </c>
      <c r="E212" s="567">
        <f>dir!E76</f>
        <v>42644</v>
      </c>
    </row>
    <row r="214" spans="2:42" ht="12.75" customHeight="1" x14ac:dyDescent="0.2">
      <c r="C214" s="621"/>
      <c r="D214" s="622"/>
      <c r="E214" s="623"/>
      <c r="F214" s="622"/>
      <c r="G214" s="624"/>
      <c r="H214" s="625"/>
      <c r="I214" s="626"/>
      <c r="J214" s="626"/>
      <c r="K214" s="627"/>
      <c r="L214" s="626"/>
      <c r="M214" s="628"/>
      <c r="N214" s="629"/>
      <c r="O214" s="630"/>
      <c r="P214" s="629"/>
      <c r="Q214" s="624"/>
      <c r="R214" s="631"/>
      <c r="S214" s="629"/>
      <c r="T214" s="1138"/>
      <c r="U214" s="632"/>
      <c r="V214" s="1153"/>
      <c r="W214" s="124"/>
      <c r="AF214" s="433"/>
      <c r="AG214" s="433"/>
      <c r="AH214" s="433"/>
      <c r="AI214" s="433"/>
      <c r="AJ214" s="366"/>
      <c r="AK214" s="365"/>
      <c r="AL214" s="367"/>
      <c r="AM214" s="434"/>
      <c r="AN214" s="366"/>
    </row>
    <row r="215" spans="2:42" s="124" customFormat="1" ht="12.75" customHeight="1" x14ac:dyDescent="0.2">
      <c r="B215" s="86"/>
      <c r="C215" s="214"/>
      <c r="D215" s="157" t="s">
        <v>457</v>
      </c>
      <c r="E215" s="633"/>
      <c r="F215" s="633"/>
      <c r="G215" s="633"/>
      <c r="H215" s="633"/>
      <c r="I215" s="634"/>
      <c r="J215" s="634"/>
      <c r="K215" s="634"/>
      <c r="L215" s="634"/>
      <c r="M215" s="634"/>
      <c r="N215" s="472"/>
      <c r="O215" s="1277" t="s">
        <v>298</v>
      </c>
      <c r="P215" s="1279"/>
      <c r="Q215" s="1279"/>
      <c r="R215" s="1279"/>
      <c r="S215" s="1279"/>
      <c r="T215" s="1279"/>
      <c r="U215" s="473"/>
      <c r="V215" s="216"/>
      <c r="W215" s="635"/>
      <c r="X215" s="86"/>
      <c r="Y215" s="476"/>
      <c r="Z215" s="476"/>
      <c r="AA215" s="357"/>
      <c r="AB215" s="357"/>
      <c r="AC215" s="357"/>
      <c r="AD215" s="357"/>
      <c r="AE215" s="357"/>
      <c r="AO215" s="476"/>
      <c r="AP215" s="476"/>
    </row>
    <row r="216" spans="2:42" s="124" customFormat="1" ht="12.75" customHeight="1" x14ac:dyDescent="0.2">
      <c r="B216" s="86"/>
      <c r="C216" s="214"/>
      <c r="D216" s="165" t="s">
        <v>152</v>
      </c>
      <c r="E216" s="165" t="s">
        <v>296</v>
      </c>
      <c r="F216" s="165" t="s">
        <v>275</v>
      </c>
      <c r="G216" s="480" t="s">
        <v>235</v>
      </c>
      <c r="H216" s="481" t="s">
        <v>439</v>
      </c>
      <c r="I216" s="480" t="s">
        <v>333</v>
      </c>
      <c r="J216" s="480" t="s">
        <v>368</v>
      </c>
      <c r="K216" s="482" t="s">
        <v>238</v>
      </c>
      <c r="L216" s="483" t="s">
        <v>334</v>
      </c>
      <c r="M216" s="482" t="s">
        <v>238</v>
      </c>
      <c r="N216" s="259"/>
      <c r="O216" s="584" t="s">
        <v>502</v>
      </c>
      <c r="P216" s="484" t="s">
        <v>637</v>
      </c>
      <c r="Q216" s="584" t="s">
        <v>0</v>
      </c>
      <c r="R216" s="485"/>
      <c r="S216" s="487" t="s">
        <v>334</v>
      </c>
      <c r="T216" s="1130" t="s">
        <v>313</v>
      </c>
      <c r="U216" s="486" t="s">
        <v>467</v>
      </c>
      <c r="V216" s="216" t="s">
        <v>668</v>
      </c>
      <c r="W216" s="636"/>
      <c r="X216" s="86"/>
      <c r="Y216" s="490"/>
      <c r="Z216" s="490"/>
      <c r="AA216" s="350" t="s">
        <v>444</v>
      </c>
      <c r="AB216" s="350" t="s">
        <v>445</v>
      </c>
      <c r="AC216" s="350" t="s">
        <v>237</v>
      </c>
      <c r="AD216" s="350" t="s">
        <v>326</v>
      </c>
      <c r="AE216" s="637" t="s">
        <v>300</v>
      </c>
      <c r="AO216" s="476"/>
      <c r="AP216" s="490"/>
    </row>
    <row r="217" spans="2:42" s="124" customFormat="1" ht="12.75" customHeight="1" x14ac:dyDescent="0.2">
      <c r="B217" s="86"/>
      <c r="C217" s="214"/>
      <c r="D217" s="633"/>
      <c r="E217" s="165"/>
      <c r="F217" s="494"/>
      <c r="G217" s="480" t="s">
        <v>236</v>
      </c>
      <c r="H217" s="481" t="s">
        <v>440</v>
      </c>
      <c r="I217" s="480"/>
      <c r="J217" s="480"/>
      <c r="K217" s="482" t="s">
        <v>443</v>
      </c>
      <c r="L217" s="483"/>
      <c r="M217" s="482" t="s">
        <v>337</v>
      </c>
      <c r="N217" s="259"/>
      <c r="O217" s="584" t="s">
        <v>321</v>
      </c>
      <c r="P217" s="484" t="s">
        <v>636</v>
      </c>
      <c r="Q217" s="1176">
        <f>tab!$E$55</f>
        <v>0.62</v>
      </c>
      <c r="R217" s="485" t="s">
        <v>1</v>
      </c>
      <c r="S217" s="487" t="s">
        <v>367</v>
      </c>
      <c r="T217" s="1130" t="s">
        <v>434</v>
      </c>
      <c r="U217" s="486"/>
      <c r="V217" s="487" t="s">
        <v>367</v>
      </c>
      <c r="X217" s="86"/>
      <c r="AA217" s="637" t="s">
        <v>441</v>
      </c>
      <c r="AB217" s="637" t="s">
        <v>441</v>
      </c>
      <c r="AC217" s="350"/>
      <c r="AD217" s="350" t="s">
        <v>300</v>
      </c>
      <c r="AE217" s="637"/>
      <c r="AP217" s="638"/>
    </row>
    <row r="218" spans="2:42" ht="12.75" customHeight="1" x14ac:dyDescent="0.2">
      <c r="C218" s="108"/>
      <c r="D218" s="109"/>
      <c r="E218" s="109"/>
      <c r="F218" s="109"/>
      <c r="G218" s="113"/>
      <c r="H218" s="499"/>
      <c r="I218" s="500"/>
      <c r="J218" s="500"/>
      <c r="K218" s="501"/>
      <c r="L218" s="498"/>
      <c r="M218" s="501"/>
      <c r="N218" s="109"/>
      <c r="O218" s="502"/>
      <c r="P218" s="503"/>
      <c r="Q218" s="503"/>
      <c r="R218" s="639"/>
      <c r="S218" s="503"/>
      <c r="T218" s="694"/>
      <c r="U218" s="138"/>
      <c r="V218" s="504"/>
      <c r="W218" s="124"/>
      <c r="AE218" s="637"/>
      <c r="AM218" s="86"/>
      <c r="AN218" s="86"/>
      <c r="AP218" s="506"/>
    </row>
    <row r="219" spans="2:42" ht="12.75" customHeight="1" x14ac:dyDescent="0.2">
      <c r="C219" s="108"/>
      <c r="D219" s="115" t="str">
        <f>IF(op!D152=0,"",op!D152)</f>
        <v/>
      </c>
      <c r="E219" s="115" t="str">
        <f>IF(op!E152=0,"",op!E152)</f>
        <v>nn</v>
      </c>
      <c r="F219" s="115" t="str">
        <f>IF(op!F152=0,"",op!F152)</f>
        <v/>
      </c>
      <c r="G219" s="132" t="str">
        <f>IF(op!G152="","",op!G152+1)</f>
        <v/>
      </c>
      <c r="H219" s="508">
        <f>IF(op!H152="","",op!H152)</f>
        <v>25934</v>
      </c>
      <c r="I219" s="132" t="str">
        <f>IF(op!I152=0,"",op!I152)</f>
        <v>LA</v>
      </c>
      <c r="J219" s="150">
        <f>IF(E219="","",(IF(op!J152+1&gt;LOOKUP(I219,schaal2011,regels2011),op!J152,op!J152+1)))</f>
        <v>15</v>
      </c>
      <c r="K219" s="509">
        <f>IF(op!K152="","",op!K152)</f>
        <v>1</v>
      </c>
      <c r="L219" s="510">
        <f>IF(op!L152="","",op!L152)</f>
        <v>0.125</v>
      </c>
      <c r="M219" s="511">
        <f t="shared" ref="M219:M250" si="64">(IF(L219="",(K219),(K219)-L219))</f>
        <v>0.875</v>
      </c>
      <c r="N219" s="109"/>
      <c r="O219" s="513">
        <f>IF(I219="","",VLOOKUP(I219,tab!$A$68:$V$108,J219+2,FALSE))</f>
        <v>3274</v>
      </c>
      <c r="P219" s="514">
        <f t="shared" ref="P219:P250" si="65">IF(E219="","",(O219*M219*12))</f>
        <v>34377</v>
      </c>
      <c r="Q219" s="1173">
        <f>$Q$217</f>
        <v>0.62</v>
      </c>
      <c r="R219" s="514">
        <f t="shared" ref="R219:R250" si="66">IF(E219="","",(P219)*Q219)</f>
        <v>21313.74</v>
      </c>
      <c r="S219" s="514">
        <f>IF(L219="",0,(((O219*12)*L219)*(1+tab!$D$55)*tab!$F$57))</f>
        <v>6236.97</v>
      </c>
      <c r="T219" s="1131">
        <f t="shared" ref="T219:T250" si="67">IF(E219="",0,(P219+R219+S219))</f>
        <v>61927.710000000006</v>
      </c>
      <c r="U219" s="219">
        <f t="shared" ref="U219:U250" si="68">IF(G219&lt;25,0,IF(G219=25,25,IF(G219&lt;40,0,IF(G219=40,40,IF(G219&gt;=40,0)))))</f>
        <v>0</v>
      </c>
      <c r="V219" s="1145">
        <f t="shared" ref="V219:V250" si="69">IF(U219=25,(O219*1.08*(K219)/2),IF(U219=40,(O219*1.08*(K219)),IF(U219=0,0)))</f>
        <v>0</v>
      </c>
      <c r="W219" s="469"/>
      <c r="AA219" s="642" t="b">
        <f>DATE(YEAR(tab!$H$3),MONTH(H219),DAY(H219))&gt;tab!$H$3</f>
        <v>0</v>
      </c>
      <c r="AB219" s="643">
        <f t="shared" ref="AB219:AB250" si="70">YEAR($E$212)-YEAR(H219)-AA219</f>
        <v>45</v>
      </c>
      <c r="AC219" s="244">
        <f t="shared" ref="AC219:AC250" si="71">IF((H219=""),30,AB219)</f>
        <v>45</v>
      </c>
      <c r="AD219" s="244">
        <f t="shared" ref="AD219:AD250" si="72">IF((AC219)&gt;50,50,(AC219))</f>
        <v>45</v>
      </c>
      <c r="AE219" s="643">
        <f t="shared" ref="AE219:AE250" si="73">ROUND((AD219*(SUM(K219:K219))),2)</f>
        <v>45</v>
      </c>
      <c r="AK219" s="552"/>
    </row>
    <row r="220" spans="2:42" ht="12.75" customHeight="1" x14ac:dyDescent="0.2">
      <c r="C220" s="108"/>
      <c r="D220" s="115" t="str">
        <f>IF(op!D153=0,"",op!D153)</f>
        <v/>
      </c>
      <c r="E220" s="115" t="str">
        <f>IF(op!E153=0,"",op!E153)</f>
        <v/>
      </c>
      <c r="F220" s="115" t="str">
        <f>IF(op!F153=0,"",op!F153)</f>
        <v/>
      </c>
      <c r="G220" s="132" t="str">
        <f>IF(op!G153="","",op!G153+1)</f>
        <v/>
      </c>
      <c r="H220" s="508" t="str">
        <f>IF(op!H153="","",op!H153)</f>
        <v/>
      </c>
      <c r="I220" s="132" t="str">
        <f>IF(op!I153=0,"",op!I153)</f>
        <v/>
      </c>
      <c r="J220" s="150" t="str">
        <f>IF(E220="","",(IF(op!J153+1&gt;LOOKUP(I220,schaal2011,regels2011),op!J153,op!J153+1)))</f>
        <v/>
      </c>
      <c r="K220" s="509" t="str">
        <f>IF(op!K153="","",op!K153)</f>
        <v/>
      </c>
      <c r="L220" s="510" t="str">
        <f>IF(op!L153="","",op!L153)</f>
        <v/>
      </c>
      <c r="M220" s="511" t="str">
        <f t="shared" si="64"/>
        <v/>
      </c>
      <c r="N220" s="109"/>
      <c r="O220" s="513" t="str">
        <f>IF(I220="","",VLOOKUP(I220,tab!$A$68:$V$108,J220+2,FALSE))</f>
        <v/>
      </c>
      <c r="P220" s="514" t="str">
        <f t="shared" si="65"/>
        <v/>
      </c>
      <c r="Q220" s="1173">
        <f t="shared" ref="Q220:Q273" si="74">$Q$217</f>
        <v>0.62</v>
      </c>
      <c r="R220" s="514" t="str">
        <f t="shared" si="66"/>
        <v/>
      </c>
      <c r="S220" s="514">
        <f>IF(L220="",0,(((O220*12)*L220)*(1+tab!$D$55)*tab!$F$57))</f>
        <v>0</v>
      </c>
      <c r="T220" s="1131">
        <f t="shared" si="67"/>
        <v>0</v>
      </c>
      <c r="U220" s="219">
        <f t="shared" si="68"/>
        <v>0</v>
      </c>
      <c r="V220" s="1145">
        <f t="shared" si="69"/>
        <v>0</v>
      </c>
      <c r="W220" s="469"/>
      <c r="AA220" s="642" t="e">
        <f>DATE(YEAR(tab!$H$3),MONTH(H220),DAY(H220))&gt;tab!$H$3</f>
        <v>#VALUE!</v>
      </c>
      <c r="AB220" s="643" t="e">
        <f t="shared" si="70"/>
        <v>#VALUE!</v>
      </c>
      <c r="AC220" s="244">
        <f t="shared" si="71"/>
        <v>30</v>
      </c>
      <c r="AD220" s="244">
        <f t="shared" si="72"/>
        <v>30</v>
      </c>
      <c r="AE220" s="643">
        <f t="shared" si="73"/>
        <v>0</v>
      </c>
      <c r="AK220" s="552"/>
    </row>
    <row r="221" spans="2:42" ht="12.75" customHeight="1" x14ac:dyDescent="0.2">
      <c r="C221" s="108"/>
      <c r="D221" s="115" t="str">
        <f>IF(op!D154=0,"",op!D154)</f>
        <v/>
      </c>
      <c r="E221" s="115" t="str">
        <f>IF(op!E154=0,"",op!E154)</f>
        <v/>
      </c>
      <c r="F221" s="115" t="str">
        <f>IF(op!F154=0,"",op!F154)</f>
        <v/>
      </c>
      <c r="G221" s="132" t="str">
        <f>IF(op!G154="","",op!G154+1)</f>
        <v/>
      </c>
      <c r="H221" s="508" t="str">
        <f>IF(op!H154="","",op!H154)</f>
        <v/>
      </c>
      <c r="I221" s="132" t="str">
        <f>IF(op!I154=0,"",op!I154)</f>
        <v/>
      </c>
      <c r="J221" s="150" t="str">
        <f>IF(E221="","",(IF(op!J154+1&gt;LOOKUP(I221,schaal2011,regels2011),op!J154,op!J154+1)))</f>
        <v/>
      </c>
      <c r="K221" s="509" t="str">
        <f>IF(op!K154="","",op!K154)</f>
        <v/>
      </c>
      <c r="L221" s="510" t="str">
        <f>IF(op!L154="","",op!L154)</f>
        <v/>
      </c>
      <c r="M221" s="511" t="str">
        <f t="shared" si="64"/>
        <v/>
      </c>
      <c r="N221" s="109"/>
      <c r="O221" s="513" t="str">
        <f>IF(I221="","",VLOOKUP(I221,tab!$A$68:$V$108,J221+2,FALSE))</f>
        <v/>
      </c>
      <c r="P221" s="514" t="str">
        <f t="shared" si="65"/>
        <v/>
      </c>
      <c r="Q221" s="1173">
        <f t="shared" si="74"/>
        <v>0.62</v>
      </c>
      <c r="R221" s="514" t="str">
        <f t="shared" si="66"/>
        <v/>
      </c>
      <c r="S221" s="514">
        <f>IF(L221="",0,(((O221*12)*L221)*(1+tab!$D$55)*tab!$F$57))</f>
        <v>0</v>
      </c>
      <c r="T221" s="1131">
        <f t="shared" si="67"/>
        <v>0</v>
      </c>
      <c r="U221" s="219">
        <f t="shared" si="68"/>
        <v>0</v>
      </c>
      <c r="V221" s="1145">
        <f t="shared" si="69"/>
        <v>0</v>
      </c>
      <c r="W221" s="644"/>
      <c r="AA221" s="642" t="e">
        <f>DATE(YEAR(tab!$H$3),MONTH(H221),DAY(H221))&gt;tab!$H$3</f>
        <v>#VALUE!</v>
      </c>
      <c r="AB221" s="643" t="e">
        <f t="shared" si="70"/>
        <v>#VALUE!</v>
      </c>
      <c r="AC221" s="244">
        <f t="shared" si="71"/>
        <v>30</v>
      </c>
      <c r="AD221" s="244">
        <f t="shared" si="72"/>
        <v>30</v>
      </c>
      <c r="AE221" s="643">
        <f t="shared" si="73"/>
        <v>0</v>
      </c>
      <c r="AK221" s="552"/>
    </row>
    <row r="222" spans="2:42" ht="12.75" customHeight="1" x14ac:dyDescent="0.2">
      <c r="C222" s="108"/>
      <c r="D222" s="115" t="str">
        <f>IF(op!D155=0,"",op!D155)</f>
        <v/>
      </c>
      <c r="E222" s="115" t="str">
        <f>IF(op!E155=0,"",op!E155)</f>
        <v/>
      </c>
      <c r="F222" s="115" t="str">
        <f>IF(op!F155=0,"",op!F155)</f>
        <v/>
      </c>
      <c r="G222" s="132" t="str">
        <f>IF(op!G155="","",op!G155+1)</f>
        <v/>
      </c>
      <c r="H222" s="508" t="str">
        <f>IF(op!H155="","",op!H155)</f>
        <v/>
      </c>
      <c r="I222" s="132" t="str">
        <f>IF(op!I155=0,"",op!I155)</f>
        <v/>
      </c>
      <c r="J222" s="150" t="str">
        <f>IF(E222="","",(IF(op!J155+1&gt;LOOKUP(I222,schaal2011,regels2011),op!J155,op!J155+1)))</f>
        <v/>
      </c>
      <c r="K222" s="509" t="str">
        <f>IF(op!K155="","",op!K155)</f>
        <v/>
      </c>
      <c r="L222" s="510" t="str">
        <f>IF(op!L155="","",op!L155)</f>
        <v/>
      </c>
      <c r="M222" s="511" t="str">
        <f t="shared" si="64"/>
        <v/>
      </c>
      <c r="N222" s="109"/>
      <c r="O222" s="513" t="str">
        <f>IF(I222="","",VLOOKUP(I222,tab!$A$68:$V$108,J222+2,FALSE))</f>
        <v/>
      </c>
      <c r="P222" s="514" t="str">
        <f t="shared" si="65"/>
        <v/>
      </c>
      <c r="Q222" s="1173">
        <f t="shared" si="74"/>
        <v>0.62</v>
      </c>
      <c r="R222" s="514" t="str">
        <f t="shared" si="66"/>
        <v/>
      </c>
      <c r="S222" s="514">
        <f>IF(L222="",0,(((O222*12)*L222)*(1+tab!$D$55)*tab!$F$57))</f>
        <v>0</v>
      </c>
      <c r="T222" s="1131">
        <f t="shared" si="67"/>
        <v>0</v>
      </c>
      <c r="U222" s="219">
        <f t="shared" si="68"/>
        <v>0</v>
      </c>
      <c r="V222" s="1145">
        <f t="shared" si="69"/>
        <v>0</v>
      </c>
      <c r="W222" s="644"/>
      <c r="AA222" s="642" t="e">
        <f>DATE(YEAR(tab!$H$3),MONTH(H222),DAY(H222))&gt;tab!$H$3</f>
        <v>#VALUE!</v>
      </c>
      <c r="AB222" s="643" t="e">
        <f t="shared" si="70"/>
        <v>#VALUE!</v>
      </c>
      <c r="AC222" s="244">
        <f t="shared" si="71"/>
        <v>30</v>
      </c>
      <c r="AD222" s="244">
        <f t="shared" si="72"/>
        <v>30</v>
      </c>
      <c r="AE222" s="643">
        <f t="shared" si="73"/>
        <v>0</v>
      </c>
      <c r="AK222" s="552"/>
    </row>
    <row r="223" spans="2:42" ht="12.75" customHeight="1" x14ac:dyDescent="0.2">
      <c r="C223" s="108"/>
      <c r="D223" s="115" t="str">
        <f>IF(op!D156=0,"",op!D156)</f>
        <v/>
      </c>
      <c r="E223" s="115" t="str">
        <f>IF(op!E156=0,"",op!E156)</f>
        <v/>
      </c>
      <c r="F223" s="115" t="str">
        <f>IF(op!F156=0,"",op!F156)</f>
        <v/>
      </c>
      <c r="G223" s="132" t="str">
        <f>IF(op!G156="","",op!G156+1)</f>
        <v/>
      </c>
      <c r="H223" s="508" t="str">
        <f>IF(op!H156="","",op!H156)</f>
        <v/>
      </c>
      <c r="I223" s="132" t="str">
        <f>IF(op!I156=0,"",op!I156)</f>
        <v/>
      </c>
      <c r="J223" s="150" t="str">
        <f>IF(E223="","",(IF(op!J156+1&gt;LOOKUP(I223,schaal2011,regels2011),op!J156,op!J156+1)))</f>
        <v/>
      </c>
      <c r="K223" s="509" t="str">
        <f>IF(op!K156="","",op!K156)</f>
        <v/>
      </c>
      <c r="L223" s="510" t="str">
        <f>IF(op!L156="","",op!L156)</f>
        <v/>
      </c>
      <c r="M223" s="511" t="str">
        <f t="shared" si="64"/>
        <v/>
      </c>
      <c r="N223" s="109"/>
      <c r="O223" s="513" t="str">
        <f>IF(I223="","",VLOOKUP(I223,tab!$A$68:$V$108,J223+2,FALSE))</f>
        <v/>
      </c>
      <c r="P223" s="514" t="str">
        <f t="shared" si="65"/>
        <v/>
      </c>
      <c r="Q223" s="1173">
        <f t="shared" si="74"/>
        <v>0.62</v>
      </c>
      <c r="R223" s="514" t="str">
        <f t="shared" si="66"/>
        <v/>
      </c>
      <c r="S223" s="514">
        <f>IF(L223="",0,(((O223*12)*L223)*(1+tab!$D$55)*tab!$F$57))</f>
        <v>0</v>
      </c>
      <c r="T223" s="1131">
        <f t="shared" si="67"/>
        <v>0</v>
      </c>
      <c r="U223" s="219">
        <f t="shared" si="68"/>
        <v>0</v>
      </c>
      <c r="V223" s="1145">
        <f t="shared" si="69"/>
        <v>0</v>
      </c>
      <c r="W223" s="469"/>
      <c r="AA223" s="642" t="e">
        <f>DATE(YEAR(tab!$H$3),MONTH(H223),DAY(H223))&gt;tab!$H$3</f>
        <v>#VALUE!</v>
      </c>
      <c r="AB223" s="643" t="e">
        <f t="shared" si="70"/>
        <v>#VALUE!</v>
      </c>
      <c r="AC223" s="244">
        <f t="shared" si="71"/>
        <v>30</v>
      </c>
      <c r="AD223" s="244">
        <f t="shared" si="72"/>
        <v>30</v>
      </c>
      <c r="AE223" s="643">
        <f t="shared" si="73"/>
        <v>0</v>
      </c>
      <c r="AK223" s="552"/>
    </row>
    <row r="224" spans="2:42" ht="12.75" customHeight="1" x14ac:dyDescent="0.2">
      <c r="C224" s="108"/>
      <c r="D224" s="115" t="str">
        <f>IF(op!D157=0,"",op!D157)</f>
        <v/>
      </c>
      <c r="E224" s="115" t="str">
        <f>IF(op!E157=0,"",op!E157)</f>
        <v/>
      </c>
      <c r="F224" s="115" t="str">
        <f>IF(op!F157=0,"",op!F157)</f>
        <v/>
      </c>
      <c r="G224" s="132" t="str">
        <f>IF(op!G157="","",op!G157+1)</f>
        <v/>
      </c>
      <c r="H224" s="508" t="str">
        <f>IF(op!H157="","",op!H157)</f>
        <v/>
      </c>
      <c r="I224" s="132" t="str">
        <f>IF(op!I157=0,"",op!I157)</f>
        <v/>
      </c>
      <c r="J224" s="150" t="str">
        <f>IF(E224="","",(IF(op!J157+1&gt;LOOKUP(I224,schaal2011,regels2011),op!J157,op!J157+1)))</f>
        <v/>
      </c>
      <c r="K224" s="509" t="str">
        <f>IF(op!K157="","",op!K157)</f>
        <v/>
      </c>
      <c r="L224" s="510" t="str">
        <f>IF(op!L157="","",op!L157)</f>
        <v/>
      </c>
      <c r="M224" s="511" t="str">
        <f t="shared" si="64"/>
        <v/>
      </c>
      <c r="N224" s="109"/>
      <c r="O224" s="513" t="str">
        <f>IF(I224="","",VLOOKUP(I224,tab!$A$68:$V$108,J224+2,FALSE))</f>
        <v/>
      </c>
      <c r="P224" s="514" t="str">
        <f t="shared" si="65"/>
        <v/>
      </c>
      <c r="Q224" s="1173">
        <f t="shared" si="74"/>
        <v>0.62</v>
      </c>
      <c r="R224" s="514" t="str">
        <f t="shared" si="66"/>
        <v/>
      </c>
      <c r="S224" s="514">
        <f>IF(L224="",0,(((O224*12)*L224)*(1+tab!$D$55)*tab!$F$57))</f>
        <v>0</v>
      </c>
      <c r="T224" s="1131">
        <f t="shared" si="67"/>
        <v>0</v>
      </c>
      <c r="U224" s="219">
        <f t="shared" si="68"/>
        <v>0</v>
      </c>
      <c r="V224" s="1145">
        <f t="shared" si="69"/>
        <v>0</v>
      </c>
      <c r="W224" s="469"/>
      <c r="AA224" s="642" t="e">
        <f>DATE(YEAR(tab!$H$3),MONTH(H224),DAY(H224))&gt;tab!$H$3</f>
        <v>#VALUE!</v>
      </c>
      <c r="AB224" s="643" t="e">
        <f t="shared" si="70"/>
        <v>#VALUE!</v>
      </c>
      <c r="AC224" s="244">
        <f t="shared" si="71"/>
        <v>30</v>
      </c>
      <c r="AD224" s="244">
        <f t="shared" si="72"/>
        <v>30</v>
      </c>
      <c r="AE224" s="643">
        <f t="shared" si="73"/>
        <v>0</v>
      </c>
      <c r="AK224" s="552"/>
    </row>
    <row r="225" spans="3:37" ht="12.75" customHeight="1" x14ac:dyDescent="0.2">
      <c r="C225" s="108"/>
      <c r="D225" s="115" t="str">
        <f>IF(op!D158=0,"",op!D158)</f>
        <v/>
      </c>
      <c r="E225" s="115" t="str">
        <f>IF(op!E158=0,"",op!E158)</f>
        <v/>
      </c>
      <c r="F225" s="115" t="str">
        <f>IF(op!F158=0,"",op!F158)</f>
        <v/>
      </c>
      <c r="G225" s="132" t="str">
        <f>IF(op!G158="","",op!G158+1)</f>
        <v/>
      </c>
      <c r="H225" s="508" t="str">
        <f>IF(op!H158="","",op!H158)</f>
        <v/>
      </c>
      <c r="I225" s="132" t="str">
        <f>IF(op!I158=0,"",op!I158)</f>
        <v/>
      </c>
      <c r="J225" s="150" t="str">
        <f>IF(E225="","",(IF(op!J158+1&gt;LOOKUP(I225,schaal2011,regels2011),op!J158,op!J158+1)))</f>
        <v/>
      </c>
      <c r="K225" s="509" t="str">
        <f>IF(op!K158="","",op!K158)</f>
        <v/>
      </c>
      <c r="L225" s="510" t="str">
        <f>IF(op!L158="","",op!L158)</f>
        <v/>
      </c>
      <c r="M225" s="511" t="str">
        <f t="shared" si="64"/>
        <v/>
      </c>
      <c r="N225" s="109"/>
      <c r="O225" s="513" t="str">
        <f>IF(I225="","",VLOOKUP(I225,tab!$A$68:$V$108,J225+2,FALSE))</f>
        <v/>
      </c>
      <c r="P225" s="514" t="str">
        <f t="shared" si="65"/>
        <v/>
      </c>
      <c r="Q225" s="1173">
        <f t="shared" si="74"/>
        <v>0.62</v>
      </c>
      <c r="R225" s="514" t="str">
        <f t="shared" si="66"/>
        <v/>
      </c>
      <c r="S225" s="514">
        <f>IF(L225="",0,(((O225*12)*L225)*(1+tab!$D$55)*tab!$F$57))</f>
        <v>0</v>
      </c>
      <c r="T225" s="1131">
        <f t="shared" si="67"/>
        <v>0</v>
      </c>
      <c r="U225" s="219">
        <f t="shared" si="68"/>
        <v>0</v>
      </c>
      <c r="V225" s="1145">
        <f t="shared" si="69"/>
        <v>0</v>
      </c>
      <c r="W225" s="124"/>
      <c r="AA225" s="642" t="e">
        <f>DATE(YEAR(tab!$H$3),MONTH(H225),DAY(H225))&gt;tab!$H$3</f>
        <v>#VALUE!</v>
      </c>
      <c r="AB225" s="643" t="e">
        <f t="shared" si="70"/>
        <v>#VALUE!</v>
      </c>
      <c r="AC225" s="244">
        <f t="shared" si="71"/>
        <v>30</v>
      </c>
      <c r="AD225" s="244">
        <f t="shared" si="72"/>
        <v>30</v>
      </c>
      <c r="AE225" s="643">
        <f t="shared" si="73"/>
        <v>0</v>
      </c>
      <c r="AK225" s="552"/>
    </row>
    <row r="226" spans="3:37" ht="12.75" customHeight="1" x14ac:dyDescent="0.2">
      <c r="C226" s="108"/>
      <c r="D226" s="115" t="str">
        <f>IF(op!D159=0,"",op!D159)</f>
        <v/>
      </c>
      <c r="E226" s="115" t="str">
        <f>IF(op!E159=0,"",op!E159)</f>
        <v/>
      </c>
      <c r="F226" s="115" t="str">
        <f>IF(op!F159=0,"",op!F159)</f>
        <v/>
      </c>
      <c r="G226" s="132" t="str">
        <f>IF(op!G159="","",op!G159+1)</f>
        <v/>
      </c>
      <c r="H226" s="508" t="str">
        <f>IF(op!H159="","",op!H159)</f>
        <v/>
      </c>
      <c r="I226" s="132" t="str">
        <f>IF(op!I159=0,"",op!I159)</f>
        <v/>
      </c>
      <c r="J226" s="150" t="str">
        <f>IF(E226="","",(IF(op!J159+1&gt;LOOKUP(I226,schaal2011,regels2011),op!J159,op!J159+1)))</f>
        <v/>
      </c>
      <c r="K226" s="509" t="str">
        <f>IF(op!K159="","",op!K159)</f>
        <v/>
      </c>
      <c r="L226" s="510" t="str">
        <f>IF(op!L159="","",op!L159)</f>
        <v/>
      </c>
      <c r="M226" s="511" t="str">
        <f t="shared" si="64"/>
        <v/>
      </c>
      <c r="N226" s="109"/>
      <c r="O226" s="513" t="str">
        <f>IF(I226="","",VLOOKUP(I226,tab!$A$68:$V$108,J226+2,FALSE))</f>
        <v/>
      </c>
      <c r="P226" s="514" t="str">
        <f t="shared" si="65"/>
        <v/>
      </c>
      <c r="Q226" s="1173">
        <f t="shared" si="74"/>
        <v>0.62</v>
      </c>
      <c r="R226" s="514" t="str">
        <f t="shared" si="66"/>
        <v/>
      </c>
      <c r="S226" s="514">
        <f>IF(L226="",0,(((O226*12)*L226)*(1+tab!$D$55)*tab!$F$57))</f>
        <v>0</v>
      </c>
      <c r="T226" s="1131">
        <f t="shared" si="67"/>
        <v>0</v>
      </c>
      <c r="U226" s="219">
        <f t="shared" si="68"/>
        <v>0</v>
      </c>
      <c r="V226" s="1145">
        <f t="shared" si="69"/>
        <v>0</v>
      </c>
      <c r="W226" s="124"/>
      <c r="AA226" s="642" t="e">
        <f>DATE(YEAR(tab!$H$3),MONTH(H226),DAY(H226))&gt;tab!$H$3</f>
        <v>#VALUE!</v>
      </c>
      <c r="AB226" s="643" t="e">
        <f t="shared" si="70"/>
        <v>#VALUE!</v>
      </c>
      <c r="AC226" s="244">
        <f t="shared" si="71"/>
        <v>30</v>
      </c>
      <c r="AD226" s="244">
        <f t="shared" si="72"/>
        <v>30</v>
      </c>
      <c r="AE226" s="643">
        <f t="shared" si="73"/>
        <v>0</v>
      </c>
      <c r="AK226" s="552"/>
    </row>
    <row r="227" spans="3:37" ht="12.75" customHeight="1" x14ac:dyDescent="0.2">
      <c r="C227" s="108"/>
      <c r="D227" s="115" t="str">
        <f>IF(op!D160=0,"",op!D160)</f>
        <v/>
      </c>
      <c r="E227" s="115" t="str">
        <f>IF(op!E160=0,"",op!E160)</f>
        <v/>
      </c>
      <c r="F227" s="115" t="str">
        <f>IF(op!F160=0,"",op!F160)</f>
        <v/>
      </c>
      <c r="G227" s="132" t="str">
        <f>IF(op!G160="","",op!G160+1)</f>
        <v/>
      </c>
      <c r="H227" s="508" t="str">
        <f>IF(op!H160="","",op!H160)</f>
        <v/>
      </c>
      <c r="I227" s="132" t="str">
        <f>IF(op!I160=0,"",op!I160)</f>
        <v/>
      </c>
      <c r="J227" s="150" t="str">
        <f>IF(E227="","",(IF(op!J160+1&gt;LOOKUP(I227,schaal2011,regels2011),op!J160,op!J160+1)))</f>
        <v/>
      </c>
      <c r="K227" s="509" t="str">
        <f>IF(op!K160="","",op!K160)</f>
        <v/>
      </c>
      <c r="L227" s="510" t="str">
        <f>IF(op!L160="","",op!L160)</f>
        <v/>
      </c>
      <c r="M227" s="511" t="str">
        <f t="shared" si="64"/>
        <v/>
      </c>
      <c r="N227" s="109"/>
      <c r="O227" s="513" t="str">
        <f>IF(I227="","",VLOOKUP(I227,tab!$A$68:$V$108,J227+2,FALSE))</f>
        <v/>
      </c>
      <c r="P227" s="514" t="str">
        <f t="shared" si="65"/>
        <v/>
      </c>
      <c r="Q227" s="1173">
        <f t="shared" si="74"/>
        <v>0.62</v>
      </c>
      <c r="R227" s="514" t="str">
        <f t="shared" si="66"/>
        <v/>
      </c>
      <c r="S227" s="514">
        <f>IF(L227="",0,(((O227*12)*L227)*(1+tab!$D$55)*tab!$F$57))</f>
        <v>0</v>
      </c>
      <c r="T227" s="1131">
        <f t="shared" si="67"/>
        <v>0</v>
      </c>
      <c r="U227" s="219">
        <f t="shared" si="68"/>
        <v>0</v>
      </c>
      <c r="V227" s="1145">
        <f t="shared" si="69"/>
        <v>0</v>
      </c>
      <c r="W227" s="124"/>
      <c r="AA227" s="642" t="e">
        <f>DATE(YEAR(tab!$H$3),MONTH(H227),DAY(H227))&gt;tab!$H$3</f>
        <v>#VALUE!</v>
      </c>
      <c r="AB227" s="643" t="e">
        <f t="shared" si="70"/>
        <v>#VALUE!</v>
      </c>
      <c r="AC227" s="244">
        <f t="shared" si="71"/>
        <v>30</v>
      </c>
      <c r="AD227" s="244">
        <f t="shared" si="72"/>
        <v>30</v>
      </c>
      <c r="AE227" s="643">
        <f t="shared" si="73"/>
        <v>0</v>
      </c>
      <c r="AK227" s="552"/>
    </row>
    <row r="228" spans="3:37" ht="12.75" customHeight="1" x14ac:dyDescent="0.2">
      <c r="C228" s="108"/>
      <c r="D228" s="115" t="str">
        <f>IF(op!D161=0,"",op!D161)</f>
        <v/>
      </c>
      <c r="E228" s="115" t="str">
        <f>IF(op!E161=0,"",op!E161)</f>
        <v/>
      </c>
      <c r="F228" s="115" t="str">
        <f>IF(op!F161=0,"",op!F161)</f>
        <v/>
      </c>
      <c r="G228" s="132" t="str">
        <f>IF(op!G161="","",op!G161+1)</f>
        <v/>
      </c>
      <c r="H228" s="508" t="str">
        <f>IF(op!H161="","",op!H161)</f>
        <v/>
      </c>
      <c r="I228" s="132" t="str">
        <f>IF(op!I161=0,"",op!I161)</f>
        <v/>
      </c>
      <c r="J228" s="150" t="str">
        <f>IF(E228="","",(IF(op!J161+1&gt;LOOKUP(I228,schaal2011,regels2011),op!J161,op!J161+1)))</f>
        <v/>
      </c>
      <c r="K228" s="509" t="str">
        <f>IF(op!K161="","",op!K161)</f>
        <v/>
      </c>
      <c r="L228" s="510" t="str">
        <f>IF(op!L161="","",op!L161)</f>
        <v/>
      </c>
      <c r="M228" s="511" t="str">
        <f t="shared" si="64"/>
        <v/>
      </c>
      <c r="N228" s="109"/>
      <c r="O228" s="513" t="str">
        <f>IF(I228="","",VLOOKUP(I228,tab!$A$68:$V$108,J228+2,FALSE))</f>
        <v/>
      </c>
      <c r="P228" s="514" t="str">
        <f t="shared" si="65"/>
        <v/>
      </c>
      <c r="Q228" s="1173">
        <f t="shared" si="74"/>
        <v>0.62</v>
      </c>
      <c r="R228" s="514" t="str">
        <f t="shared" si="66"/>
        <v/>
      </c>
      <c r="S228" s="514">
        <f>IF(L228="",0,(((O228*12)*L228)*(1+tab!$D$55)*tab!$F$57))</f>
        <v>0</v>
      </c>
      <c r="T228" s="1131">
        <f t="shared" si="67"/>
        <v>0</v>
      </c>
      <c r="U228" s="219">
        <f t="shared" si="68"/>
        <v>0</v>
      </c>
      <c r="V228" s="1145">
        <f t="shared" si="69"/>
        <v>0</v>
      </c>
      <c r="W228" s="124"/>
      <c r="AA228" s="642" t="e">
        <f>DATE(YEAR(tab!$H$3),MONTH(H228),DAY(H228))&gt;tab!$H$3</f>
        <v>#VALUE!</v>
      </c>
      <c r="AB228" s="643" t="e">
        <f t="shared" si="70"/>
        <v>#VALUE!</v>
      </c>
      <c r="AC228" s="244">
        <f t="shared" si="71"/>
        <v>30</v>
      </c>
      <c r="AD228" s="244">
        <f t="shared" si="72"/>
        <v>30</v>
      </c>
      <c r="AE228" s="643">
        <f t="shared" si="73"/>
        <v>0</v>
      </c>
      <c r="AK228" s="552"/>
    </row>
    <row r="229" spans="3:37" ht="12.75" customHeight="1" x14ac:dyDescent="0.2">
      <c r="C229" s="108"/>
      <c r="D229" s="115" t="str">
        <f>IF(op!D162=0,"",op!D162)</f>
        <v/>
      </c>
      <c r="E229" s="115" t="str">
        <f>IF(op!E162=0,"",op!E162)</f>
        <v/>
      </c>
      <c r="F229" s="115" t="str">
        <f>IF(op!F162=0,"",op!F162)</f>
        <v/>
      </c>
      <c r="G229" s="132" t="str">
        <f>IF(op!G162="","",op!G162+1)</f>
        <v/>
      </c>
      <c r="H229" s="508" t="str">
        <f>IF(op!H162="","",op!H162)</f>
        <v/>
      </c>
      <c r="I229" s="132" t="str">
        <f>IF(op!I162=0,"",op!I162)</f>
        <v/>
      </c>
      <c r="J229" s="150" t="str">
        <f>IF(E229="","",(IF(op!J162+1&gt;LOOKUP(I229,schaal2011,regels2011),op!J162,op!J162+1)))</f>
        <v/>
      </c>
      <c r="K229" s="509" t="str">
        <f>IF(op!K162="","",op!K162)</f>
        <v/>
      </c>
      <c r="L229" s="510" t="str">
        <f>IF(op!L162="","",op!L162)</f>
        <v/>
      </c>
      <c r="M229" s="511" t="str">
        <f t="shared" si="64"/>
        <v/>
      </c>
      <c r="N229" s="109"/>
      <c r="O229" s="513" t="str">
        <f>IF(I229="","",VLOOKUP(I229,tab!$A$68:$V$108,J229+2,FALSE))</f>
        <v/>
      </c>
      <c r="P229" s="514" t="str">
        <f t="shared" si="65"/>
        <v/>
      </c>
      <c r="Q229" s="1173">
        <f t="shared" si="74"/>
        <v>0.62</v>
      </c>
      <c r="R229" s="514" t="str">
        <f t="shared" si="66"/>
        <v/>
      </c>
      <c r="S229" s="514">
        <f>IF(L229="",0,(((O229*12)*L229)*(1+tab!$D$55)*tab!$F$57))</f>
        <v>0</v>
      </c>
      <c r="T229" s="1131">
        <f t="shared" si="67"/>
        <v>0</v>
      </c>
      <c r="U229" s="219">
        <f t="shared" si="68"/>
        <v>0</v>
      </c>
      <c r="V229" s="1145">
        <f t="shared" si="69"/>
        <v>0</v>
      </c>
      <c r="W229" s="124"/>
      <c r="AA229" s="642" t="e">
        <f>DATE(YEAR(tab!$H$3),MONTH(H229),DAY(H229))&gt;tab!$H$3</f>
        <v>#VALUE!</v>
      </c>
      <c r="AB229" s="643" t="e">
        <f t="shared" si="70"/>
        <v>#VALUE!</v>
      </c>
      <c r="AC229" s="244">
        <f t="shared" si="71"/>
        <v>30</v>
      </c>
      <c r="AD229" s="244">
        <f t="shared" si="72"/>
        <v>30</v>
      </c>
      <c r="AE229" s="643">
        <f t="shared" si="73"/>
        <v>0</v>
      </c>
      <c r="AK229" s="552"/>
    </row>
    <row r="230" spans="3:37" ht="12.75" customHeight="1" x14ac:dyDescent="0.2">
      <c r="C230" s="108"/>
      <c r="D230" s="115" t="str">
        <f>IF(op!D163=0,"",op!D163)</f>
        <v/>
      </c>
      <c r="E230" s="115" t="str">
        <f>IF(op!E163=0,"",op!E163)</f>
        <v/>
      </c>
      <c r="F230" s="115" t="str">
        <f>IF(op!F163=0,"",op!F163)</f>
        <v/>
      </c>
      <c r="G230" s="132" t="str">
        <f>IF(op!G163="","",op!G163+1)</f>
        <v/>
      </c>
      <c r="H230" s="508" t="str">
        <f>IF(op!H163="","",op!H163)</f>
        <v/>
      </c>
      <c r="I230" s="132" t="str">
        <f>IF(op!I163=0,"",op!I163)</f>
        <v/>
      </c>
      <c r="J230" s="150" t="str">
        <f>IF(E230="","",(IF(op!J163+1&gt;LOOKUP(I230,schaal2011,regels2011),op!J163,op!J163+1)))</f>
        <v/>
      </c>
      <c r="K230" s="509" t="str">
        <f>IF(op!K163="","",op!K163)</f>
        <v/>
      </c>
      <c r="L230" s="510" t="str">
        <f>IF(op!L163="","",op!L163)</f>
        <v/>
      </c>
      <c r="M230" s="511" t="str">
        <f t="shared" si="64"/>
        <v/>
      </c>
      <c r="N230" s="109"/>
      <c r="O230" s="513" t="str">
        <f>IF(I230="","",VLOOKUP(I230,tab!$A$68:$V$108,J230+2,FALSE))</f>
        <v/>
      </c>
      <c r="P230" s="514" t="str">
        <f t="shared" si="65"/>
        <v/>
      </c>
      <c r="Q230" s="1173">
        <f t="shared" si="74"/>
        <v>0.62</v>
      </c>
      <c r="R230" s="514" t="str">
        <f t="shared" si="66"/>
        <v/>
      </c>
      <c r="S230" s="514">
        <f>IF(L230="",0,(((O230*12)*L230)*(1+tab!$D$55)*tab!$F$57))</f>
        <v>0</v>
      </c>
      <c r="T230" s="1131">
        <f t="shared" si="67"/>
        <v>0</v>
      </c>
      <c r="U230" s="219">
        <f t="shared" si="68"/>
        <v>0</v>
      </c>
      <c r="V230" s="1145">
        <f t="shared" si="69"/>
        <v>0</v>
      </c>
      <c r="W230" s="124"/>
      <c r="AA230" s="642" t="e">
        <f>DATE(YEAR(tab!$H$3),MONTH(H230),DAY(H230))&gt;tab!$H$3</f>
        <v>#VALUE!</v>
      </c>
      <c r="AB230" s="643" t="e">
        <f t="shared" si="70"/>
        <v>#VALUE!</v>
      </c>
      <c r="AC230" s="244">
        <f t="shared" si="71"/>
        <v>30</v>
      </c>
      <c r="AD230" s="244">
        <f t="shared" si="72"/>
        <v>30</v>
      </c>
      <c r="AE230" s="643">
        <f t="shared" si="73"/>
        <v>0</v>
      </c>
      <c r="AK230" s="552"/>
    </row>
    <row r="231" spans="3:37" ht="12.75" customHeight="1" x14ac:dyDescent="0.2">
      <c r="C231" s="108"/>
      <c r="D231" s="115" t="str">
        <f>IF(op!D164=0,"",op!D164)</f>
        <v/>
      </c>
      <c r="E231" s="115" t="str">
        <f>IF(op!E164=0,"",op!E164)</f>
        <v/>
      </c>
      <c r="F231" s="115" t="str">
        <f>IF(op!F164=0,"",op!F164)</f>
        <v/>
      </c>
      <c r="G231" s="132" t="str">
        <f>IF(op!G164="","",op!G164+1)</f>
        <v/>
      </c>
      <c r="H231" s="508" t="str">
        <f>IF(op!H164="","",op!H164)</f>
        <v/>
      </c>
      <c r="I231" s="132" t="str">
        <f>IF(op!I164=0,"",op!I164)</f>
        <v/>
      </c>
      <c r="J231" s="150" t="str">
        <f>IF(E231="","",(IF(op!J164+1&gt;LOOKUP(I231,schaal2011,regels2011),op!J164,op!J164+1)))</f>
        <v/>
      </c>
      <c r="K231" s="509" t="str">
        <f>IF(op!K164="","",op!K164)</f>
        <v/>
      </c>
      <c r="L231" s="510" t="str">
        <f>IF(op!L164="","",op!L164)</f>
        <v/>
      </c>
      <c r="M231" s="511" t="str">
        <f t="shared" si="64"/>
        <v/>
      </c>
      <c r="N231" s="109"/>
      <c r="O231" s="513" t="str">
        <f>IF(I231="","",VLOOKUP(I231,tab!$A$68:$V$108,J231+2,FALSE))</f>
        <v/>
      </c>
      <c r="P231" s="514" t="str">
        <f t="shared" si="65"/>
        <v/>
      </c>
      <c r="Q231" s="1173">
        <f t="shared" si="74"/>
        <v>0.62</v>
      </c>
      <c r="R231" s="514" t="str">
        <f t="shared" si="66"/>
        <v/>
      </c>
      <c r="S231" s="514">
        <f>IF(L231="",0,(((O231*12)*L231)*(1+tab!$D$55)*tab!$F$57))</f>
        <v>0</v>
      </c>
      <c r="T231" s="1131">
        <f t="shared" si="67"/>
        <v>0</v>
      </c>
      <c r="U231" s="219">
        <f t="shared" si="68"/>
        <v>0</v>
      </c>
      <c r="V231" s="1145">
        <f t="shared" si="69"/>
        <v>0</v>
      </c>
      <c r="W231" s="124"/>
      <c r="AA231" s="642" t="e">
        <f>DATE(YEAR(tab!$H$3),MONTH(H231),DAY(H231))&gt;tab!$H$3</f>
        <v>#VALUE!</v>
      </c>
      <c r="AB231" s="643" t="e">
        <f t="shared" si="70"/>
        <v>#VALUE!</v>
      </c>
      <c r="AC231" s="244">
        <f t="shared" si="71"/>
        <v>30</v>
      </c>
      <c r="AD231" s="244">
        <f t="shared" si="72"/>
        <v>30</v>
      </c>
      <c r="AE231" s="643">
        <f t="shared" si="73"/>
        <v>0</v>
      </c>
      <c r="AK231" s="552"/>
    </row>
    <row r="232" spans="3:37" ht="12.75" customHeight="1" x14ac:dyDescent="0.2">
      <c r="C232" s="108"/>
      <c r="D232" s="115" t="str">
        <f>IF(op!D165=0,"",op!D165)</f>
        <v/>
      </c>
      <c r="E232" s="115" t="str">
        <f>IF(op!E165=0,"",op!E165)</f>
        <v/>
      </c>
      <c r="F232" s="115" t="str">
        <f>IF(op!F165=0,"",op!F165)</f>
        <v/>
      </c>
      <c r="G232" s="132" t="str">
        <f>IF(op!G165="","",op!G165+1)</f>
        <v/>
      </c>
      <c r="H232" s="508" t="str">
        <f>IF(op!H165="","",op!H165)</f>
        <v/>
      </c>
      <c r="I232" s="132" t="str">
        <f>IF(op!I165=0,"",op!I165)</f>
        <v/>
      </c>
      <c r="J232" s="150" t="str">
        <f>IF(E232="","",(IF(op!J165+1&gt;LOOKUP(I232,schaal2011,regels2011),op!J165,op!J165+1)))</f>
        <v/>
      </c>
      <c r="K232" s="509" t="str">
        <f>IF(op!K165="","",op!K165)</f>
        <v/>
      </c>
      <c r="L232" s="510" t="str">
        <f>IF(op!L165="","",op!L165)</f>
        <v/>
      </c>
      <c r="M232" s="511" t="str">
        <f t="shared" si="64"/>
        <v/>
      </c>
      <c r="N232" s="109"/>
      <c r="O232" s="513" t="str">
        <f>IF(I232="","",VLOOKUP(I232,tab!$A$68:$V$108,J232+2,FALSE))</f>
        <v/>
      </c>
      <c r="P232" s="514" t="str">
        <f t="shared" si="65"/>
        <v/>
      </c>
      <c r="Q232" s="1173">
        <f t="shared" si="74"/>
        <v>0.62</v>
      </c>
      <c r="R232" s="514" t="str">
        <f t="shared" si="66"/>
        <v/>
      </c>
      <c r="S232" s="514">
        <f>IF(L232="",0,(((O232*12)*L232)*(1+tab!$D$55)*tab!$F$57))</f>
        <v>0</v>
      </c>
      <c r="T232" s="1131">
        <f t="shared" si="67"/>
        <v>0</v>
      </c>
      <c r="U232" s="219">
        <f t="shared" si="68"/>
        <v>0</v>
      </c>
      <c r="V232" s="1145">
        <f t="shared" si="69"/>
        <v>0</v>
      </c>
      <c r="W232" s="124"/>
      <c r="AA232" s="642" t="e">
        <f>DATE(YEAR(tab!$H$3),MONTH(H232),DAY(H232))&gt;tab!$H$3</f>
        <v>#VALUE!</v>
      </c>
      <c r="AB232" s="643" t="e">
        <f t="shared" si="70"/>
        <v>#VALUE!</v>
      </c>
      <c r="AC232" s="244">
        <f t="shared" si="71"/>
        <v>30</v>
      </c>
      <c r="AD232" s="244">
        <f t="shared" si="72"/>
        <v>30</v>
      </c>
      <c r="AE232" s="643">
        <f t="shared" si="73"/>
        <v>0</v>
      </c>
      <c r="AK232" s="552"/>
    </row>
    <row r="233" spans="3:37" ht="12.75" customHeight="1" x14ac:dyDescent="0.2">
      <c r="C233" s="108"/>
      <c r="D233" s="115" t="str">
        <f>IF(op!D166=0,"",op!D166)</f>
        <v/>
      </c>
      <c r="E233" s="115" t="str">
        <f>IF(op!E166=0,"",op!E166)</f>
        <v/>
      </c>
      <c r="F233" s="115" t="str">
        <f>IF(op!F166=0,"",op!F166)</f>
        <v/>
      </c>
      <c r="G233" s="132" t="str">
        <f>IF(op!G166="","",op!G166+1)</f>
        <v/>
      </c>
      <c r="H233" s="508" t="str">
        <f>IF(op!H166="","",op!H166)</f>
        <v/>
      </c>
      <c r="I233" s="132" t="str">
        <f>IF(op!I166=0,"",op!I166)</f>
        <v/>
      </c>
      <c r="J233" s="150" t="str">
        <f>IF(E233="","",(IF(op!J166+1&gt;LOOKUP(I233,schaal2011,regels2011),op!J166,op!J166+1)))</f>
        <v/>
      </c>
      <c r="K233" s="509" t="str">
        <f>IF(op!K166="","",op!K166)</f>
        <v/>
      </c>
      <c r="L233" s="510" t="str">
        <f>IF(op!L166="","",op!L166)</f>
        <v/>
      </c>
      <c r="M233" s="511" t="str">
        <f t="shared" si="64"/>
        <v/>
      </c>
      <c r="N233" s="109"/>
      <c r="O233" s="513" t="str">
        <f>IF(I233="","",VLOOKUP(I233,tab!$A$68:$V$108,J233+2,FALSE))</f>
        <v/>
      </c>
      <c r="P233" s="514" t="str">
        <f t="shared" si="65"/>
        <v/>
      </c>
      <c r="Q233" s="1173">
        <f t="shared" si="74"/>
        <v>0.62</v>
      </c>
      <c r="R233" s="514" t="str">
        <f t="shared" si="66"/>
        <v/>
      </c>
      <c r="S233" s="514">
        <f>IF(L233="",0,(((O233*12)*L233)*(1+tab!$D$55)*tab!$F$57))</f>
        <v>0</v>
      </c>
      <c r="T233" s="1131">
        <f t="shared" si="67"/>
        <v>0</v>
      </c>
      <c r="U233" s="219">
        <f t="shared" si="68"/>
        <v>0</v>
      </c>
      <c r="V233" s="1145">
        <f t="shared" si="69"/>
        <v>0</v>
      </c>
      <c r="W233" s="124"/>
      <c r="AA233" s="642" t="e">
        <f>DATE(YEAR(tab!$H$3),MONTH(H233),DAY(H233))&gt;tab!$H$3</f>
        <v>#VALUE!</v>
      </c>
      <c r="AB233" s="643" t="e">
        <f t="shared" si="70"/>
        <v>#VALUE!</v>
      </c>
      <c r="AC233" s="244">
        <f t="shared" si="71"/>
        <v>30</v>
      </c>
      <c r="AD233" s="244">
        <f t="shared" si="72"/>
        <v>30</v>
      </c>
      <c r="AE233" s="643">
        <f t="shared" si="73"/>
        <v>0</v>
      </c>
      <c r="AK233" s="552"/>
    </row>
    <row r="234" spans="3:37" ht="12.75" customHeight="1" x14ac:dyDescent="0.2">
      <c r="C234" s="108"/>
      <c r="D234" s="115" t="str">
        <f>IF(op!D167=0,"",op!D167)</f>
        <v/>
      </c>
      <c r="E234" s="115" t="str">
        <f>IF(op!E167=0,"",op!E167)</f>
        <v/>
      </c>
      <c r="F234" s="115" t="str">
        <f>IF(op!F167=0,"",op!F167)</f>
        <v/>
      </c>
      <c r="G234" s="132" t="str">
        <f>IF(op!G167="","",op!G167+1)</f>
        <v/>
      </c>
      <c r="H234" s="508" t="str">
        <f>IF(op!H167="","",op!H167)</f>
        <v/>
      </c>
      <c r="I234" s="132" t="str">
        <f>IF(op!I167=0,"",op!I167)</f>
        <v/>
      </c>
      <c r="J234" s="150" t="str">
        <f>IF(E234="","",(IF(op!J167+1&gt;LOOKUP(I234,schaal2011,regels2011),op!J167,op!J167+1)))</f>
        <v/>
      </c>
      <c r="K234" s="509" t="str">
        <f>IF(op!K167="","",op!K167)</f>
        <v/>
      </c>
      <c r="L234" s="510" t="str">
        <f>IF(op!L167="","",op!L167)</f>
        <v/>
      </c>
      <c r="M234" s="511" t="str">
        <f t="shared" si="64"/>
        <v/>
      </c>
      <c r="N234" s="109"/>
      <c r="O234" s="513" t="str">
        <f>IF(I234="","",VLOOKUP(I234,tab!$A$68:$V$108,J234+2,FALSE))</f>
        <v/>
      </c>
      <c r="P234" s="514" t="str">
        <f t="shared" si="65"/>
        <v/>
      </c>
      <c r="Q234" s="1173">
        <f t="shared" si="74"/>
        <v>0.62</v>
      </c>
      <c r="R234" s="514" t="str">
        <f t="shared" si="66"/>
        <v/>
      </c>
      <c r="S234" s="514">
        <f>IF(L234="",0,(((O234*12)*L234)*(1+tab!$D$55)*tab!$F$57))</f>
        <v>0</v>
      </c>
      <c r="T234" s="1131">
        <f t="shared" si="67"/>
        <v>0</v>
      </c>
      <c r="U234" s="219">
        <f t="shared" si="68"/>
        <v>0</v>
      </c>
      <c r="V234" s="1145">
        <f t="shared" si="69"/>
        <v>0</v>
      </c>
      <c r="W234" s="124"/>
      <c r="AA234" s="642" t="e">
        <f>DATE(YEAR(tab!$H$3),MONTH(H234),DAY(H234))&gt;tab!$H$3</f>
        <v>#VALUE!</v>
      </c>
      <c r="AB234" s="643" t="e">
        <f t="shared" si="70"/>
        <v>#VALUE!</v>
      </c>
      <c r="AC234" s="244">
        <f t="shared" si="71"/>
        <v>30</v>
      </c>
      <c r="AD234" s="244">
        <f t="shared" si="72"/>
        <v>30</v>
      </c>
      <c r="AE234" s="643">
        <f t="shared" si="73"/>
        <v>0</v>
      </c>
      <c r="AK234" s="552"/>
    </row>
    <row r="235" spans="3:37" ht="12.75" customHeight="1" x14ac:dyDescent="0.2">
      <c r="C235" s="108"/>
      <c r="D235" s="115" t="str">
        <f>IF(op!D168=0,"",op!D168)</f>
        <v/>
      </c>
      <c r="E235" s="115" t="str">
        <f>IF(op!E168=0,"",op!E168)</f>
        <v/>
      </c>
      <c r="F235" s="115" t="str">
        <f>IF(op!F168=0,"",op!F168)</f>
        <v/>
      </c>
      <c r="G235" s="132" t="str">
        <f>IF(op!G168="","",op!G168+1)</f>
        <v/>
      </c>
      <c r="H235" s="508" t="str">
        <f>IF(op!H168="","",op!H168)</f>
        <v/>
      </c>
      <c r="I235" s="132" t="str">
        <f>IF(op!I168=0,"",op!I168)</f>
        <v/>
      </c>
      <c r="J235" s="150" t="str">
        <f>IF(E235="","",(IF(op!J168+1&gt;LOOKUP(I235,schaal2011,regels2011),op!J168,op!J168+1)))</f>
        <v/>
      </c>
      <c r="K235" s="509" t="str">
        <f>IF(op!K168="","",op!K168)</f>
        <v/>
      </c>
      <c r="L235" s="510" t="str">
        <f>IF(op!L168="","",op!L168)</f>
        <v/>
      </c>
      <c r="M235" s="511" t="str">
        <f t="shared" si="64"/>
        <v/>
      </c>
      <c r="N235" s="109"/>
      <c r="O235" s="513" t="str">
        <f>IF(I235="","",VLOOKUP(I235,tab!$A$68:$V$108,J235+2,FALSE))</f>
        <v/>
      </c>
      <c r="P235" s="514" t="str">
        <f t="shared" si="65"/>
        <v/>
      </c>
      <c r="Q235" s="1173">
        <f t="shared" si="74"/>
        <v>0.62</v>
      </c>
      <c r="R235" s="514" t="str">
        <f t="shared" si="66"/>
        <v/>
      </c>
      <c r="S235" s="514">
        <f>IF(L235="",0,(((O235*12)*L235)*(1+tab!$D$55)*tab!$F$57))</f>
        <v>0</v>
      </c>
      <c r="T235" s="1131">
        <f t="shared" si="67"/>
        <v>0</v>
      </c>
      <c r="U235" s="219">
        <f t="shared" si="68"/>
        <v>0</v>
      </c>
      <c r="V235" s="1145">
        <f t="shared" si="69"/>
        <v>0</v>
      </c>
      <c r="W235" s="124"/>
      <c r="AA235" s="642" t="e">
        <f>DATE(YEAR(tab!$H$3),MONTH(H235),DAY(H235))&gt;tab!$H$3</f>
        <v>#VALUE!</v>
      </c>
      <c r="AB235" s="643" t="e">
        <f t="shared" si="70"/>
        <v>#VALUE!</v>
      </c>
      <c r="AC235" s="244">
        <f t="shared" si="71"/>
        <v>30</v>
      </c>
      <c r="AD235" s="244">
        <f t="shared" si="72"/>
        <v>30</v>
      </c>
      <c r="AE235" s="643">
        <f t="shared" si="73"/>
        <v>0</v>
      </c>
      <c r="AK235" s="552"/>
    </row>
    <row r="236" spans="3:37" ht="12.75" customHeight="1" x14ac:dyDescent="0.2">
      <c r="C236" s="108"/>
      <c r="D236" s="115" t="str">
        <f>IF(op!D169=0,"",op!D169)</f>
        <v/>
      </c>
      <c r="E236" s="115" t="str">
        <f>IF(op!E169=0,"",op!E169)</f>
        <v/>
      </c>
      <c r="F236" s="115" t="str">
        <f>IF(op!F169=0,"",op!F169)</f>
        <v/>
      </c>
      <c r="G236" s="132" t="str">
        <f>IF(op!G169="","",op!G169+1)</f>
        <v/>
      </c>
      <c r="H236" s="508" t="str">
        <f>IF(op!H169="","",op!H169)</f>
        <v/>
      </c>
      <c r="I236" s="132" t="str">
        <f>IF(op!I169=0,"",op!I169)</f>
        <v/>
      </c>
      <c r="J236" s="150" t="str">
        <f>IF(E236="","",(IF(op!J169+1&gt;LOOKUP(I236,schaal2011,regels2011),op!J169,op!J169+1)))</f>
        <v/>
      </c>
      <c r="K236" s="509" t="str">
        <f>IF(op!K169="","",op!K169)</f>
        <v/>
      </c>
      <c r="L236" s="510" t="str">
        <f>IF(op!L169="","",op!L169)</f>
        <v/>
      </c>
      <c r="M236" s="511" t="str">
        <f t="shared" si="64"/>
        <v/>
      </c>
      <c r="N236" s="109"/>
      <c r="O236" s="513" t="str">
        <f>IF(I236="","",VLOOKUP(I236,tab!$A$68:$V$108,J236+2,FALSE))</f>
        <v/>
      </c>
      <c r="P236" s="514" t="str">
        <f t="shared" si="65"/>
        <v/>
      </c>
      <c r="Q236" s="1173">
        <f t="shared" si="74"/>
        <v>0.62</v>
      </c>
      <c r="R236" s="514" t="str">
        <f t="shared" si="66"/>
        <v/>
      </c>
      <c r="S236" s="514">
        <f>IF(L236="",0,(((O236*12)*L236)*(1+tab!$D$55)*tab!$F$57))</f>
        <v>0</v>
      </c>
      <c r="T236" s="1131">
        <f t="shared" si="67"/>
        <v>0</v>
      </c>
      <c r="U236" s="219">
        <f t="shared" si="68"/>
        <v>0</v>
      </c>
      <c r="V236" s="1145">
        <f t="shared" si="69"/>
        <v>0</v>
      </c>
      <c r="W236" s="124"/>
      <c r="AA236" s="642" t="e">
        <f>DATE(YEAR(tab!$H$3),MONTH(H236),DAY(H236))&gt;tab!$H$3</f>
        <v>#VALUE!</v>
      </c>
      <c r="AB236" s="643" t="e">
        <f t="shared" si="70"/>
        <v>#VALUE!</v>
      </c>
      <c r="AC236" s="244">
        <f t="shared" si="71"/>
        <v>30</v>
      </c>
      <c r="AD236" s="244">
        <f t="shared" si="72"/>
        <v>30</v>
      </c>
      <c r="AE236" s="643">
        <f t="shared" si="73"/>
        <v>0</v>
      </c>
      <c r="AK236" s="552"/>
    </row>
    <row r="237" spans="3:37" ht="12.75" customHeight="1" x14ac:dyDescent="0.2">
      <c r="C237" s="108"/>
      <c r="D237" s="115" t="str">
        <f>IF(op!D170=0,"",op!D170)</f>
        <v/>
      </c>
      <c r="E237" s="115" t="str">
        <f>IF(op!E170=0,"",op!E170)</f>
        <v/>
      </c>
      <c r="F237" s="115" t="str">
        <f>IF(op!F170=0,"",op!F170)</f>
        <v/>
      </c>
      <c r="G237" s="132" t="str">
        <f>IF(op!G170="","",op!G170+1)</f>
        <v/>
      </c>
      <c r="H237" s="508" t="str">
        <f>IF(op!H170="","",op!H170)</f>
        <v/>
      </c>
      <c r="I237" s="132" t="str">
        <f>IF(op!I170=0,"",op!I170)</f>
        <v/>
      </c>
      <c r="J237" s="150" t="str">
        <f>IF(E237="","",(IF(op!J170+1&gt;LOOKUP(I237,schaal2011,regels2011),op!J170,op!J170+1)))</f>
        <v/>
      </c>
      <c r="K237" s="509" t="str">
        <f>IF(op!K170="","",op!K170)</f>
        <v/>
      </c>
      <c r="L237" s="510" t="str">
        <f>IF(op!L170="","",op!L170)</f>
        <v/>
      </c>
      <c r="M237" s="511" t="str">
        <f t="shared" si="64"/>
        <v/>
      </c>
      <c r="N237" s="109"/>
      <c r="O237" s="513" t="str">
        <f>IF(I237="","",VLOOKUP(I237,tab!$A$68:$V$108,J237+2,FALSE))</f>
        <v/>
      </c>
      <c r="P237" s="514" t="str">
        <f t="shared" si="65"/>
        <v/>
      </c>
      <c r="Q237" s="1173">
        <f t="shared" si="74"/>
        <v>0.62</v>
      </c>
      <c r="R237" s="514" t="str">
        <f t="shared" si="66"/>
        <v/>
      </c>
      <c r="S237" s="514">
        <f>IF(L237="",0,(((O237*12)*L237)*(1+tab!$D$55)*tab!$F$57))</f>
        <v>0</v>
      </c>
      <c r="T237" s="1131">
        <f t="shared" si="67"/>
        <v>0</v>
      </c>
      <c r="U237" s="219">
        <f t="shared" si="68"/>
        <v>0</v>
      </c>
      <c r="V237" s="1145">
        <f t="shared" si="69"/>
        <v>0</v>
      </c>
      <c r="W237" s="124"/>
      <c r="AA237" s="642" t="e">
        <f>DATE(YEAR(tab!$H$3),MONTH(H237),DAY(H237))&gt;tab!$H$3</f>
        <v>#VALUE!</v>
      </c>
      <c r="AB237" s="643" t="e">
        <f t="shared" si="70"/>
        <v>#VALUE!</v>
      </c>
      <c r="AC237" s="244">
        <f t="shared" si="71"/>
        <v>30</v>
      </c>
      <c r="AD237" s="244">
        <f t="shared" si="72"/>
        <v>30</v>
      </c>
      <c r="AE237" s="643">
        <f t="shared" si="73"/>
        <v>0</v>
      </c>
      <c r="AK237" s="552"/>
    </row>
    <row r="238" spans="3:37" ht="12.75" customHeight="1" x14ac:dyDescent="0.2">
      <c r="C238" s="108"/>
      <c r="D238" s="115" t="str">
        <f>IF(op!D171=0,"",op!D171)</f>
        <v/>
      </c>
      <c r="E238" s="115" t="str">
        <f>IF(op!E171=0,"",op!E171)</f>
        <v/>
      </c>
      <c r="F238" s="115" t="str">
        <f>IF(op!F171=0,"",op!F171)</f>
        <v/>
      </c>
      <c r="G238" s="132" t="str">
        <f>IF(op!G171="","",op!G171+1)</f>
        <v/>
      </c>
      <c r="H238" s="508" t="str">
        <f>IF(op!H171="","",op!H171)</f>
        <v/>
      </c>
      <c r="I238" s="132" t="str">
        <f>IF(op!I171=0,"",op!I171)</f>
        <v/>
      </c>
      <c r="J238" s="150" t="str">
        <f>IF(E238="","",(IF(op!J171+1&gt;LOOKUP(I238,schaal2011,regels2011),op!J171,op!J171+1)))</f>
        <v/>
      </c>
      <c r="K238" s="509" t="str">
        <f>IF(op!K171="","",op!K171)</f>
        <v/>
      </c>
      <c r="L238" s="510" t="str">
        <f>IF(op!L171="","",op!L171)</f>
        <v/>
      </c>
      <c r="M238" s="511" t="str">
        <f t="shared" si="64"/>
        <v/>
      </c>
      <c r="N238" s="109"/>
      <c r="O238" s="513" t="str">
        <f>IF(I238="","",VLOOKUP(I238,tab!$A$68:$V$108,J238+2,FALSE))</f>
        <v/>
      </c>
      <c r="P238" s="514" t="str">
        <f t="shared" si="65"/>
        <v/>
      </c>
      <c r="Q238" s="1173">
        <f t="shared" si="74"/>
        <v>0.62</v>
      </c>
      <c r="R238" s="514" t="str">
        <f t="shared" si="66"/>
        <v/>
      </c>
      <c r="S238" s="514">
        <f>IF(L238="",0,(((O238*12)*L238)*(1+tab!$D$55)*tab!$F$57))</f>
        <v>0</v>
      </c>
      <c r="T238" s="1131">
        <f t="shared" si="67"/>
        <v>0</v>
      </c>
      <c r="U238" s="219">
        <f t="shared" si="68"/>
        <v>0</v>
      </c>
      <c r="V238" s="1145">
        <f t="shared" si="69"/>
        <v>0</v>
      </c>
      <c r="W238" s="124"/>
      <c r="AA238" s="642" t="e">
        <f>DATE(YEAR(tab!$H$3),MONTH(H238),DAY(H238))&gt;tab!$H$3</f>
        <v>#VALUE!</v>
      </c>
      <c r="AB238" s="643" t="e">
        <f t="shared" si="70"/>
        <v>#VALUE!</v>
      </c>
      <c r="AC238" s="244">
        <f t="shared" si="71"/>
        <v>30</v>
      </c>
      <c r="AD238" s="244">
        <f t="shared" si="72"/>
        <v>30</v>
      </c>
      <c r="AE238" s="643">
        <f t="shared" si="73"/>
        <v>0</v>
      </c>
      <c r="AK238" s="552"/>
    </row>
    <row r="239" spans="3:37" ht="12.75" customHeight="1" x14ac:dyDescent="0.2">
      <c r="C239" s="108"/>
      <c r="D239" s="115" t="str">
        <f>IF(op!D172=0,"",op!D172)</f>
        <v/>
      </c>
      <c r="E239" s="115" t="str">
        <f>IF(op!E172=0,"",op!E172)</f>
        <v/>
      </c>
      <c r="F239" s="115" t="str">
        <f>IF(op!F172=0,"",op!F172)</f>
        <v/>
      </c>
      <c r="G239" s="132" t="str">
        <f>IF(op!G172="","",op!G172+1)</f>
        <v/>
      </c>
      <c r="H239" s="508" t="str">
        <f>IF(op!H172="","",op!H172)</f>
        <v/>
      </c>
      <c r="I239" s="132" t="str">
        <f>IF(op!I172=0,"",op!I172)</f>
        <v/>
      </c>
      <c r="J239" s="150" t="str">
        <f>IF(E239="","",(IF(op!J172+1&gt;LOOKUP(I239,schaal2011,regels2011),op!J172,op!J172+1)))</f>
        <v/>
      </c>
      <c r="K239" s="509" t="str">
        <f>IF(op!K172="","",op!K172)</f>
        <v/>
      </c>
      <c r="L239" s="510" t="str">
        <f>IF(op!L172="","",op!L172)</f>
        <v/>
      </c>
      <c r="M239" s="511" t="str">
        <f t="shared" si="64"/>
        <v/>
      </c>
      <c r="N239" s="109"/>
      <c r="O239" s="513" t="str">
        <f>IF(I239="","",VLOOKUP(I239,tab!$A$68:$V$108,J239+2,FALSE))</f>
        <v/>
      </c>
      <c r="P239" s="514" t="str">
        <f t="shared" si="65"/>
        <v/>
      </c>
      <c r="Q239" s="1173">
        <f t="shared" si="74"/>
        <v>0.62</v>
      </c>
      <c r="R239" s="514" t="str">
        <f t="shared" si="66"/>
        <v/>
      </c>
      <c r="S239" s="514">
        <f>IF(L239="",0,(((O239*12)*L239)*(1+tab!$D$55)*tab!$F$57))</f>
        <v>0</v>
      </c>
      <c r="T239" s="1131">
        <f t="shared" si="67"/>
        <v>0</v>
      </c>
      <c r="U239" s="219">
        <f t="shared" si="68"/>
        <v>0</v>
      </c>
      <c r="V239" s="1145">
        <f t="shared" si="69"/>
        <v>0</v>
      </c>
      <c r="W239" s="124"/>
      <c r="AA239" s="642" t="e">
        <f>DATE(YEAR(tab!$H$3),MONTH(H239),DAY(H239))&gt;tab!$H$3</f>
        <v>#VALUE!</v>
      </c>
      <c r="AB239" s="643" t="e">
        <f t="shared" si="70"/>
        <v>#VALUE!</v>
      </c>
      <c r="AC239" s="244">
        <f t="shared" si="71"/>
        <v>30</v>
      </c>
      <c r="AD239" s="244">
        <f t="shared" si="72"/>
        <v>30</v>
      </c>
      <c r="AE239" s="643">
        <f t="shared" si="73"/>
        <v>0</v>
      </c>
      <c r="AK239" s="552"/>
    </row>
    <row r="240" spans="3:37" ht="12.75" customHeight="1" x14ac:dyDescent="0.2">
      <c r="C240" s="108"/>
      <c r="D240" s="115" t="str">
        <f>IF(op!D173=0,"",op!D173)</f>
        <v/>
      </c>
      <c r="E240" s="115" t="str">
        <f>IF(op!E173=0,"",op!E173)</f>
        <v/>
      </c>
      <c r="F240" s="115" t="str">
        <f>IF(op!F173=0,"",op!F173)</f>
        <v/>
      </c>
      <c r="G240" s="132" t="str">
        <f>IF(op!G173="","",op!G173+1)</f>
        <v/>
      </c>
      <c r="H240" s="508" t="str">
        <f>IF(op!H173="","",op!H173)</f>
        <v/>
      </c>
      <c r="I240" s="132" t="str">
        <f>IF(op!I173=0,"",op!I173)</f>
        <v/>
      </c>
      <c r="J240" s="150" t="str">
        <f>IF(E240="","",(IF(op!J173+1&gt;LOOKUP(I240,schaal2011,regels2011),op!J173,op!J173+1)))</f>
        <v/>
      </c>
      <c r="K240" s="509" t="str">
        <f>IF(op!K173="","",op!K173)</f>
        <v/>
      </c>
      <c r="L240" s="510" t="str">
        <f>IF(op!L173="","",op!L173)</f>
        <v/>
      </c>
      <c r="M240" s="511" t="str">
        <f t="shared" si="64"/>
        <v/>
      </c>
      <c r="N240" s="109"/>
      <c r="O240" s="513" t="str">
        <f>IF(I240="","",VLOOKUP(I240,tab!$A$68:$V$108,J240+2,FALSE))</f>
        <v/>
      </c>
      <c r="P240" s="514" t="str">
        <f t="shared" si="65"/>
        <v/>
      </c>
      <c r="Q240" s="1173">
        <f t="shared" si="74"/>
        <v>0.62</v>
      </c>
      <c r="R240" s="514" t="str">
        <f t="shared" si="66"/>
        <v/>
      </c>
      <c r="S240" s="514">
        <f>IF(L240="",0,(((O240*12)*L240)*(1+tab!$D$55)*tab!$F$57))</f>
        <v>0</v>
      </c>
      <c r="T240" s="1131">
        <f t="shared" si="67"/>
        <v>0</v>
      </c>
      <c r="U240" s="219">
        <f t="shared" si="68"/>
        <v>0</v>
      </c>
      <c r="V240" s="1145">
        <f t="shared" si="69"/>
        <v>0</v>
      </c>
      <c r="W240" s="124"/>
      <c r="AA240" s="642" t="e">
        <f>DATE(YEAR(tab!$H$3),MONTH(H240),DAY(H240))&gt;tab!$H$3</f>
        <v>#VALUE!</v>
      </c>
      <c r="AB240" s="643" t="e">
        <f t="shared" si="70"/>
        <v>#VALUE!</v>
      </c>
      <c r="AC240" s="244">
        <f t="shared" si="71"/>
        <v>30</v>
      </c>
      <c r="AD240" s="244">
        <f t="shared" si="72"/>
        <v>30</v>
      </c>
      <c r="AE240" s="643">
        <f t="shared" si="73"/>
        <v>0</v>
      </c>
      <c r="AK240" s="552"/>
    </row>
    <row r="241" spans="3:37" ht="12.75" customHeight="1" x14ac:dyDescent="0.2">
      <c r="C241" s="108"/>
      <c r="D241" s="115" t="str">
        <f>IF(op!D174=0,"",op!D174)</f>
        <v/>
      </c>
      <c r="E241" s="115" t="str">
        <f>IF(op!E174=0,"",op!E174)</f>
        <v/>
      </c>
      <c r="F241" s="115" t="str">
        <f>IF(op!F174=0,"",op!F174)</f>
        <v/>
      </c>
      <c r="G241" s="132" t="str">
        <f>IF(op!G174="","",op!G174+1)</f>
        <v/>
      </c>
      <c r="H241" s="508" t="str">
        <f>IF(op!H174="","",op!H174)</f>
        <v/>
      </c>
      <c r="I241" s="132" t="str">
        <f>IF(op!I174=0,"",op!I174)</f>
        <v/>
      </c>
      <c r="J241" s="150" t="str">
        <f>IF(E241="","",(IF(op!J174+1&gt;LOOKUP(I241,schaal2011,regels2011),op!J174,op!J174+1)))</f>
        <v/>
      </c>
      <c r="K241" s="509" t="str">
        <f>IF(op!K174="","",op!K174)</f>
        <v/>
      </c>
      <c r="L241" s="510" t="str">
        <f>IF(op!L174="","",op!L174)</f>
        <v/>
      </c>
      <c r="M241" s="511" t="str">
        <f t="shared" si="64"/>
        <v/>
      </c>
      <c r="N241" s="109"/>
      <c r="O241" s="513" t="str">
        <f>IF(I241="","",VLOOKUP(I241,tab!$A$68:$V$108,J241+2,FALSE))</f>
        <v/>
      </c>
      <c r="P241" s="514" t="str">
        <f t="shared" si="65"/>
        <v/>
      </c>
      <c r="Q241" s="1173">
        <f t="shared" si="74"/>
        <v>0.62</v>
      </c>
      <c r="R241" s="514" t="str">
        <f t="shared" si="66"/>
        <v/>
      </c>
      <c r="S241" s="514">
        <f>IF(L241="",0,(((O241*12)*L241)*(1+tab!$D$55)*tab!$F$57))</f>
        <v>0</v>
      </c>
      <c r="T241" s="1131">
        <f t="shared" si="67"/>
        <v>0</v>
      </c>
      <c r="U241" s="219">
        <f t="shared" si="68"/>
        <v>0</v>
      </c>
      <c r="V241" s="1145">
        <f t="shared" si="69"/>
        <v>0</v>
      </c>
      <c r="W241" s="124"/>
      <c r="AA241" s="642" t="e">
        <f>DATE(YEAR(tab!$H$3),MONTH(H241),DAY(H241))&gt;tab!$H$3</f>
        <v>#VALUE!</v>
      </c>
      <c r="AB241" s="643" t="e">
        <f t="shared" si="70"/>
        <v>#VALUE!</v>
      </c>
      <c r="AC241" s="244">
        <f t="shared" si="71"/>
        <v>30</v>
      </c>
      <c r="AD241" s="244">
        <f t="shared" si="72"/>
        <v>30</v>
      </c>
      <c r="AE241" s="643">
        <f t="shared" si="73"/>
        <v>0</v>
      </c>
      <c r="AK241" s="552"/>
    </row>
    <row r="242" spans="3:37" ht="12.75" customHeight="1" x14ac:dyDescent="0.2">
      <c r="C242" s="108"/>
      <c r="D242" s="115" t="str">
        <f>IF(op!D175=0,"",op!D175)</f>
        <v/>
      </c>
      <c r="E242" s="115" t="str">
        <f>IF(op!E175=0,"",op!E175)</f>
        <v/>
      </c>
      <c r="F242" s="115" t="str">
        <f>IF(op!F175=0,"",op!F175)</f>
        <v/>
      </c>
      <c r="G242" s="132" t="str">
        <f>IF(op!G175="","",op!G175+1)</f>
        <v/>
      </c>
      <c r="H242" s="508" t="str">
        <f>IF(op!H175="","",op!H175)</f>
        <v/>
      </c>
      <c r="I242" s="132" t="str">
        <f>IF(op!I175=0,"",op!I175)</f>
        <v/>
      </c>
      <c r="J242" s="150" t="str">
        <f>IF(E242="","",(IF(op!J175+1&gt;LOOKUP(I242,schaal2011,regels2011),op!J175,op!J175+1)))</f>
        <v/>
      </c>
      <c r="K242" s="509" t="str">
        <f>IF(op!K175="","",op!K175)</f>
        <v/>
      </c>
      <c r="L242" s="510" t="str">
        <f>IF(op!L175="","",op!L175)</f>
        <v/>
      </c>
      <c r="M242" s="511" t="str">
        <f t="shared" si="64"/>
        <v/>
      </c>
      <c r="N242" s="109"/>
      <c r="O242" s="513" t="str">
        <f>IF(I242="","",VLOOKUP(I242,tab!$A$68:$V$108,J242+2,FALSE))</f>
        <v/>
      </c>
      <c r="P242" s="514" t="str">
        <f t="shared" si="65"/>
        <v/>
      </c>
      <c r="Q242" s="1173">
        <f t="shared" si="74"/>
        <v>0.62</v>
      </c>
      <c r="R242" s="514" t="str">
        <f t="shared" si="66"/>
        <v/>
      </c>
      <c r="S242" s="514">
        <f>IF(L242="",0,(((O242*12)*L242)*(1+tab!$D$55)*tab!$F$57))</f>
        <v>0</v>
      </c>
      <c r="T242" s="1131">
        <f t="shared" si="67"/>
        <v>0</v>
      </c>
      <c r="U242" s="219">
        <f t="shared" si="68"/>
        <v>0</v>
      </c>
      <c r="V242" s="1145">
        <f t="shared" si="69"/>
        <v>0</v>
      </c>
      <c r="W242" s="124"/>
      <c r="AA242" s="642" t="e">
        <f>DATE(YEAR(tab!$H$3),MONTH(H242),DAY(H242))&gt;tab!$H$3</f>
        <v>#VALUE!</v>
      </c>
      <c r="AB242" s="643" t="e">
        <f t="shared" si="70"/>
        <v>#VALUE!</v>
      </c>
      <c r="AC242" s="244">
        <f t="shared" si="71"/>
        <v>30</v>
      </c>
      <c r="AD242" s="244">
        <f t="shared" si="72"/>
        <v>30</v>
      </c>
      <c r="AE242" s="643">
        <f t="shared" si="73"/>
        <v>0</v>
      </c>
      <c r="AK242" s="552"/>
    </row>
    <row r="243" spans="3:37" ht="12.75" customHeight="1" x14ac:dyDescent="0.2">
      <c r="C243" s="108"/>
      <c r="D243" s="115" t="str">
        <f>IF(op!D176=0,"",op!D176)</f>
        <v/>
      </c>
      <c r="E243" s="115" t="str">
        <f>IF(op!E176=0,"",op!E176)</f>
        <v/>
      </c>
      <c r="F243" s="115" t="str">
        <f>IF(op!F176=0,"",op!F176)</f>
        <v/>
      </c>
      <c r="G243" s="132" t="str">
        <f>IF(op!G176="","",op!G176+1)</f>
        <v/>
      </c>
      <c r="H243" s="508" t="str">
        <f>IF(op!H176="","",op!H176)</f>
        <v/>
      </c>
      <c r="I243" s="132" t="str">
        <f>IF(op!I176=0,"",op!I176)</f>
        <v/>
      </c>
      <c r="J243" s="150" t="str">
        <f>IF(E243="","",(IF(op!J176+1&gt;LOOKUP(I243,schaal2011,regels2011),op!J176,op!J176+1)))</f>
        <v/>
      </c>
      <c r="K243" s="509" t="str">
        <f>IF(op!K176="","",op!K176)</f>
        <v/>
      </c>
      <c r="L243" s="510" t="str">
        <f>IF(op!L176="","",op!L176)</f>
        <v/>
      </c>
      <c r="M243" s="511" t="str">
        <f t="shared" si="64"/>
        <v/>
      </c>
      <c r="N243" s="109"/>
      <c r="O243" s="513" t="str">
        <f>IF(I243="","",VLOOKUP(I243,tab!$A$68:$V$108,J243+2,FALSE))</f>
        <v/>
      </c>
      <c r="P243" s="514" t="str">
        <f t="shared" si="65"/>
        <v/>
      </c>
      <c r="Q243" s="1173">
        <f t="shared" si="74"/>
        <v>0.62</v>
      </c>
      <c r="R243" s="514" t="str">
        <f t="shared" si="66"/>
        <v/>
      </c>
      <c r="S243" s="514">
        <f>IF(L243="",0,(((O243*12)*L243)*(1+tab!$D$55)*tab!$F$57))</f>
        <v>0</v>
      </c>
      <c r="T243" s="1131">
        <f t="shared" si="67"/>
        <v>0</v>
      </c>
      <c r="U243" s="219">
        <f t="shared" si="68"/>
        <v>0</v>
      </c>
      <c r="V243" s="1145">
        <f t="shared" si="69"/>
        <v>0</v>
      </c>
      <c r="W243" s="124"/>
      <c r="AA243" s="642" t="e">
        <f>DATE(YEAR(tab!$H$3),MONTH(H243),DAY(H243))&gt;tab!$H$3</f>
        <v>#VALUE!</v>
      </c>
      <c r="AB243" s="643" t="e">
        <f t="shared" si="70"/>
        <v>#VALUE!</v>
      </c>
      <c r="AC243" s="244">
        <f t="shared" si="71"/>
        <v>30</v>
      </c>
      <c r="AD243" s="244">
        <f t="shared" si="72"/>
        <v>30</v>
      </c>
      <c r="AE243" s="643">
        <f t="shared" si="73"/>
        <v>0</v>
      </c>
      <c r="AK243" s="552"/>
    </row>
    <row r="244" spans="3:37" ht="12.75" customHeight="1" x14ac:dyDescent="0.2">
      <c r="C244" s="108"/>
      <c r="D244" s="115" t="str">
        <f>IF(op!D177=0,"",op!D177)</f>
        <v/>
      </c>
      <c r="E244" s="115" t="str">
        <f>IF(op!E177=0,"",op!E177)</f>
        <v/>
      </c>
      <c r="F244" s="115" t="str">
        <f>IF(op!F177=0,"",op!F177)</f>
        <v/>
      </c>
      <c r="G244" s="132" t="str">
        <f>IF(op!G177="","",op!G177+1)</f>
        <v/>
      </c>
      <c r="H244" s="508" t="str">
        <f>IF(op!H177="","",op!H177)</f>
        <v/>
      </c>
      <c r="I244" s="132" t="str">
        <f>IF(op!I177=0,"",op!I177)</f>
        <v/>
      </c>
      <c r="J244" s="150" t="str">
        <f>IF(E244="","",(IF(op!J177+1&gt;LOOKUP(I244,schaal2011,regels2011),op!J177,op!J177+1)))</f>
        <v/>
      </c>
      <c r="K244" s="509" t="str">
        <f>IF(op!K177="","",op!K177)</f>
        <v/>
      </c>
      <c r="L244" s="510" t="str">
        <f>IF(op!L177="","",op!L177)</f>
        <v/>
      </c>
      <c r="M244" s="511" t="str">
        <f t="shared" si="64"/>
        <v/>
      </c>
      <c r="N244" s="109"/>
      <c r="O244" s="513" t="str">
        <f>IF(I244="","",VLOOKUP(I244,tab!$A$68:$V$108,J244+2,FALSE))</f>
        <v/>
      </c>
      <c r="P244" s="514" t="str">
        <f t="shared" si="65"/>
        <v/>
      </c>
      <c r="Q244" s="1173">
        <f t="shared" si="74"/>
        <v>0.62</v>
      </c>
      <c r="R244" s="514" t="str">
        <f t="shared" si="66"/>
        <v/>
      </c>
      <c r="S244" s="514">
        <f>IF(L244="",0,(((O244*12)*L244)*(1+tab!$D$55)*tab!$F$57))</f>
        <v>0</v>
      </c>
      <c r="T244" s="1131">
        <f t="shared" si="67"/>
        <v>0</v>
      </c>
      <c r="U244" s="219">
        <f t="shared" si="68"/>
        <v>0</v>
      </c>
      <c r="V244" s="1145">
        <f t="shared" si="69"/>
        <v>0</v>
      </c>
      <c r="W244" s="124"/>
      <c r="AA244" s="642" t="e">
        <f>DATE(YEAR(tab!$H$3),MONTH(H244),DAY(H244))&gt;tab!$H$3</f>
        <v>#VALUE!</v>
      </c>
      <c r="AB244" s="643" t="e">
        <f t="shared" si="70"/>
        <v>#VALUE!</v>
      </c>
      <c r="AC244" s="244">
        <f t="shared" si="71"/>
        <v>30</v>
      </c>
      <c r="AD244" s="244">
        <f t="shared" si="72"/>
        <v>30</v>
      </c>
      <c r="AE244" s="643">
        <f t="shared" si="73"/>
        <v>0</v>
      </c>
      <c r="AK244" s="552"/>
    </row>
    <row r="245" spans="3:37" ht="12.75" customHeight="1" x14ac:dyDescent="0.2">
      <c r="C245" s="108"/>
      <c r="D245" s="115" t="str">
        <f>IF(op!D178=0,"",op!D178)</f>
        <v/>
      </c>
      <c r="E245" s="115" t="str">
        <f>IF(op!E178=0,"",op!E178)</f>
        <v/>
      </c>
      <c r="F245" s="115" t="str">
        <f>IF(op!F178=0,"",op!F178)</f>
        <v/>
      </c>
      <c r="G245" s="132" t="str">
        <f>IF(op!G178="","",op!G178+1)</f>
        <v/>
      </c>
      <c r="H245" s="508" t="str">
        <f>IF(op!H178="","",op!H178)</f>
        <v/>
      </c>
      <c r="I245" s="132" t="str">
        <f>IF(op!I178=0,"",op!I178)</f>
        <v/>
      </c>
      <c r="J245" s="150" t="str">
        <f>IF(E245="","",(IF(op!J178+1&gt;LOOKUP(I245,schaal2011,regels2011),op!J178,op!J178+1)))</f>
        <v/>
      </c>
      <c r="K245" s="509" t="str">
        <f>IF(op!K178="","",op!K178)</f>
        <v/>
      </c>
      <c r="L245" s="510" t="str">
        <f>IF(op!L178="","",op!L178)</f>
        <v/>
      </c>
      <c r="M245" s="511" t="str">
        <f t="shared" si="64"/>
        <v/>
      </c>
      <c r="N245" s="109"/>
      <c r="O245" s="513" t="str">
        <f>IF(I245="","",VLOOKUP(I245,tab!$A$68:$V$108,J245+2,FALSE))</f>
        <v/>
      </c>
      <c r="P245" s="514" t="str">
        <f t="shared" si="65"/>
        <v/>
      </c>
      <c r="Q245" s="1173">
        <f t="shared" si="74"/>
        <v>0.62</v>
      </c>
      <c r="R245" s="514" t="str">
        <f t="shared" si="66"/>
        <v/>
      </c>
      <c r="S245" s="514">
        <f>IF(L245="",0,(((O245*12)*L245)*(1+tab!$D$55)*tab!$F$57))</f>
        <v>0</v>
      </c>
      <c r="T245" s="1131">
        <f t="shared" si="67"/>
        <v>0</v>
      </c>
      <c r="U245" s="219">
        <f t="shared" si="68"/>
        <v>0</v>
      </c>
      <c r="V245" s="1145">
        <f t="shared" si="69"/>
        <v>0</v>
      </c>
      <c r="W245" s="124"/>
      <c r="AA245" s="642" t="e">
        <f>DATE(YEAR(tab!$H$3),MONTH(H245),DAY(H245))&gt;tab!$H$3</f>
        <v>#VALUE!</v>
      </c>
      <c r="AB245" s="643" t="e">
        <f t="shared" si="70"/>
        <v>#VALUE!</v>
      </c>
      <c r="AC245" s="244">
        <f t="shared" si="71"/>
        <v>30</v>
      </c>
      <c r="AD245" s="244">
        <f t="shared" si="72"/>
        <v>30</v>
      </c>
      <c r="AE245" s="643">
        <f t="shared" si="73"/>
        <v>0</v>
      </c>
      <c r="AK245" s="552"/>
    </row>
    <row r="246" spans="3:37" ht="12.75" customHeight="1" x14ac:dyDescent="0.2">
      <c r="C246" s="108"/>
      <c r="D246" s="115" t="str">
        <f>IF(op!D179=0,"",op!D179)</f>
        <v/>
      </c>
      <c r="E246" s="115" t="str">
        <f>IF(op!E179=0,"",op!E179)</f>
        <v/>
      </c>
      <c r="F246" s="115" t="str">
        <f>IF(op!F179=0,"",op!F179)</f>
        <v/>
      </c>
      <c r="G246" s="132" t="str">
        <f>IF(op!G179="","",op!G179+1)</f>
        <v/>
      </c>
      <c r="H246" s="508" t="str">
        <f>IF(op!H179="","",op!H179)</f>
        <v/>
      </c>
      <c r="I246" s="132" t="str">
        <f>IF(op!I179=0,"",op!I179)</f>
        <v/>
      </c>
      <c r="J246" s="150" t="str">
        <f>IF(E246="","",(IF(op!J179+1&gt;LOOKUP(I246,schaal2011,regels2011),op!J179,op!J179+1)))</f>
        <v/>
      </c>
      <c r="K246" s="509" t="str">
        <f>IF(op!K179="","",op!K179)</f>
        <v/>
      </c>
      <c r="L246" s="510" t="str">
        <f>IF(op!L179="","",op!L179)</f>
        <v/>
      </c>
      <c r="M246" s="511" t="str">
        <f t="shared" si="64"/>
        <v/>
      </c>
      <c r="N246" s="109"/>
      <c r="O246" s="513" t="str">
        <f>IF(I246="","",VLOOKUP(I246,tab!$A$68:$V$108,J246+2,FALSE))</f>
        <v/>
      </c>
      <c r="P246" s="514" t="str">
        <f t="shared" si="65"/>
        <v/>
      </c>
      <c r="Q246" s="1173">
        <f t="shared" si="74"/>
        <v>0.62</v>
      </c>
      <c r="R246" s="514" t="str">
        <f t="shared" si="66"/>
        <v/>
      </c>
      <c r="S246" s="514">
        <f>IF(L246="",0,(((O246*12)*L246)*(1+tab!$D$55)*tab!$F$57))</f>
        <v>0</v>
      </c>
      <c r="T246" s="1131">
        <f t="shared" si="67"/>
        <v>0</v>
      </c>
      <c r="U246" s="219">
        <f t="shared" si="68"/>
        <v>0</v>
      </c>
      <c r="V246" s="1145">
        <f t="shared" si="69"/>
        <v>0</v>
      </c>
      <c r="W246" s="124"/>
      <c r="AA246" s="642" t="e">
        <f>DATE(YEAR(tab!$H$3),MONTH(H246),DAY(H246))&gt;tab!$H$3</f>
        <v>#VALUE!</v>
      </c>
      <c r="AB246" s="643" t="e">
        <f t="shared" si="70"/>
        <v>#VALUE!</v>
      </c>
      <c r="AC246" s="244">
        <f t="shared" si="71"/>
        <v>30</v>
      </c>
      <c r="AD246" s="244">
        <f t="shared" si="72"/>
        <v>30</v>
      </c>
      <c r="AE246" s="643">
        <f t="shared" si="73"/>
        <v>0</v>
      </c>
      <c r="AK246" s="552"/>
    </row>
    <row r="247" spans="3:37" ht="12.75" customHeight="1" x14ac:dyDescent="0.2">
      <c r="C247" s="108"/>
      <c r="D247" s="115" t="str">
        <f>IF(op!D180=0,"",op!D180)</f>
        <v/>
      </c>
      <c r="E247" s="115" t="str">
        <f>IF(op!E180=0,"",op!E180)</f>
        <v/>
      </c>
      <c r="F247" s="115" t="str">
        <f>IF(op!F180=0,"",op!F180)</f>
        <v/>
      </c>
      <c r="G247" s="132" t="str">
        <f>IF(op!G180="","",op!G180+1)</f>
        <v/>
      </c>
      <c r="H247" s="508" t="str">
        <f>IF(op!H180="","",op!H180)</f>
        <v/>
      </c>
      <c r="I247" s="132" t="str">
        <f>IF(op!I180=0,"",op!I180)</f>
        <v/>
      </c>
      <c r="J247" s="150" t="str">
        <f>IF(E247="","",(IF(op!J180+1&gt;LOOKUP(I247,schaal2011,regels2011),op!J180,op!J180+1)))</f>
        <v/>
      </c>
      <c r="K247" s="509" t="str">
        <f>IF(op!K180="","",op!K180)</f>
        <v/>
      </c>
      <c r="L247" s="510" t="str">
        <f>IF(op!L180="","",op!L180)</f>
        <v/>
      </c>
      <c r="M247" s="511" t="str">
        <f t="shared" si="64"/>
        <v/>
      </c>
      <c r="N247" s="109"/>
      <c r="O247" s="513" t="str">
        <f>IF(I247="","",VLOOKUP(I247,tab!$A$68:$V$108,J247+2,FALSE))</f>
        <v/>
      </c>
      <c r="P247" s="514" t="str">
        <f t="shared" si="65"/>
        <v/>
      </c>
      <c r="Q247" s="1173">
        <f t="shared" si="74"/>
        <v>0.62</v>
      </c>
      <c r="R247" s="514" t="str">
        <f t="shared" si="66"/>
        <v/>
      </c>
      <c r="S247" s="514">
        <f>IF(L247="",0,(((O247*12)*L247)*(1+tab!$D$55)*tab!$F$57))</f>
        <v>0</v>
      </c>
      <c r="T247" s="1131">
        <f t="shared" si="67"/>
        <v>0</v>
      </c>
      <c r="U247" s="219">
        <f t="shared" si="68"/>
        <v>0</v>
      </c>
      <c r="V247" s="1145">
        <f t="shared" si="69"/>
        <v>0</v>
      </c>
      <c r="W247" s="124"/>
      <c r="AA247" s="642" t="e">
        <f>DATE(YEAR(tab!$H$3),MONTH(H247),DAY(H247))&gt;tab!$H$3</f>
        <v>#VALUE!</v>
      </c>
      <c r="AB247" s="643" t="e">
        <f t="shared" si="70"/>
        <v>#VALUE!</v>
      </c>
      <c r="AC247" s="244">
        <f t="shared" si="71"/>
        <v>30</v>
      </c>
      <c r="AD247" s="244">
        <f t="shared" si="72"/>
        <v>30</v>
      </c>
      <c r="AE247" s="643">
        <f t="shared" si="73"/>
        <v>0</v>
      </c>
      <c r="AK247" s="552"/>
    </row>
    <row r="248" spans="3:37" ht="12.75" customHeight="1" x14ac:dyDescent="0.2">
      <c r="C248" s="108"/>
      <c r="D248" s="115" t="str">
        <f>IF(op!D181=0,"",op!D181)</f>
        <v/>
      </c>
      <c r="E248" s="115" t="str">
        <f>IF(op!E181=0,"",op!E181)</f>
        <v/>
      </c>
      <c r="F248" s="115" t="str">
        <f>IF(op!F181=0,"",op!F181)</f>
        <v/>
      </c>
      <c r="G248" s="132" t="str">
        <f>IF(op!G181="","",op!G181+1)</f>
        <v/>
      </c>
      <c r="H248" s="508" t="str">
        <f>IF(op!H181="","",op!H181)</f>
        <v/>
      </c>
      <c r="I248" s="132" t="str">
        <f>IF(op!I181=0,"",op!I181)</f>
        <v/>
      </c>
      <c r="J248" s="150" t="str">
        <f>IF(E248="","",(IF(op!J181+1&gt;LOOKUP(I248,schaal2011,regels2011),op!J181,op!J181+1)))</f>
        <v/>
      </c>
      <c r="K248" s="509" t="str">
        <f>IF(op!K181="","",op!K181)</f>
        <v/>
      </c>
      <c r="L248" s="510" t="str">
        <f>IF(op!L181="","",op!L181)</f>
        <v/>
      </c>
      <c r="M248" s="511" t="str">
        <f t="shared" si="64"/>
        <v/>
      </c>
      <c r="N248" s="109"/>
      <c r="O248" s="513" t="str">
        <f>IF(I248="","",VLOOKUP(I248,tab!$A$68:$V$108,J248+2,FALSE))</f>
        <v/>
      </c>
      <c r="P248" s="514" t="str">
        <f t="shared" si="65"/>
        <v/>
      </c>
      <c r="Q248" s="1173">
        <f t="shared" si="74"/>
        <v>0.62</v>
      </c>
      <c r="R248" s="514" t="str">
        <f t="shared" si="66"/>
        <v/>
      </c>
      <c r="S248" s="514">
        <f>IF(L248="",0,(((O248*12)*L248)*(1+tab!$D$55)*tab!$F$57))</f>
        <v>0</v>
      </c>
      <c r="T248" s="1131">
        <f t="shared" si="67"/>
        <v>0</v>
      </c>
      <c r="U248" s="219">
        <f t="shared" si="68"/>
        <v>0</v>
      </c>
      <c r="V248" s="1145">
        <f t="shared" si="69"/>
        <v>0</v>
      </c>
      <c r="W248" s="124"/>
      <c r="AA248" s="642" t="e">
        <f>DATE(YEAR(tab!$H$3),MONTH(H248),DAY(H248))&gt;tab!$H$3</f>
        <v>#VALUE!</v>
      </c>
      <c r="AB248" s="643" t="e">
        <f t="shared" si="70"/>
        <v>#VALUE!</v>
      </c>
      <c r="AC248" s="244">
        <f t="shared" si="71"/>
        <v>30</v>
      </c>
      <c r="AD248" s="244">
        <f t="shared" si="72"/>
        <v>30</v>
      </c>
      <c r="AE248" s="643">
        <f t="shared" si="73"/>
        <v>0</v>
      </c>
      <c r="AK248" s="552"/>
    </row>
    <row r="249" spans="3:37" ht="12.75" customHeight="1" x14ac:dyDescent="0.2">
      <c r="C249" s="108"/>
      <c r="D249" s="115" t="str">
        <f>IF(op!D182=0,"",op!D182)</f>
        <v/>
      </c>
      <c r="E249" s="115" t="str">
        <f>IF(op!E182=0,"",op!E182)</f>
        <v/>
      </c>
      <c r="F249" s="115" t="str">
        <f>IF(op!F182=0,"",op!F182)</f>
        <v/>
      </c>
      <c r="G249" s="132" t="str">
        <f>IF(op!G182="","",op!G182+1)</f>
        <v/>
      </c>
      <c r="H249" s="508" t="str">
        <f>IF(op!H182="","",op!H182)</f>
        <v/>
      </c>
      <c r="I249" s="132" t="str">
        <f>IF(op!I182=0,"",op!I182)</f>
        <v/>
      </c>
      <c r="J249" s="150" t="str">
        <f>IF(E249="","",(IF(op!J182+1&gt;LOOKUP(I249,schaal2011,regels2011),op!J182,op!J182+1)))</f>
        <v/>
      </c>
      <c r="K249" s="509" t="str">
        <f>IF(op!K182="","",op!K182)</f>
        <v/>
      </c>
      <c r="L249" s="510" t="str">
        <f>IF(op!L182="","",op!L182)</f>
        <v/>
      </c>
      <c r="M249" s="511" t="str">
        <f t="shared" si="64"/>
        <v/>
      </c>
      <c r="N249" s="109"/>
      <c r="O249" s="513" t="str">
        <f>IF(I249="","",VLOOKUP(I249,tab!$A$68:$V$108,J249+2,FALSE))</f>
        <v/>
      </c>
      <c r="P249" s="514" t="str">
        <f t="shared" si="65"/>
        <v/>
      </c>
      <c r="Q249" s="1173">
        <f t="shared" si="74"/>
        <v>0.62</v>
      </c>
      <c r="R249" s="514" t="str">
        <f t="shared" si="66"/>
        <v/>
      </c>
      <c r="S249" s="514">
        <f>IF(L249="",0,(((O249*12)*L249)*(1+tab!$D$55)*tab!$F$57))</f>
        <v>0</v>
      </c>
      <c r="T249" s="1131">
        <f t="shared" si="67"/>
        <v>0</v>
      </c>
      <c r="U249" s="219">
        <f t="shared" si="68"/>
        <v>0</v>
      </c>
      <c r="V249" s="1145">
        <f t="shared" si="69"/>
        <v>0</v>
      </c>
      <c r="W249" s="124"/>
      <c r="AA249" s="642" t="e">
        <f>DATE(YEAR(tab!$H$3),MONTH(H249),DAY(H249))&gt;tab!$H$3</f>
        <v>#VALUE!</v>
      </c>
      <c r="AB249" s="643" t="e">
        <f t="shared" si="70"/>
        <v>#VALUE!</v>
      </c>
      <c r="AC249" s="244">
        <f t="shared" si="71"/>
        <v>30</v>
      </c>
      <c r="AD249" s="244">
        <f t="shared" si="72"/>
        <v>30</v>
      </c>
      <c r="AE249" s="643">
        <f t="shared" si="73"/>
        <v>0</v>
      </c>
      <c r="AK249" s="552"/>
    </row>
    <row r="250" spans="3:37" ht="12.75" customHeight="1" x14ac:dyDescent="0.2">
      <c r="C250" s="108"/>
      <c r="D250" s="115" t="str">
        <f>IF(op!D183=0,"",op!D183)</f>
        <v/>
      </c>
      <c r="E250" s="115" t="str">
        <f>IF(op!E183=0,"",op!E183)</f>
        <v/>
      </c>
      <c r="F250" s="115" t="str">
        <f>IF(op!F183=0,"",op!F183)</f>
        <v/>
      </c>
      <c r="G250" s="132" t="str">
        <f>IF(op!G183="","",op!G183+1)</f>
        <v/>
      </c>
      <c r="H250" s="508" t="str">
        <f>IF(op!H183="","",op!H183)</f>
        <v/>
      </c>
      <c r="I250" s="132" t="str">
        <f>IF(op!I183=0,"",op!I183)</f>
        <v/>
      </c>
      <c r="J250" s="150" t="str">
        <f>IF(E250="","",(IF(op!J183+1&gt;LOOKUP(I250,schaal2011,regels2011),op!J183,op!J183+1)))</f>
        <v/>
      </c>
      <c r="K250" s="509" t="str">
        <f>IF(op!K183="","",op!K183)</f>
        <v/>
      </c>
      <c r="L250" s="510" t="str">
        <f>IF(op!L183="","",op!L183)</f>
        <v/>
      </c>
      <c r="M250" s="511" t="str">
        <f t="shared" si="64"/>
        <v/>
      </c>
      <c r="N250" s="109"/>
      <c r="O250" s="513" t="str">
        <f>IF(I250="","",VLOOKUP(I250,tab!$A$68:$V$108,J250+2,FALSE))</f>
        <v/>
      </c>
      <c r="P250" s="514" t="str">
        <f t="shared" si="65"/>
        <v/>
      </c>
      <c r="Q250" s="1173">
        <f t="shared" si="74"/>
        <v>0.62</v>
      </c>
      <c r="R250" s="514" t="str">
        <f t="shared" si="66"/>
        <v/>
      </c>
      <c r="S250" s="514">
        <f>IF(L250="",0,(((O250*12)*L250)*(1+tab!$D$55)*tab!$F$57))</f>
        <v>0</v>
      </c>
      <c r="T250" s="1131">
        <f t="shared" si="67"/>
        <v>0</v>
      </c>
      <c r="U250" s="219">
        <f t="shared" si="68"/>
        <v>0</v>
      </c>
      <c r="V250" s="1145">
        <f t="shared" si="69"/>
        <v>0</v>
      </c>
      <c r="W250" s="124"/>
      <c r="AA250" s="642" t="e">
        <f>DATE(YEAR(tab!$H$3),MONTH(H250),DAY(H250))&gt;tab!$H$3</f>
        <v>#VALUE!</v>
      </c>
      <c r="AB250" s="643" t="e">
        <f t="shared" si="70"/>
        <v>#VALUE!</v>
      </c>
      <c r="AC250" s="244">
        <f t="shared" si="71"/>
        <v>30</v>
      </c>
      <c r="AD250" s="244">
        <f t="shared" si="72"/>
        <v>30</v>
      </c>
      <c r="AE250" s="643">
        <f t="shared" si="73"/>
        <v>0</v>
      </c>
      <c r="AK250" s="552"/>
    </row>
    <row r="251" spans="3:37" ht="12.75" customHeight="1" x14ac:dyDescent="0.2">
      <c r="C251" s="108"/>
      <c r="D251" s="115" t="str">
        <f>IF(op!D184=0,"",op!D184)</f>
        <v/>
      </c>
      <c r="E251" s="115" t="str">
        <f>IF(op!E184=0,"",op!E184)</f>
        <v/>
      </c>
      <c r="F251" s="115" t="str">
        <f>IF(op!F184=0,"",op!F184)</f>
        <v/>
      </c>
      <c r="G251" s="132" t="str">
        <f>IF(op!G184="","",op!G184+1)</f>
        <v/>
      </c>
      <c r="H251" s="508" t="str">
        <f>IF(op!H184="","",op!H184)</f>
        <v/>
      </c>
      <c r="I251" s="132" t="str">
        <f>IF(op!I184=0,"",op!I184)</f>
        <v/>
      </c>
      <c r="J251" s="150" t="str">
        <f>IF(E251="","",(IF(op!J184+1&gt;LOOKUP(I251,schaal2011,regels2011),op!J184,op!J184+1)))</f>
        <v/>
      </c>
      <c r="K251" s="509" t="str">
        <f>IF(op!K184="","",op!K184)</f>
        <v/>
      </c>
      <c r="L251" s="510" t="str">
        <f>IF(op!L184="","",op!L184)</f>
        <v/>
      </c>
      <c r="M251" s="511" t="str">
        <f t="shared" ref="M251:M273" si="75">(IF(L251="",(K251),(K251)-L251))</f>
        <v/>
      </c>
      <c r="N251" s="109"/>
      <c r="O251" s="513" t="str">
        <f>IF(I251="","",VLOOKUP(I251,tab!$A$68:$V$108,J251+2,FALSE))</f>
        <v/>
      </c>
      <c r="P251" s="514" t="str">
        <f t="shared" ref="P251:P273" si="76">IF(E251="","",(O251*M251*12))</f>
        <v/>
      </c>
      <c r="Q251" s="1173">
        <f t="shared" si="74"/>
        <v>0.62</v>
      </c>
      <c r="R251" s="514" t="str">
        <f t="shared" ref="R251:R273" si="77">IF(E251="","",(P251)*Q251)</f>
        <v/>
      </c>
      <c r="S251" s="514">
        <f>IF(L251="",0,(((O251*12)*L251)*(1+tab!$D$55)*tab!$F$57))</f>
        <v>0</v>
      </c>
      <c r="T251" s="1131">
        <f t="shared" ref="T251:T273" si="78">IF(E251="",0,(P251+R251+S251))</f>
        <v>0</v>
      </c>
      <c r="U251" s="219">
        <f t="shared" ref="U251:U273" si="79">IF(G251&lt;25,0,IF(G251=25,25,IF(G251&lt;40,0,IF(G251=40,40,IF(G251&gt;=40,0)))))</f>
        <v>0</v>
      </c>
      <c r="V251" s="1145">
        <f t="shared" ref="V251:V273" si="80">IF(U251=25,(O251*1.08*(K251)/2),IF(U251=40,(O251*1.08*(K251)),IF(U251=0,0)))</f>
        <v>0</v>
      </c>
      <c r="W251" s="124"/>
      <c r="AA251" s="642" t="e">
        <f>DATE(YEAR(tab!$H$3),MONTH(H251),DAY(H251))&gt;tab!$H$3</f>
        <v>#VALUE!</v>
      </c>
      <c r="AB251" s="643" t="e">
        <f t="shared" ref="AB251:AB273" si="81">YEAR($E$212)-YEAR(H251)-AA251</f>
        <v>#VALUE!</v>
      </c>
      <c r="AC251" s="244">
        <f t="shared" ref="AC251:AC273" si="82">IF((H251=""),30,AB251)</f>
        <v>30</v>
      </c>
      <c r="AD251" s="244">
        <f t="shared" ref="AD251:AD273" si="83">IF((AC251)&gt;50,50,(AC251))</f>
        <v>30</v>
      </c>
      <c r="AE251" s="643">
        <f t="shared" ref="AE251:AE273" si="84">ROUND((AD251*(SUM(K251:K251))),2)</f>
        <v>0</v>
      </c>
      <c r="AK251" s="552"/>
    </row>
    <row r="252" spans="3:37" ht="12.75" customHeight="1" x14ac:dyDescent="0.2">
      <c r="C252" s="108"/>
      <c r="D252" s="115" t="str">
        <f>IF(op!D185=0,"",op!D185)</f>
        <v/>
      </c>
      <c r="E252" s="115" t="str">
        <f>IF(op!E185=0,"",op!E185)</f>
        <v/>
      </c>
      <c r="F252" s="115" t="str">
        <f>IF(op!F185=0,"",op!F185)</f>
        <v/>
      </c>
      <c r="G252" s="132" t="str">
        <f>IF(op!G185="","",op!G185+1)</f>
        <v/>
      </c>
      <c r="H252" s="508" t="str">
        <f>IF(op!H185="","",op!H185)</f>
        <v/>
      </c>
      <c r="I252" s="132" t="str">
        <f>IF(op!I185=0,"",op!I185)</f>
        <v/>
      </c>
      <c r="J252" s="150" t="str">
        <f>IF(E252="","",(IF(op!J185+1&gt;LOOKUP(I252,schaal2011,regels2011),op!J185,op!J185+1)))</f>
        <v/>
      </c>
      <c r="K252" s="509" t="str">
        <f>IF(op!K185="","",op!K185)</f>
        <v/>
      </c>
      <c r="L252" s="510" t="str">
        <f>IF(op!L185="","",op!L185)</f>
        <v/>
      </c>
      <c r="M252" s="511" t="str">
        <f t="shared" si="75"/>
        <v/>
      </c>
      <c r="N252" s="109"/>
      <c r="O252" s="513" t="str">
        <f>IF(I252="","",VLOOKUP(I252,tab!$A$68:$V$108,J252+2,FALSE))</f>
        <v/>
      </c>
      <c r="P252" s="514" t="str">
        <f t="shared" si="76"/>
        <v/>
      </c>
      <c r="Q252" s="1173">
        <f t="shared" si="74"/>
        <v>0.62</v>
      </c>
      <c r="R252" s="514" t="str">
        <f t="shared" si="77"/>
        <v/>
      </c>
      <c r="S252" s="514">
        <f>IF(L252="",0,(((O252*12)*L252)*(1+tab!$D$55)*tab!$F$57))</f>
        <v>0</v>
      </c>
      <c r="T252" s="1131">
        <f t="shared" si="78"/>
        <v>0</v>
      </c>
      <c r="U252" s="219">
        <f t="shared" si="79"/>
        <v>0</v>
      </c>
      <c r="V252" s="1145">
        <f t="shared" si="80"/>
        <v>0</v>
      </c>
      <c r="W252" s="124"/>
      <c r="AA252" s="642" t="e">
        <f>DATE(YEAR(tab!$H$3),MONTH(H252),DAY(H252))&gt;tab!$H$3</f>
        <v>#VALUE!</v>
      </c>
      <c r="AB252" s="643" t="e">
        <f t="shared" si="81"/>
        <v>#VALUE!</v>
      </c>
      <c r="AC252" s="244">
        <f t="shared" si="82"/>
        <v>30</v>
      </c>
      <c r="AD252" s="244">
        <f t="shared" si="83"/>
        <v>30</v>
      </c>
      <c r="AE252" s="643">
        <f t="shared" si="84"/>
        <v>0</v>
      </c>
      <c r="AK252" s="552"/>
    </row>
    <row r="253" spans="3:37" ht="12.75" customHeight="1" x14ac:dyDescent="0.2">
      <c r="C253" s="108"/>
      <c r="D253" s="115" t="str">
        <f>IF(op!D186=0,"",op!D186)</f>
        <v/>
      </c>
      <c r="E253" s="115" t="str">
        <f>IF(op!E186=0,"",op!E186)</f>
        <v/>
      </c>
      <c r="F253" s="115" t="str">
        <f>IF(op!F186=0,"",op!F186)</f>
        <v/>
      </c>
      <c r="G253" s="132" t="str">
        <f>IF(op!G186="","",op!G186+1)</f>
        <v/>
      </c>
      <c r="H253" s="508" t="str">
        <f>IF(op!H186="","",op!H186)</f>
        <v/>
      </c>
      <c r="I253" s="132" t="str">
        <f>IF(op!I186=0,"",op!I186)</f>
        <v/>
      </c>
      <c r="J253" s="150" t="str">
        <f>IF(E253="","",(IF(op!J186+1&gt;LOOKUP(I253,schaal2011,regels2011),op!J186,op!J186+1)))</f>
        <v/>
      </c>
      <c r="K253" s="509" t="str">
        <f>IF(op!K186="","",op!K186)</f>
        <v/>
      </c>
      <c r="L253" s="510" t="str">
        <f>IF(op!L186="","",op!L186)</f>
        <v/>
      </c>
      <c r="M253" s="511" t="str">
        <f t="shared" si="75"/>
        <v/>
      </c>
      <c r="N253" s="109"/>
      <c r="O253" s="513" t="str">
        <f>IF(I253="","",VLOOKUP(I253,tab!$A$68:$V$108,J253+2,FALSE))</f>
        <v/>
      </c>
      <c r="P253" s="514" t="str">
        <f t="shared" si="76"/>
        <v/>
      </c>
      <c r="Q253" s="1173">
        <f t="shared" si="74"/>
        <v>0.62</v>
      </c>
      <c r="R253" s="514" t="str">
        <f t="shared" si="77"/>
        <v/>
      </c>
      <c r="S253" s="514">
        <f>IF(L253="",0,(((O253*12)*L253)*(1+tab!$D$55)*tab!$F$57))</f>
        <v>0</v>
      </c>
      <c r="T253" s="1131">
        <f t="shared" si="78"/>
        <v>0</v>
      </c>
      <c r="U253" s="219">
        <f t="shared" si="79"/>
        <v>0</v>
      </c>
      <c r="V253" s="1145">
        <f t="shared" si="80"/>
        <v>0</v>
      </c>
      <c r="W253" s="124"/>
      <c r="AA253" s="642" t="e">
        <f>DATE(YEAR(tab!$H$3),MONTH(H253),DAY(H253))&gt;tab!$H$3</f>
        <v>#VALUE!</v>
      </c>
      <c r="AB253" s="643" t="e">
        <f t="shared" si="81"/>
        <v>#VALUE!</v>
      </c>
      <c r="AC253" s="244">
        <f t="shared" si="82"/>
        <v>30</v>
      </c>
      <c r="AD253" s="244">
        <f t="shared" si="83"/>
        <v>30</v>
      </c>
      <c r="AE253" s="643">
        <f t="shared" si="84"/>
        <v>0</v>
      </c>
      <c r="AK253" s="552"/>
    </row>
    <row r="254" spans="3:37" ht="12.75" customHeight="1" x14ac:dyDescent="0.2">
      <c r="C254" s="108"/>
      <c r="D254" s="115" t="str">
        <f>IF(op!D187=0,"",op!D187)</f>
        <v/>
      </c>
      <c r="E254" s="115" t="str">
        <f>IF(op!E187=0,"",op!E187)</f>
        <v/>
      </c>
      <c r="F254" s="115" t="str">
        <f>IF(op!F187=0,"",op!F187)</f>
        <v/>
      </c>
      <c r="G254" s="132" t="str">
        <f>IF(op!G187="","",op!G187+1)</f>
        <v/>
      </c>
      <c r="H254" s="508" t="str">
        <f>IF(op!H187="","",op!H187)</f>
        <v/>
      </c>
      <c r="I254" s="132" t="str">
        <f>IF(op!I187=0,"",op!I187)</f>
        <v/>
      </c>
      <c r="J254" s="150" t="str">
        <f>IF(E254="","",(IF(op!J187+1&gt;LOOKUP(I254,schaal2011,regels2011),op!J187,op!J187+1)))</f>
        <v/>
      </c>
      <c r="K254" s="509" t="str">
        <f>IF(op!K187="","",op!K187)</f>
        <v/>
      </c>
      <c r="L254" s="510" t="str">
        <f>IF(op!L187="","",op!L187)</f>
        <v/>
      </c>
      <c r="M254" s="511" t="str">
        <f t="shared" si="75"/>
        <v/>
      </c>
      <c r="N254" s="109"/>
      <c r="O254" s="513" t="str">
        <f>IF(I254="","",VLOOKUP(I254,tab!$A$68:$V$108,J254+2,FALSE))</f>
        <v/>
      </c>
      <c r="P254" s="514" t="str">
        <f t="shared" si="76"/>
        <v/>
      </c>
      <c r="Q254" s="1173">
        <f t="shared" si="74"/>
        <v>0.62</v>
      </c>
      <c r="R254" s="514" t="str">
        <f t="shared" si="77"/>
        <v/>
      </c>
      <c r="S254" s="514">
        <f>IF(L254="",0,(((O254*12)*L254)*(1+tab!$D$55)*tab!$F$57))</f>
        <v>0</v>
      </c>
      <c r="T254" s="1131">
        <f t="shared" si="78"/>
        <v>0</v>
      </c>
      <c r="U254" s="219">
        <f t="shared" si="79"/>
        <v>0</v>
      </c>
      <c r="V254" s="1145">
        <f t="shared" si="80"/>
        <v>0</v>
      </c>
      <c r="W254" s="124"/>
      <c r="AA254" s="642" t="e">
        <f>DATE(YEAR(tab!$H$3),MONTH(H254),DAY(H254))&gt;tab!$H$3</f>
        <v>#VALUE!</v>
      </c>
      <c r="AB254" s="643" t="e">
        <f t="shared" si="81"/>
        <v>#VALUE!</v>
      </c>
      <c r="AC254" s="244">
        <f t="shared" si="82"/>
        <v>30</v>
      </c>
      <c r="AD254" s="244">
        <f t="shared" si="83"/>
        <v>30</v>
      </c>
      <c r="AE254" s="643">
        <f t="shared" si="84"/>
        <v>0</v>
      </c>
      <c r="AK254" s="552"/>
    </row>
    <row r="255" spans="3:37" ht="12.75" customHeight="1" x14ac:dyDescent="0.2">
      <c r="C255" s="108"/>
      <c r="D255" s="115" t="str">
        <f>IF(op!D188=0,"",op!D188)</f>
        <v/>
      </c>
      <c r="E255" s="115" t="str">
        <f>IF(op!E188=0,"",op!E188)</f>
        <v/>
      </c>
      <c r="F255" s="115" t="str">
        <f>IF(op!F188=0,"",op!F188)</f>
        <v/>
      </c>
      <c r="G255" s="132" t="str">
        <f>IF(op!G188="","",op!G188+1)</f>
        <v/>
      </c>
      <c r="H255" s="508" t="str">
        <f>IF(op!H188="","",op!H188)</f>
        <v/>
      </c>
      <c r="I255" s="132" t="str">
        <f>IF(op!I188=0,"",op!I188)</f>
        <v/>
      </c>
      <c r="J255" s="150" t="str">
        <f>IF(E255="","",(IF(op!J188+1&gt;LOOKUP(I255,schaal2011,regels2011),op!J188,op!J188+1)))</f>
        <v/>
      </c>
      <c r="K255" s="509" t="str">
        <f>IF(op!K188="","",op!K188)</f>
        <v/>
      </c>
      <c r="L255" s="510" t="str">
        <f>IF(op!L188="","",op!L188)</f>
        <v/>
      </c>
      <c r="M255" s="511" t="str">
        <f t="shared" si="75"/>
        <v/>
      </c>
      <c r="N255" s="109"/>
      <c r="O255" s="513" t="str">
        <f>IF(I255="","",VLOOKUP(I255,tab!$A$68:$V$108,J255+2,FALSE))</f>
        <v/>
      </c>
      <c r="P255" s="514" t="str">
        <f t="shared" si="76"/>
        <v/>
      </c>
      <c r="Q255" s="1173">
        <f t="shared" si="74"/>
        <v>0.62</v>
      </c>
      <c r="R255" s="514" t="str">
        <f t="shared" si="77"/>
        <v/>
      </c>
      <c r="S255" s="514">
        <f>IF(L255="",0,(((O255*12)*L255)*(1+tab!$D$55)*tab!$F$57))</f>
        <v>0</v>
      </c>
      <c r="T255" s="1131">
        <f t="shared" si="78"/>
        <v>0</v>
      </c>
      <c r="U255" s="219">
        <f t="shared" si="79"/>
        <v>0</v>
      </c>
      <c r="V255" s="1145">
        <f t="shared" si="80"/>
        <v>0</v>
      </c>
      <c r="W255" s="124"/>
      <c r="AA255" s="642" t="e">
        <f>DATE(YEAR(tab!$H$3),MONTH(H255),DAY(H255))&gt;tab!$H$3</f>
        <v>#VALUE!</v>
      </c>
      <c r="AB255" s="643" t="e">
        <f t="shared" si="81"/>
        <v>#VALUE!</v>
      </c>
      <c r="AC255" s="244">
        <f t="shared" si="82"/>
        <v>30</v>
      </c>
      <c r="AD255" s="244">
        <f t="shared" si="83"/>
        <v>30</v>
      </c>
      <c r="AE255" s="643">
        <f t="shared" si="84"/>
        <v>0</v>
      </c>
      <c r="AK255" s="552"/>
    </row>
    <row r="256" spans="3:37" ht="12.75" customHeight="1" x14ac:dyDescent="0.2">
      <c r="C256" s="108"/>
      <c r="D256" s="115" t="str">
        <f>IF(op!D189=0,"",op!D189)</f>
        <v/>
      </c>
      <c r="E256" s="115" t="str">
        <f>IF(op!E189=0,"",op!E189)</f>
        <v/>
      </c>
      <c r="F256" s="115" t="str">
        <f>IF(op!F189=0,"",op!F189)</f>
        <v/>
      </c>
      <c r="G256" s="132" t="str">
        <f>IF(op!G189="","",op!G189+1)</f>
        <v/>
      </c>
      <c r="H256" s="508" t="str">
        <f>IF(op!H189="","",op!H189)</f>
        <v/>
      </c>
      <c r="I256" s="132" t="str">
        <f>IF(op!I189=0,"",op!I189)</f>
        <v/>
      </c>
      <c r="J256" s="150" t="str">
        <f>IF(E256="","",(IF(op!J189+1&gt;LOOKUP(I256,schaal2011,regels2011),op!J189,op!J189+1)))</f>
        <v/>
      </c>
      <c r="K256" s="509" t="str">
        <f>IF(op!K189="","",op!K189)</f>
        <v/>
      </c>
      <c r="L256" s="510" t="str">
        <f>IF(op!L189="","",op!L189)</f>
        <v/>
      </c>
      <c r="M256" s="511" t="str">
        <f t="shared" si="75"/>
        <v/>
      </c>
      <c r="N256" s="109"/>
      <c r="O256" s="513" t="str">
        <f>IF(I256="","",VLOOKUP(I256,tab!$A$68:$V$108,J256+2,FALSE))</f>
        <v/>
      </c>
      <c r="P256" s="514" t="str">
        <f t="shared" si="76"/>
        <v/>
      </c>
      <c r="Q256" s="1173">
        <f t="shared" si="74"/>
        <v>0.62</v>
      </c>
      <c r="R256" s="514" t="str">
        <f t="shared" si="77"/>
        <v/>
      </c>
      <c r="S256" s="514">
        <f>IF(L256="",0,(((O256*12)*L256)*(1+tab!$D$55)*tab!$F$57))</f>
        <v>0</v>
      </c>
      <c r="T256" s="1131">
        <f t="shared" si="78"/>
        <v>0</v>
      </c>
      <c r="U256" s="219">
        <f t="shared" si="79"/>
        <v>0</v>
      </c>
      <c r="V256" s="1145">
        <f t="shared" si="80"/>
        <v>0</v>
      </c>
      <c r="W256" s="124"/>
      <c r="AA256" s="642" t="e">
        <f>DATE(YEAR(tab!$H$3),MONTH(H256),DAY(H256))&gt;tab!$H$3</f>
        <v>#VALUE!</v>
      </c>
      <c r="AB256" s="643" t="e">
        <f t="shared" si="81"/>
        <v>#VALUE!</v>
      </c>
      <c r="AC256" s="244">
        <f t="shared" si="82"/>
        <v>30</v>
      </c>
      <c r="AD256" s="244">
        <f t="shared" si="83"/>
        <v>30</v>
      </c>
      <c r="AE256" s="643">
        <f t="shared" si="84"/>
        <v>0</v>
      </c>
      <c r="AK256" s="552"/>
    </row>
    <row r="257" spans="3:37" ht="12.75" customHeight="1" x14ac:dyDescent="0.2">
      <c r="C257" s="108"/>
      <c r="D257" s="115" t="str">
        <f>IF(op!D190=0,"",op!D190)</f>
        <v/>
      </c>
      <c r="E257" s="115" t="str">
        <f>IF(op!E190=0,"",op!E190)</f>
        <v/>
      </c>
      <c r="F257" s="115" t="str">
        <f>IF(op!F190=0,"",op!F190)</f>
        <v/>
      </c>
      <c r="G257" s="132" t="str">
        <f>IF(op!G190="","",op!G190+1)</f>
        <v/>
      </c>
      <c r="H257" s="508" t="str">
        <f>IF(op!H190="","",op!H190)</f>
        <v/>
      </c>
      <c r="I257" s="132" t="str">
        <f>IF(op!I190=0,"",op!I190)</f>
        <v/>
      </c>
      <c r="J257" s="150" t="str">
        <f>IF(E257="","",(IF(op!J190+1&gt;LOOKUP(I257,schaal2011,regels2011),op!J190,op!J190+1)))</f>
        <v/>
      </c>
      <c r="K257" s="509" t="str">
        <f>IF(op!K190="","",op!K190)</f>
        <v/>
      </c>
      <c r="L257" s="510" t="str">
        <f>IF(op!L190="","",op!L190)</f>
        <v/>
      </c>
      <c r="M257" s="511" t="str">
        <f t="shared" si="75"/>
        <v/>
      </c>
      <c r="N257" s="109"/>
      <c r="O257" s="513" t="str">
        <f>IF(I257="","",VLOOKUP(I257,tab!$A$68:$V$108,J257+2,FALSE))</f>
        <v/>
      </c>
      <c r="P257" s="514" t="str">
        <f t="shared" si="76"/>
        <v/>
      </c>
      <c r="Q257" s="1173">
        <f t="shared" si="74"/>
        <v>0.62</v>
      </c>
      <c r="R257" s="514" t="str">
        <f t="shared" si="77"/>
        <v/>
      </c>
      <c r="S257" s="514">
        <f>IF(L257="",0,(((O257*12)*L257)*(1+tab!$D$55)*tab!$F$57))</f>
        <v>0</v>
      </c>
      <c r="T257" s="1131">
        <f t="shared" si="78"/>
        <v>0</v>
      </c>
      <c r="U257" s="219">
        <f t="shared" si="79"/>
        <v>0</v>
      </c>
      <c r="V257" s="1145">
        <f t="shared" si="80"/>
        <v>0</v>
      </c>
      <c r="W257" s="124"/>
      <c r="AA257" s="642" t="e">
        <f>DATE(YEAR(tab!$H$3),MONTH(H257),DAY(H257))&gt;tab!$H$3</f>
        <v>#VALUE!</v>
      </c>
      <c r="AB257" s="643" t="e">
        <f t="shared" si="81"/>
        <v>#VALUE!</v>
      </c>
      <c r="AC257" s="244">
        <f t="shared" si="82"/>
        <v>30</v>
      </c>
      <c r="AD257" s="244">
        <f t="shared" si="83"/>
        <v>30</v>
      </c>
      <c r="AE257" s="643">
        <f t="shared" si="84"/>
        <v>0</v>
      </c>
      <c r="AK257" s="552"/>
    </row>
    <row r="258" spans="3:37" ht="12.75" customHeight="1" x14ac:dyDescent="0.2">
      <c r="C258" s="108"/>
      <c r="D258" s="115" t="str">
        <f>IF(op!D191=0,"",op!D191)</f>
        <v/>
      </c>
      <c r="E258" s="115" t="str">
        <f>IF(op!E191=0,"",op!E191)</f>
        <v/>
      </c>
      <c r="F258" s="115" t="str">
        <f>IF(op!F191=0,"",op!F191)</f>
        <v/>
      </c>
      <c r="G258" s="132" t="str">
        <f>IF(op!G191="","",op!G191+1)</f>
        <v/>
      </c>
      <c r="H258" s="508" t="str">
        <f>IF(op!H191="","",op!H191)</f>
        <v/>
      </c>
      <c r="I258" s="132" t="str">
        <f>IF(op!I191=0,"",op!I191)</f>
        <v/>
      </c>
      <c r="J258" s="150" t="str">
        <f>IF(E258="","",(IF(op!J191+1&gt;LOOKUP(I258,schaal2011,regels2011),op!J191,op!J191+1)))</f>
        <v/>
      </c>
      <c r="K258" s="509" t="str">
        <f>IF(op!K191="","",op!K191)</f>
        <v/>
      </c>
      <c r="L258" s="510" t="str">
        <f>IF(op!L191="","",op!L191)</f>
        <v/>
      </c>
      <c r="M258" s="511" t="str">
        <f t="shared" si="75"/>
        <v/>
      </c>
      <c r="N258" s="109"/>
      <c r="O258" s="513" t="str">
        <f>IF(I258="","",VLOOKUP(I258,tab!$A$68:$V$108,J258+2,FALSE))</f>
        <v/>
      </c>
      <c r="P258" s="514" t="str">
        <f t="shared" si="76"/>
        <v/>
      </c>
      <c r="Q258" s="1173">
        <f t="shared" si="74"/>
        <v>0.62</v>
      </c>
      <c r="R258" s="514" t="str">
        <f t="shared" si="77"/>
        <v/>
      </c>
      <c r="S258" s="514">
        <f>IF(L258="",0,(((O258*12)*L258)*(1+tab!$D$55)*tab!$F$57))</f>
        <v>0</v>
      </c>
      <c r="T258" s="1131">
        <f t="shared" si="78"/>
        <v>0</v>
      </c>
      <c r="U258" s="219">
        <f t="shared" si="79"/>
        <v>0</v>
      </c>
      <c r="V258" s="1145">
        <f t="shared" si="80"/>
        <v>0</v>
      </c>
      <c r="W258" s="124"/>
      <c r="AA258" s="642" t="e">
        <f>DATE(YEAR(tab!$H$3),MONTH(H258),DAY(H258))&gt;tab!$H$3</f>
        <v>#VALUE!</v>
      </c>
      <c r="AB258" s="643" t="e">
        <f t="shared" si="81"/>
        <v>#VALUE!</v>
      </c>
      <c r="AC258" s="244">
        <f t="shared" si="82"/>
        <v>30</v>
      </c>
      <c r="AD258" s="244">
        <f t="shared" si="83"/>
        <v>30</v>
      </c>
      <c r="AE258" s="643">
        <f t="shared" si="84"/>
        <v>0</v>
      </c>
      <c r="AK258" s="552"/>
    </row>
    <row r="259" spans="3:37" ht="12.75" customHeight="1" x14ac:dyDescent="0.2">
      <c r="C259" s="108"/>
      <c r="D259" s="115" t="str">
        <f>IF(op!D192=0,"",op!D192)</f>
        <v/>
      </c>
      <c r="E259" s="115" t="str">
        <f>IF(op!E192=0,"",op!E192)</f>
        <v/>
      </c>
      <c r="F259" s="115" t="str">
        <f>IF(op!F192=0,"",op!F192)</f>
        <v/>
      </c>
      <c r="G259" s="132" t="str">
        <f>IF(op!G192="","",op!G192+1)</f>
        <v/>
      </c>
      <c r="H259" s="508" t="str">
        <f>IF(op!H192="","",op!H192)</f>
        <v/>
      </c>
      <c r="I259" s="132" t="str">
        <f>IF(op!I192=0,"",op!I192)</f>
        <v/>
      </c>
      <c r="J259" s="150" t="str">
        <f>IF(E259="","",(IF(op!J192+1&gt;LOOKUP(I259,schaal2011,regels2011),op!J192,op!J192+1)))</f>
        <v/>
      </c>
      <c r="K259" s="509" t="str">
        <f>IF(op!K192="","",op!K192)</f>
        <v/>
      </c>
      <c r="L259" s="510" t="str">
        <f>IF(op!L192="","",op!L192)</f>
        <v/>
      </c>
      <c r="M259" s="511" t="str">
        <f t="shared" si="75"/>
        <v/>
      </c>
      <c r="N259" s="109"/>
      <c r="O259" s="513" t="str">
        <f>IF(I259="","",VLOOKUP(I259,tab!$A$68:$V$108,J259+2,FALSE))</f>
        <v/>
      </c>
      <c r="P259" s="514" t="str">
        <f t="shared" si="76"/>
        <v/>
      </c>
      <c r="Q259" s="1173">
        <f t="shared" si="74"/>
        <v>0.62</v>
      </c>
      <c r="R259" s="514" t="str">
        <f t="shared" si="77"/>
        <v/>
      </c>
      <c r="S259" s="514">
        <f>IF(L259="",0,(((O259*12)*L259)*(1+tab!$D$55)*tab!$F$57))</f>
        <v>0</v>
      </c>
      <c r="T259" s="1131">
        <f t="shared" si="78"/>
        <v>0</v>
      </c>
      <c r="U259" s="219">
        <f t="shared" si="79"/>
        <v>0</v>
      </c>
      <c r="V259" s="1145">
        <f t="shared" si="80"/>
        <v>0</v>
      </c>
      <c r="W259" s="124"/>
      <c r="AA259" s="642" t="e">
        <f>DATE(YEAR(tab!$H$3),MONTH(H259),DAY(H259))&gt;tab!$H$3</f>
        <v>#VALUE!</v>
      </c>
      <c r="AB259" s="643" t="e">
        <f t="shared" si="81"/>
        <v>#VALUE!</v>
      </c>
      <c r="AC259" s="244">
        <f t="shared" si="82"/>
        <v>30</v>
      </c>
      <c r="AD259" s="244">
        <f t="shared" si="83"/>
        <v>30</v>
      </c>
      <c r="AE259" s="643">
        <f t="shared" si="84"/>
        <v>0</v>
      </c>
      <c r="AK259" s="552"/>
    </row>
    <row r="260" spans="3:37" ht="12.75" customHeight="1" x14ac:dyDescent="0.2">
      <c r="C260" s="108"/>
      <c r="D260" s="115" t="str">
        <f>IF(op!D193=0,"",op!D193)</f>
        <v/>
      </c>
      <c r="E260" s="115" t="str">
        <f>IF(op!E193=0,"",op!E193)</f>
        <v/>
      </c>
      <c r="F260" s="115" t="str">
        <f>IF(op!F193=0,"",op!F193)</f>
        <v/>
      </c>
      <c r="G260" s="132" t="str">
        <f>IF(op!G193="","",op!G193+1)</f>
        <v/>
      </c>
      <c r="H260" s="508" t="str">
        <f>IF(op!H193="","",op!H193)</f>
        <v/>
      </c>
      <c r="I260" s="132" t="str">
        <f>IF(op!I193=0,"",op!I193)</f>
        <v/>
      </c>
      <c r="J260" s="150" t="str">
        <f>IF(E260="","",(IF(op!J193+1&gt;LOOKUP(I260,schaal2011,regels2011),op!J193,op!J193+1)))</f>
        <v/>
      </c>
      <c r="K260" s="509" t="str">
        <f>IF(op!K193="","",op!K193)</f>
        <v/>
      </c>
      <c r="L260" s="510" t="str">
        <f>IF(op!L193="","",op!L193)</f>
        <v/>
      </c>
      <c r="M260" s="511" t="str">
        <f t="shared" si="75"/>
        <v/>
      </c>
      <c r="N260" s="109"/>
      <c r="O260" s="513" t="str">
        <f>IF(I260="","",VLOOKUP(I260,tab!$A$68:$V$108,J260+2,FALSE))</f>
        <v/>
      </c>
      <c r="P260" s="514" t="str">
        <f t="shared" si="76"/>
        <v/>
      </c>
      <c r="Q260" s="1173">
        <f t="shared" si="74"/>
        <v>0.62</v>
      </c>
      <c r="R260" s="514" t="str">
        <f t="shared" si="77"/>
        <v/>
      </c>
      <c r="S260" s="514">
        <f>IF(L260="",0,(((O260*12)*L260)*(1+tab!$D$55)*tab!$F$57))</f>
        <v>0</v>
      </c>
      <c r="T260" s="1131">
        <f t="shared" si="78"/>
        <v>0</v>
      </c>
      <c r="U260" s="219">
        <f t="shared" si="79"/>
        <v>0</v>
      </c>
      <c r="V260" s="1145">
        <f t="shared" si="80"/>
        <v>0</v>
      </c>
      <c r="W260" s="124"/>
      <c r="AA260" s="642" t="e">
        <f>DATE(YEAR(tab!$H$3),MONTH(H260),DAY(H260))&gt;tab!$H$3</f>
        <v>#VALUE!</v>
      </c>
      <c r="AB260" s="643" t="e">
        <f t="shared" si="81"/>
        <v>#VALUE!</v>
      </c>
      <c r="AC260" s="244">
        <f t="shared" si="82"/>
        <v>30</v>
      </c>
      <c r="AD260" s="244">
        <f t="shared" si="83"/>
        <v>30</v>
      </c>
      <c r="AE260" s="643">
        <f t="shared" si="84"/>
        <v>0</v>
      </c>
      <c r="AK260" s="552"/>
    </row>
    <row r="261" spans="3:37" ht="12.75" customHeight="1" x14ac:dyDescent="0.2">
      <c r="C261" s="108"/>
      <c r="D261" s="115" t="str">
        <f>IF(op!D194=0,"",op!D194)</f>
        <v/>
      </c>
      <c r="E261" s="115" t="str">
        <f>IF(op!E194=0,"",op!E194)</f>
        <v/>
      </c>
      <c r="F261" s="115" t="str">
        <f>IF(op!F194=0,"",op!F194)</f>
        <v/>
      </c>
      <c r="G261" s="132" t="str">
        <f>IF(op!G194="","",op!G194+1)</f>
        <v/>
      </c>
      <c r="H261" s="508" t="str">
        <f>IF(op!H194="","",op!H194)</f>
        <v/>
      </c>
      <c r="I261" s="132" t="str">
        <f>IF(op!I194=0,"",op!I194)</f>
        <v/>
      </c>
      <c r="J261" s="150" t="str">
        <f>IF(E261="","",(IF(op!J194+1&gt;LOOKUP(I261,schaal2011,regels2011),op!J194,op!J194+1)))</f>
        <v/>
      </c>
      <c r="K261" s="509" t="str">
        <f>IF(op!K194="","",op!K194)</f>
        <v/>
      </c>
      <c r="L261" s="510" t="str">
        <f>IF(op!L194="","",op!L194)</f>
        <v/>
      </c>
      <c r="M261" s="511" t="str">
        <f t="shared" si="75"/>
        <v/>
      </c>
      <c r="N261" s="109"/>
      <c r="O261" s="513" t="str">
        <f>IF(I261="","",VLOOKUP(I261,tab!$A$68:$V$108,J261+2,FALSE))</f>
        <v/>
      </c>
      <c r="P261" s="514" t="str">
        <f t="shared" si="76"/>
        <v/>
      </c>
      <c r="Q261" s="1173">
        <f t="shared" si="74"/>
        <v>0.62</v>
      </c>
      <c r="R261" s="514" t="str">
        <f t="shared" si="77"/>
        <v/>
      </c>
      <c r="S261" s="514">
        <f>IF(L261="",0,(((O261*12)*L261)*(1+tab!$D$55)*tab!$F$57))</f>
        <v>0</v>
      </c>
      <c r="T261" s="1131">
        <f t="shared" si="78"/>
        <v>0</v>
      </c>
      <c r="U261" s="219">
        <f t="shared" si="79"/>
        <v>0</v>
      </c>
      <c r="V261" s="1145">
        <f t="shared" si="80"/>
        <v>0</v>
      </c>
      <c r="W261" s="124"/>
      <c r="AA261" s="642" t="e">
        <f>DATE(YEAR(tab!$H$3),MONTH(H261),DAY(H261))&gt;tab!$H$3</f>
        <v>#VALUE!</v>
      </c>
      <c r="AB261" s="643" t="e">
        <f t="shared" si="81"/>
        <v>#VALUE!</v>
      </c>
      <c r="AC261" s="244">
        <f t="shared" si="82"/>
        <v>30</v>
      </c>
      <c r="AD261" s="244">
        <f t="shared" si="83"/>
        <v>30</v>
      </c>
      <c r="AE261" s="643">
        <f t="shared" si="84"/>
        <v>0</v>
      </c>
      <c r="AK261" s="552"/>
    </row>
    <row r="262" spans="3:37" ht="12.75" customHeight="1" x14ac:dyDescent="0.2">
      <c r="C262" s="108"/>
      <c r="D262" s="115" t="str">
        <f>IF(op!D195=0,"",op!D195)</f>
        <v/>
      </c>
      <c r="E262" s="115" t="str">
        <f>IF(op!E195=0,"",op!E195)</f>
        <v/>
      </c>
      <c r="F262" s="115" t="str">
        <f>IF(op!F195=0,"",op!F195)</f>
        <v/>
      </c>
      <c r="G262" s="132" t="str">
        <f>IF(op!G195="","",op!G195+1)</f>
        <v/>
      </c>
      <c r="H262" s="508" t="str">
        <f>IF(op!H195="","",op!H195)</f>
        <v/>
      </c>
      <c r="I262" s="132" t="str">
        <f>IF(op!I195=0,"",op!I195)</f>
        <v/>
      </c>
      <c r="J262" s="150" t="str">
        <f>IF(E262="","",(IF(op!J195+1&gt;LOOKUP(I262,schaal2011,regels2011),op!J195,op!J195+1)))</f>
        <v/>
      </c>
      <c r="K262" s="509" t="str">
        <f>IF(op!K195="","",op!K195)</f>
        <v/>
      </c>
      <c r="L262" s="510" t="str">
        <f>IF(op!L195="","",op!L195)</f>
        <v/>
      </c>
      <c r="M262" s="511" t="str">
        <f t="shared" si="75"/>
        <v/>
      </c>
      <c r="N262" s="109"/>
      <c r="O262" s="513" t="str">
        <f>IF(I262="","",VLOOKUP(I262,tab!$A$68:$V$108,J262+2,FALSE))</f>
        <v/>
      </c>
      <c r="P262" s="514" t="str">
        <f t="shared" si="76"/>
        <v/>
      </c>
      <c r="Q262" s="1173">
        <f t="shared" si="74"/>
        <v>0.62</v>
      </c>
      <c r="R262" s="514" t="str">
        <f t="shared" si="77"/>
        <v/>
      </c>
      <c r="S262" s="514">
        <f>IF(L262="",0,(((O262*12)*L262)*(1+tab!$D$55)*tab!$F$57))</f>
        <v>0</v>
      </c>
      <c r="T262" s="1131">
        <f t="shared" si="78"/>
        <v>0</v>
      </c>
      <c r="U262" s="219">
        <f t="shared" si="79"/>
        <v>0</v>
      </c>
      <c r="V262" s="1145">
        <f t="shared" si="80"/>
        <v>0</v>
      </c>
      <c r="W262" s="124"/>
      <c r="AA262" s="642" t="e">
        <f>DATE(YEAR(tab!$H$3),MONTH(H262),DAY(H262))&gt;tab!$H$3</f>
        <v>#VALUE!</v>
      </c>
      <c r="AB262" s="643" t="e">
        <f t="shared" si="81"/>
        <v>#VALUE!</v>
      </c>
      <c r="AC262" s="244">
        <f t="shared" si="82"/>
        <v>30</v>
      </c>
      <c r="AD262" s="244">
        <f t="shared" si="83"/>
        <v>30</v>
      </c>
      <c r="AE262" s="643">
        <f t="shared" si="84"/>
        <v>0</v>
      </c>
      <c r="AK262" s="552"/>
    </row>
    <row r="263" spans="3:37" ht="12.75" customHeight="1" x14ac:dyDescent="0.2">
      <c r="C263" s="108"/>
      <c r="D263" s="115" t="str">
        <f>IF(op!D196=0,"",op!D196)</f>
        <v/>
      </c>
      <c r="E263" s="115" t="str">
        <f>IF(op!E196=0,"",op!E196)</f>
        <v/>
      </c>
      <c r="F263" s="115" t="str">
        <f>IF(op!F196=0,"",op!F196)</f>
        <v/>
      </c>
      <c r="G263" s="132" t="str">
        <f>IF(op!G196="","",op!G196+1)</f>
        <v/>
      </c>
      <c r="H263" s="508" t="str">
        <f>IF(op!H196="","",op!H196)</f>
        <v/>
      </c>
      <c r="I263" s="132" t="str">
        <f>IF(op!I196=0,"",op!I196)</f>
        <v/>
      </c>
      <c r="J263" s="150" t="str">
        <f>IF(E263="","",(IF(op!J196+1&gt;LOOKUP(I263,schaal2011,regels2011),op!J196,op!J196+1)))</f>
        <v/>
      </c>
      <c r="K263" s="509" t="str">
        <f>IF(op!K196="","",op!K196)</f>
        <v/>
      </c>
      <c r="L263" s="510" t="str">
        <f>IF(op!L196="","",op!L196)</f>
        <v/>
      </c>
      <c r="M263" s="511" t="str">
        <f t="shared" si="75"/>
        <v/>
      </c>
      <c r="N263" s="109"/>
      <c r="O263" s="513" t="str">
        <f>IF(I263="","",VLOOKUP(I263,tab!$A$68:$V$108,J263+2,FALSE))</f>
        <v/>
      </c>
      <c r="P263" s="514" t="str">
        <f t="shared" si="76"/>
        <v/>
      </c>
      <c r="Q263" s="1173">
        <f t="shared" si="74"/>
        <v>0.62</v>
      </c>
      <c r="R263" s="514" t="str">
        <f t="shared" si="77"/>
        <v/>
      </c>
      <c r="S263" s="514">
        <f>IF(L263="",0,(((O263*12)*L263)*(1+tab!$D$55)*tab!$F$57))</f>
        <v>0</v>
      </c>
      <c r="T263" s="1131">
        <f t="shared" si="78"/>
        <v>0</v>
      </c>
      <c r="U263" s="219">
        <f t="shared" si="79"/>
        <v>0</v>
      </c>
      <c r="V263" s="1145">
        <f t="shared" si="80"/>
        <v>0</v>
      </c>
      <c r="W263" s="124"/>
      <c r="AA263" s="642" t="e">
        <f>DATE(YEAR(tab!$H$3),MONTH(H263),DAY(H263))&gt;tab!$H$3</f>
        <v>#VALUE!</v>
      </c>
      <c r="AB263" s="643" t="e">
        <f t="shared" si="81"/>
        <v>#VALUE!</v>
      </c>
      <c r="AC263" s="244">
        <f t="shared" si="82"/>
        <v>30</v>
      </c>
      <c r="AD263" s="244">
        <f t="shared" si="83"/>
        <v>30</v>
      </c>
      <c r="AE263" s="643">
        <f t="shared" si="84"/>
        <v>0</v>
      </c>
      <c r="AK263" s="552"/>
    </row>
    <row r="264" spans="3:37" ht="12.75" customHeight="1" x14ac:dyDescent="0.2">
      <c r="C264" s="108"/>
      <c r="D264" s="115" t="str">
        <f>IF(op!D197=0,"",op!D197)</f>
        <v/>
      </c>
      <c r="E264" s="115" t="str">
        <f>IF(op!E197=0,"",op!E197)</f>
        <v/>
      </c>
      <c r="F264" s="115" t="str">
        <f>IF(op!F197=0,"",op!F197)</f>
        <v/>
      </c>
      <c r="G264" s="132" t="str">
        <f>IF(op!G197="","",op!G197+1)</f>
        <v/>
      </c>
      <c r="H264" s="508" t="str">
        <f>IF(op!H197="","",op!H197)</f>
        <v/>
      </c>
      <c r="I264" s="132" t="str">
        <f>IF(op!I197=0,"",op!I197)</f>
        <v/>
      </c>
      <c r="J264" s="150" t="str">
        <f>IF(E264="","",(IF(op!J197+1&gt;LOOKUP(I264,schaal2011,regels2011),op!J197,op!J197+1)))</f>
        <v/>
      </c>
      <c r="K264" s="509" t="str">
        <f>IF(op!K197="","",op!K197)</f>
        <v/>
      </c>
      <c r="L264" s="510" t="str">
        <f>IF(op!L197="","",op!L197)</f>
        <v/>
      </c>
      <c r="M264" s="511" t="str">
        <f t="shared" si="75"/>
        <v/>
      </c>
      <c r="N264" s="109"/>
      <c r="O264" s="513" t="str">
        <f>IF(I264="","",VLOOKUP(I264,tab!$A$68:$V$108,J264+2,FALSE))</f>
        <v/>
      </c>
      <c r="P264" s="514" t="str">
        <f t="shared" si="76"/>
        <v/>
      </c>
      <c r="Q264" s="1173">
        <f t="shared" si="74"/>
        <v>0.62</v>
      </c>
      <c r="R264" s="514" t="str">
        <f t="shared" si="77"/>
        <v/>
      </c>
      <c r="S264" s="514">
        <f>IF(L264="",0,(((O264*12)*L264)*(1+tab!$D$55)*tab!$F$57))</f>
        <v>0</v>
      </c>
      <c r="T264" s="1131">
        <f t="shared" si="78"/>
        <v>0</v>
      </c>
      <c r="U264" s="219">
        <f t="shared" si="79"/>
        <v>0</v>
      </c>
      <c r="V264" s="1145">
        <f t="shared" si="80"/>
        <v>0</v>
      </c>
      <c r="W264" s="124"/>
      <c r="AA264" s="642" t="e">
        <f>DATE(YEAR(tab!$H$3),MONTH(H264),DAY(H264))&gt;tab!$H$3</f>
        <v>#VALUE!</v>
      </c>
      <c r="AB264" s="643" t="e">
        <f t="shared" si="81"/>
        <v>#VALUE!</v>
      </c>
      <c r="AC264" s="244">
        <f t="shared" si="82"/>
        <v>30</v>
      </c>
      <c r="AD264" s="244">
        <f t="shared" si="83"/>
        <v>30</v>
      </c>
      <c r="AE264" s="643">
        <f t="shared" si="84"/>
        <v>0</v>
      </c>
      <c r="AK264" s="552"/>
    </row>
    <row r="265" spans="3:37" ht="12.75" customHeight="1" x14ac:dyDescent="0.2">
      <c r="C265" s="108"/>
      <c r="D265" s="115" t="str">
        <f>IF(op!D198=0,"",op!D198)</f>
        <v/>
      </c>
      <c r="E265" s="115" t="str">
        <f>IF(op!E198=0,"",op!E198)</f>
        <v/>
      </c>
      <c r="F265" s="115" t="str">
        <f>IF(op!F198=0,"",op!F198)</f>
        <v/>
      </c>
      <c r="G265" s="132" t="str">
        <f>IF(op!G198="","",op!G198+1)</f>
        <v/>
      </c>
      <c r="H265" s="508" t="str">
        <f>IF(op!H198="","",op!H198)</f>
        <v/>
      </c>
      <c r="I265" s="132" t="str">
        <f>IF(op!I198=0,"",op!I198)</f>
        <v/>
      </c>
      <c r="J265" s="150" t="str">
        <f>IF(E265="","",(IF(op!J198+1&gt;LOOKUP(I265,schaal2011,regels2011),op!J198,op!J198+1)))</f>
        <v/>
      </c>
      <c r="K265" s="509" t="str">
        <f>IF(op!K198="","",op!K198)</f>
        <v/>
      </c>
      <c r="L265" s="510" t="str">
        <f>IF(op!L198="","",op!L198)</f>
        <v/>
      </c>
      <c r="M265" s="511" t="str">
        <f t="shared" si="75"/>
        <v/>
      </c>
      <c r="N265" s="109"/>
      <c r="O265" s="513" t="str">
        <f>IF(I265="","",VLOOKUP(I265,tab!$A$68:$V$108,J265+2,FALSE))</f>
        <v/>
      </c>
      <c r="P265" s="514" t="str">
        <f t="shared" si="76"/>
        <v/>
      </c>
      <c r="Q265" s="1173">
        <f t="shared" si="74"/>
        <v>0.62</v>
      </c>
      <c r="R265" s="514" t="str">
        <f t="shared" si="77"/>
        <v/>
      </c>
      <c r="S265" s="514">
        <f>IF(L265="",0,(((O265*12)*L265)*(1+tab!$D$55)*tab!$F$57))</f>
        <v>0</v>
      </c>
      <c r="T265" s="1131">
        <f t="shared" si="78"/>
        <v>0</v>
      </c>
      <c r="U265" s="219">
        <f t="shared" si="79"/>
        <v>0</v>
      </c>
      <c r="V265" s="1145">
        <f t="shared" si="80"/>
        <v>0</v>
      </c>
      <c r="W265" s="124"/>
      <c r="AA265" s="642" t="e">
        <f>DATE(YEAR(tab!$H$3),MONTH(H265),DAY(H265))&gt;tab!$H$3</f>
        <v>#VALUE!</v>
      </c>
      <c r="AB265" s="643" t="e">
        <f t="shared" si="81"/>
        <v>#VALUE!</v>
      </c>
      <c r="AC265" s="244">
        <f t="shared" si="82"/>
        <v>30</v>
      </c>
      <c r="AD265" s="244">
        <f t="shared" si="83"/>
        <v>30</v>
      </c>
      <c r="AE265" s="643">
        <f t="shared" si="84"/>
        <v>0</v>
      </c>
      <c r="AK265" s="552"/>
    </row>
    <row r="266" spans="3:37" ht="12.75" customHeight="1" x14ac:dyDescent="0.2">
      <c r="C266" s="108"/>
      <c r="D266" s="115" t="str">
        <f>IF(op!D199=0,"",op!D199)</f>
        <v/>
      </c>
      <c r="E266" s="115" t="str">
        <f>IF(op!E199=0,"",op!E199)</f>
        <v/>
      </c>
      <c r="F266" s="115" t="str">
        <f>IF(op!F199=0,"",op!F199)</f>
        <v/>
      </c>
      <c r="G266" s="132" t="str">
        <f>IF(op!G199="","",op!G199+1)</f>
        <v/>
      </c>
      <c r="H266" s="508" t="str">
        <f>IF(op!H199="","",op!H199)</f>
        <v/>
      </c>
      <c r="I266" s="132" t="str">
        <f>IF(op!I199=0,"",op!I199)</f>
        <v/>
      </c>
      <c r="J266" s="150" t="str">
        <f>IF(E266="","",(IF(op!J199+1&gt;LOOKUP(I266,schaal2011,regels2011),op!J199,op!J199+1)))</f>
        <v/>
      </c>
      <c r="K266" s="509" t="str">
        <f>IF(op!K199="","",op!K199)</f>
        <v/>
      </c>
      <c r="L266" s="510" t="str">
        <f>IF(op!L199="","",op!L199)</f>
        <v/>
      </c>
      <c r="M266" s="511" t="str">
        <f t="shared" si="75"/>
        <v/>
      </c>
      <c r="N266" s="109"/>
      <c r="O266" s="513" t="str">
        <f>IF(I266="","",VLOOKUP(I266,tab!$A$68:$V$108,J266+2,FALSE))</f>
        <v/>
      </c>
      <c r="P266" s="514" t="str">
        <f t="shared" si="76"/>
        <v/>
      </c>
      <c r="Q266" s="1173">
        <f t="shared" si="74"/>
        <v>0.62</v>
      </c>
      <c r="R266" s="514" t="str">
        <f t="shared" si="77"/>
        <v/>
      </c>
      <c r="S266" s="514">
        <f>IF(L266="",0,(((O266*12)*L266)*(1+tab!$D$55)*tab!$F$57))</f>
        <v>0</v>
      </c>
      <c r="T266" s="1131">
        <f t="shared" si="78"/>
        <v>0</v>
      </c>
      <c r="U266" s="219">
        <f t="shared" si="79"/>
        <v>0</v>
      </c>
      <c r="V266" s="1145">
        <f t="shared" si="80"/>
        <v>0</v>
      </c>
      <c r="W266" s="124"/>
      <c r="AA266" s="642" t="e">
        <f>DATE(YEAR(tab!$H$3),MONTH(H266),DAY(H266))&gt;tab!$H$3</f>
        <v>#VALUE!</v>
      </c>
      <c r="AB266" s="643" t="e">
        <f t="shared" si="81"/>
        <v>#VALUE!</v>
      </c>
      <c r="AC266" s="244">
        <f t="shared" si="82"/>
        <v>30</v>
      </c>
      <c r="AD266" s="244">
        <f t="shared" si="83"/>
        <v>30</v>
      </c>
      <c r="AE266" s="643">
        <f t="shared" si="84"/>
        <v>0</v>
      </c>
      <c r="AK266" s="552"/>
    </row>
    <row r="267" spans="3:37" ht="12.75" customHeight="1" x14ac:dyDescent="0.2">
      <c r="C267" s="108"/>
      <c r="D267" s="115" t="str">
        <f>IF(op!D200=0,"",op!D200)</f>
        <v/>
      </c>
      <c r="E267" s="115" t="str">
        <f>IF(op!E200=0,"",op!E200)</f>
        <v/>
      </c>
      <c r="F267" s="115" t="str">
        <f>IF(op!F200=0,"",op!F200)</f>
        <v/>
      </c>
      <c r="G267" s="132" t="str">
        <f>IF(op!G200="","",op!G200+1)</f>
        <v/>
      </c>
      <c r="H267" s="508" t="str">
        <f>IF(op!H200="","",op!H200)</f>
        <v/>
      </c>
      <c r="I267" s="132" t="str">
        <f>IF(op!I200=0,"",op!I200)</f>
        <v/>
      </c>
      <c r="J267" s="150" t="str">
        <f>IF(E267="","",(IF(op!J200+1&gt;LOOKUP(I267,schaal2011,regels2011),op!J200,op!J200+1)))</f>
        <v/>
      </c>
      <c r="K267" s="509" t="str">
        <f>IF(op!K200="","",op!K200)</f>
        <v/>
      </c>
      <c r="L267" s="510" t="str">
        <f>IF(op!L200="","",op!L200)</f>
        <v/>
      </c>
      <c r="M267" s="511" t="str">
        <f t="shared" si="75"/>
        <v/>
      </c>
      <c r="N267" s="109"/>
      <c r="O267" s="513" t="str">
        <f>IF(I267="","",VLOOKUP(I267,tab!$A$68:$V$108,J267+2,FALSE))</f>
        <v/>
      </c>
      <c r="P267" s="514" t="str">
        <f t="shared" si="76"/>
        <v/>
      </c>
      <c r="Q267" s="1173">
        <f t="shared" si="74"/>
        <v>0.62</v>
      </c>
      <c r="R267" s="514" t="str">
        <f t="shared" si="77"/>
        <v/>
      </c>
      <c r="S267" s="514">
        <f>IF(L267="",0,(((O267*12)*L267)*(1+tab!$D$55)*tab!$F$57))</f>
        <v>0</v>
      </c>
      <c r="T267" s="1131">
        <f t="shared" si="78"/>
        <v>0</v>
      </c>
      <c r="U267" s="219">
        <f t="shared" si="79"/>
        <v>0</v>
      </c>
      <c r="V267" s="1145">
        <f t="shared" si="80"/>
        <v>0</v>
      </c>
      <c r="W267" s="124"/>
      <c r="AA267" s="642" t="e">
        <f>DATE(YEAR(tab!$H$3),MONTH(H267),DAY(H267))&gt;tab!$H$3</f>
        <v>#VALUE!</v>
      </c>
      <c r="AB267" s="643" t="e">
        <f t="shared" si="81"/>
        <v>#VALUE!</v>
      </c>
      <c r="AC267" s="244">
        <f t="shared" si="82"/>
        <v>30</v>
      </c>
      <c r="AD267" s="244">
        <f t="shared" si="83"/>
        <v>30</v>
      </c>
      <c r="AE267" s="643">
        <f t="shared" si="84"/>
        <v>0</v>
      </c>
      <c r="AK267" s="552"/>
    </row>
    <row r="268" spans="3:37" ht="12.75" customHeight="1" x14ac:dyDescent="0.2">
      <c r="C268" s="108"/>
      <c r="D268" s="115" t="str">
        <f>IF(op!D201=0,"",op!D201)</f>
        <v/>
      </c>
      <c r="E268" s="115" t="str">
        <f>IF(op!E201=0,"",op!E201)</f>
        <v/>
      </c>
      <c r="F268" s="115" t="str">
        <f>IF(op!F201=0,"",op!F201)</f>
        <v/>
      </c>
      <c r="G268" s="132" t="str">
        <f>IF(op!G201="","",op!G201+1)</f>
        <v/>
      </c>
      <c r="H268" s="508" t="str">
        <f>IF(op!H201="","",op!H201)</f>
        <v/>
      </c>
      <c r="I268" s="132" t="str">
        <f>IF(op!I201=0,"",op!I201)</f>
        <v/>
      </c>
      <c r="J268" s="150" t="str">
        <f>IF(E268="","",(IF(op!J201+1&gt;LOOKUP(I268,schaal2011,regels2011),op!J201,op!J201+1)))</f>
        <v/>
      </c>
      <c r="K268" s="509" t="str">
        <f>IF(op!K201="","",op!K201)</f>
        <v/>
      </c>
      <c r="L268" s="510" t="str">
        <f>IF(op!L201="","",op!L201)</f>
        <v/>
      </c>
      <c r="M268" s="511" t="str">
        <f t="shared" si="75"/>
        <v/>
      </c>
      <c r="N268" s="109"/>
      <c r="O268" s="513" t="str">
        <f>IF(I268="","",VLOOKUP(I268,tab!$A$68:$V$108,J268+2,FALSE))</f>
        <v/>
      </c>
      <c r="P268" s="514" t="str">
        <f t="shared" si="76"/>
        <v/>
      </c>
      <c r="Q268" s="1173">
        <f t="shared" si="74"/>
        <v>0.62</v>
      </c>
      <c r="R268" s="514" t="str">
        <f t="shared" si="77"/>
        <v/>
      </c>
      <c r="S268" s="514">
        <f>IF(L268="",0,(((O268*12)*L268)*(1+tab!$D$55)*tab!$F$57))</f>
        <v>0</v>
      </c>
      <c r="T268" s="1131">
        <f t="shared" si="78"/>
        <v>0</v>
      </c>
      <c r="U268" s="219">
        <f t="shared" si="79"/>
        <v>0</v>
      </c>
      <c r="V268" s="1145">
        <f t="shared" si="80"/>
        <v>0</v>
      </c>
      <c r="W268" s="124"/>
      <c r="AA268" s="642" t="e">
        <f>DATE(YEAR(tab!$H$3),MONTH(H268),DAY(H268))&gt;tab!$H$3</f>
        <v>#VALUE!</v>
      </c>
      <c r="AB268" s="643" t="e">
        <f t="shared" si="81"/>
        <v>#VALUE!</v>
      </c>
      <c r="AC268" s="244">
        <f t="shared" si="82"/>
        <v>30</v>
      </c>
      <c r="AD268" s="244">
        <f t="shared" si="83"/>
        <v>30</v>
      </c>
      <c r="AE268" s="643">
        <f t="shared" si="84"/>
        <v>0</v>
      </c>
      <c r="AK268" s="552"/>
    </row>
    <row r="269" spans="3:37" ht="12.75" customHeight="1" x14ac:dyDescent="0.2">
      <c r="C269" s="108"/>
      <c r="D269" s="115" t="str">
        <f>IF(op!D202=0,"",op!D202)</f>
        <v/>
      </c>
      <c r="E269" s="115" t="str">
        <f>IF(op!E202=0,"",op!E202)</f>
        <v/>
      </c>
      <c r="F269" s="115" t="str">
        <f>IF(op!F202=0,"",op!F202)</f>
        <v/>
      </c>
      <c r="G269" s="132" t="str">
        <f>IF(op!G202="","",op!G202+1)</f>
        <v/>
      </c>
      <c r="H269" s="508" t="str">
        <f>IF(op!H202="","",op!H202)</f>
        <v/>
      </c>
      <c r="I269" s="132" t="str">
        <f>IF(op!I202=0,"",op!I202)</f>
        <v/>
      </c>
      <c r="J269" s="150" t="str">
        <f>IF(E269="","",(IF(op!J202+1&gt;LOOKUP(I269,schaal2011,regels2011),op!J202,op!J202+1)))</f>
        <v/>
      </c>
      <c r="K269" s="509" t="str">
        <f>IF(op!K202="","",op!K202)</f>
        <v/>
      </c>
      <c r="L269" s="510" t="str">
        <f>IF(op!L202="","",op!L202)</f>
        <v/>
      </c>
      <c r="M269" s="511" t="str">
        <f t="shared" si="75"/>
        <v/>
      </c>
      <c r="N269" s="109"/>
      <c r="O269" s="513" t="str">
        <f>IF(I269="","",VLOOKUP(I269,tab!$A$68:$V$108,J269+2,FALSE))</f>
        <v/>
      </c>
      <c r="P269" s="514" t="str">
        <f t="shared" si="76"/>
        <v/>
      </c>
      <c r="Q269" s="1173">
        <f t="shared" si="74"/>
        <v>0.62</v>
      </c>
      <c r="R269" s="514" t="str">
        <f t="shared" si="77"/>
        <v/>
      </c>
      <c r="S269" s="514">
        <f>IF(L269="",0,(((O269*12)*L269)*(1+tab!$D$55)*tab!$F$57))</f>
        <v>0</v>
      </c>
      <c r="T269" s="1131">
        <f t="shared" si="78"/>
        <v>0</v>
      </c>
      <c r="U269" s="219">
        <f t="shared" si="79"/>
        <v>0</v>
      </c>
      <c r="V269" s="1145">
        <f t="shared" si="80"/>
        <v>0</v>
      </c>
      <c r="W269" s="124"/>
      <c r="AA269" s="642" t="e">
        <f>DATE(YEAR(tab!$H$3),MONTH(H269),DAY(H269))&gt;tab!$H$3</f>
        <v>#VALUE!</v>
      </c>
      <c r="AB269" s="643" t="e">
        <f t="shared" si="81"/>
        <v>#VALUE!</v>
      </c>
      <c r="AC269" s="244">
        <f t="shared" si="82"/>
        <v>30</v>
      </c>
      <c r="AD269" s="244">
        <f t="shared" si="83"/>
        <v>30</v>
      </c>
      <c r="AE269" s="643">
        <f t="shared" si="84"/>
        <v>0</v>
      </c>
      <c r="AK269" s="552"/>
    </row>
    <row r="270" spans="3:37" ht="12.75" customHeight="1" x14ac:dyDescent="0.2">
      <c r="C270" s="108"/>
      <c r="D270" s="115" t="str">
        <f>IF(op!D203=0,"",op!D203)</f>
        <v/>
      </c>
      <c r="E270" s="115" t="str">
        <f>IF(op!E203=0,"",op!E203)</f>
        <v/>
      </c>
      <c r="F270" s="115" t="str">
        <f>IF(op!F203=0,"",op!F203)</f>
        <v/>
      </c>
      <c r="G270" s="132" t="str">
        <f>IF(op!G203="","",op!G203+1)</f>
        <v/>
      </c>
      <c r="H270" s="508" t="str">
        <f>IF(op!H203="","",op!H203)</f>
        <v/>
      </c>
      <c r="I270" s="132" t="str">
        <f>IF(op!I203=0,"",op!I203)</f>
        <v/>
      </c>
      <c r="J270" s="150" t="str">
        <f>IF(E270="","",(IF(op!J203+1&gt;LOOKUP(I270,schaal2011,regels2011),op!J203,op!J203+1)))</f>
        <v/>
      </c>
      <c r="K270" s="509" t="str">
        <f>IF(op!K203="","",op!K203)</f>
        <v/>
      </c>
      <c r="L270" s="510" t="str">
        <f>IF(op!L203="","",op!L203)</f>
        <v/>
      </c>
      <c r="M270" s="511" t="str">
        <f t="shared" si="75"/>
        <v/>
      </c>
      <c r="N270" s="109"/>
      <c r="O270" s="513" t="str">
        <f>IF(I270="","",VLOOKUP(I270,tab!$A$68:$V$108,J270+2,FALSE))</f>
        <v/>
      </c>
      <c r="P270" s="514" t="str">
        <f t="shared" si="76"/>
        <v/>
      </c>
      <c r="Q270" s="1173">
        <f t="shared" si="74"/>
        <v>0.62</v>
      </c>
      <c r="R270" s="514" t="str">
        <f t="shared" si="77"/>
        <v/>
      </c>
      <c r="S270" s="514">
        <f>IF(L270="",0,(((O270*12)*L270)*(1+tab!$D$55)*tab!$F$57))</f>
        <v>0</v>
      </c>
      <c r="T270" s="1131">
        <f t="shared" si="78"/>
        <v>0</v>
      </c>
      <c r="U270" s="219">
        <f t="shared" si="79"/>
        <v>0</v>
      </c>
      <c r="V270" s="1145">
        <f t="shared" si="80"/>
        <v>0</v>
      </c>
      <c r="W270" s="124"/>
      <c r="AA270" s="642" t="e">
        <f>DATE(YEAR(tab!$H$3),MONTH(H270),DAY(H270))&gt;tab!$H$3</f>
        <v>#VALUE!</v>
      </c>
      <c r="AB270" s="643" t="e">
        <f t="shared" si="81"/>
        <v>#VALUE!</v>
      </c>
      <c r="AC270" s="244">
        <f t="shared" si="82"/>
        <v>30</v>
      </c>
      <c r="AD270" s="244">
        <f t="shared" si="83"/>
        <v>30</v>
      </c>
      <c r="AE270" s="643">
        <f t="shared" si="84"/>
        <v>0</v>
      </c>
      <c r="AK270" s="552"/>
    </row>
    <row r="271" spans="3:37" ht="12.75" customHeight="1" x14ac:dyDescent="0.2">
      <c r="C271" s="108"/>
      <c r="D271" s="115" t="str">
        <f>IF(op!D204=0,"",op!D204)</f>
        <v/>
      </c>
      <c r="E271" s="115" t="str">
        <f>IF(op!E204=0,"",op!E204)</f>
        <v/>
      </c>
      <c r="F271" s="115" t="str">
        <f>IF(op!F204=0,"",op!F204)</f>
        <v/>
      </c>
      <c r="G271" s="132" t="str">
        <f>IF(op!G204="","",op!G204+1)</f>
        <v/>
      </c>
      <c r="H271" s="508" t="str">
        <f>IF(op!H204="","",op!H204)</f>
        <v/>
      </c>
      <c r="I271" s="132" t="str">
        <f>IF(op!I204=0,"",op!I204)</f>
        <v/>
      </c>
      <c r="J271" s="150" t="str">
        <f>IF(E271="","",(IF(op!J204+1&gt;LOOKUP(I271,schaal2011,regels2011),op!J204,op!J204+1)))</f>
        <v/>
      </c>
      <c r="K271" s="509" t="str">
        <f>IF(op!K204="","",op!K204)</f>
        <v/>
      </c>
      <c r="L271" s="510" t="str">
        <f>IF(op!L204="","",op!L204)</f>
        <v/>
      </c>
      <c r="M271" s="511" t="str">
        <f t="shared" si="75"/>
        <v/>
      </c>
      <c r="N271" s="109"/>
      <c r="O271" s="513" t="str">
        <f>IF(I271="","",VLOOKUP(I271,tab!$A$68:$V$108,J271+2,FALSE))</f>
        <v/>
      </c>
      <c r="P271" s="514" t="str">
        <f t="shared" si="76"/>
        <v/>
      </c>
      <c r="Q271" s="1173">
        <f t="shared" si="74"/>
        <v>0.62</v>
      </c>
      <c r="R271" s="514" t="str">
        <f t="shared" si="77"/>
        <v/>
      </c>
      <c r="S271" s="514">
        <f>IF(L271="",0,(((O271*12)*L271)*(1+tab!$D$55)*tab!$F$57))</f>
        <v>0</v>
      </c>
      <c r="T271" s="1131">
        <f t="shared" si="78"/>
        <v>0</v>
      </c>
      <c r="U271" s="219">
        <f t="shared" si="79"/>
        <v>0</v>
      </c>
      <c r="V271" s="1145">
        <f t="shared" si="80"/>
        <v>0</v>
      </c>
      <c r="W271" s="124"/>
      <c r="AA271" s="642" t="e">
        <f>DATE(YEAR(tab!$H$3),MONTH(H271),DAY(H271))&gt;tab!$H$3</f>
        <v>#VALUE!</v>
      </c>
      <c r="AB271" s="643" t="e">
        <f t="shared" si="81"/>
        <v>#VALUE!</v>
      </c>
      <c r="AC271" s="244">
        <f t="shared" si="82"/>
        <v>30</v>
      </c>
      <c r="AD271" s="244">
        <f t="shared" si="83"/>
        <v>30</v>
      </c>
      <c r="AE271" s="643">
        <f t="shared" si="84"/>
        <v>0</v>
      </c>
      <c r="AK271" s="552"/>
    </row>
    <row r="272" spans="3:37" ht="12.75" customHeight="1" x14ac:dyDescent="0.2">
      <c r="C272" s="108"/>
      <c r="D272" s="115" t="str">
        <f>IF(op!D205=0,"",op!D205)</f>
        <v/>
      </c>
      <c r="E272" s="115" t="str">
        <f>IF(op!E205=0,"",op!E205)</f>
        <v/>
      </c>
      <c r="F272" s="115" t="str">
        <f>IF(op!F205=0,"",op!F205)</f>
        <v/>
      </c>
      <c r="G272" s="132" t="str">
        <f>IF(op!G205="","",op!G205+1)</f>
        <v/>
      </c>
      <c r="H272" s="508" t="str">
        <f>IF(op!H205="","",op!H205)</f>
        <v/>
      </c>
      <c r="I272" s="132" t="str">
        <f>IF(op!I205=0,"",op!I205)</f>
        <v/>
      </c>
      <c r="J272" s="150" t="str">
        <f>IF(E272="","",(IF(op!J205+1&gt;LOOKUP(I272,schaal2011,regels2011),op!J205,op!J205+1)))</f>
        <v/>
      </c>
      <c r="K272" s="509" t="str">
        <f>IF(op!K205="","",op!K205)</f>
        <v/>
      </c>
      <c r="L272" s="510" t="str">
        <f>IF(op!L205="","",op!L205)</f>
        <v/>
      </c>
      <c r="M272" s="511" t="str">
        <f t="shared" si="75"/>
        <v/>
      </c>
      <c r="N272" s="109"/>
      <c r="O272" s="513" t="str">
        <f>IF(I272="","",VLOOKUP(I272,tab!$A$68:$V$108,J272+2,FALSE))</f>
        <v/>
      </c>
      <c r="P272" s="514" t="str">
        <f t="shared" si="76"/>
        <v/>
      </c>
      <c r="Q272" s="1173">
        <f t="shared" si="74"/>
        <v>0.62</v>
      </c>
      <c r="R272" s="514" t="str">
        <f t="shared" si="77"/>
        <v/>
      </c>
      <c r="S272" s="514">
        <f>IF(L272="",0,(((O272*12)*L272)*(1+tab!$D$55)*tab!$F$57))</f>
        <v>0</v>
      </c>
      <c r="T272" s="1131">
        <f t="shared" si="78"/>
        <v>0</v>
      </c>
      <c r="U272" s="219">
        <f t="shared" si="79"/>
        <v>0</v>
      </c>
      <c r="V272" s="1145">
        <f t="shared" si="80"/>
        <v>0</v>
      </c>
      <c r="W272" s="124"/>
      <c r="AA272" s="642" t="e">
        <f>DATE(YEAR(tab!$H$3),MONTH(H272),DAY(H272))&gt;tab!$H$3</f>
        <v>#VALUE!</v>
      </c>
      <c r="AB272" s="643" t="e">
        <f t="shared" si="81"/>
        <v>#VALUE!</v>
      </c>
      <c r="AC272" s="244">
        <f t="shared" si="82"/>
        <v>30</v>
      </c>
      <c r="AD272" s="244">
        <f t="shared" si="83"/>
        <v>30</v>
      </c>
      <c r="AE272" s="643">
        <f t="shared" si="84"/>
        <v>0</v>
      </c>
      <c r="AK272" s="552"/>
    </row>
    <row r="273" spans="2:42" ht="12.75" customHeight="1" x14ac:dyDescent="0.2">
      <c r="C273" s="108"/>
      <c r="D273" s="115" t="str">
        <f>IF(op!D206=0,"",op!D206)</f>
        <v/>
      </c>
      <c r="E273" s="115" t="str">
        <f>IF(op!E206=0,"",op!E206)</f>
        <v/>
      </c>
      <c r="F273" s="115" t="str">
        <f>IF(op!F206=0,"",op!F206)</f>
        <v/>
      </c>
      <c r="G273" s="132" t="str">
        <f>IF(op!G206="","",op!G206+1)</f>
        <v/>
      </c>
      <c r="H273" s="508" t="str">
        <f>IF(op!H206="","",op!H206)</f>
        <v/>
      </c>
      <c r="I273" s="132" t="str">
        <f>IF(op!I206=0,"",op!I206)</f>
        <v/>
      </c>
      <c r="J273" s="150" t="str">
        <f>IF(E273="","",(IF(op!J206+1&gt;LOOKUP(I273,schaal2011,regels2011),op!J206,op!J206+1)))</f>
        <v/>
      </c>
      <c r="K273" s="509" t="str">
        <f>IF(op!K206="","",op!K206)</f>
        <v/>
      </c>
      <c r="L273" s="510" t="str">
        <f>IF(op!L206="","",op!L206)</f>
        <v/>
      </c>
      <c r="M273" s="511" t="str">
        <f t="shared" si="75"/>
        <v/>
      </c>
      <c r="N273" s="109"/>
      <c r="O273" s="513" t="str">
        <f>IF(I273="","",VLOOKUP(I273,tab!$A$68:$V$108,J273+2,FALSE))</f>
        <v/>
      </c>
      <c r="P273" s="514" t="str">
        <f t="shared" si="76"/>
        <v/>
      </c>
      <c r="Q273" s="1173">
        <f t="shared" si="74"/>
        <v>0.62</v>
      </c>
      <c r="R273" s="514" t="str">
        <f t="shared" si="77"/>
        <v/>
      </c>
      <c r="S273" s="514">
        <f>IF(L273="",0,(((O273*12)*L273)*(1+tab!$D$55)*tab!$F$57))</f>
        <v>0</v>
      </c>
      <c r="T273" s="1131">
        <f t="shared" si="78"/>
        <v>0</v>
      </c>
      <c r="U273" s="219">
        <f t="shared" si="79"/>
        <v>0</v>
      </c>
      <c r="V273" s="1145">
        <f t="shared" si="80"/>
        <v>0</v>
      </c>
      <c r="W273" s="124"/>
      <c r="AA273" s="642" t="e">
        <f>DATE(YEAR(tab!$H$3),MONTH(H273),DAY(H273))&gt;tab!$H$3</f>
        <v>#VALUE!</v>
      </c>
      <c r="AB273" s="643" t="e">
        <f t="shared" si="81"/>
        <v>#VALUE!</v>
      </c>
      <c r="AC273" s="244">
        <f t="shared" si="82"/>
        <v>30</v>
      </c>
      <c r="AD273" s="244">
        <f t="shared" si="83"/>
        <v>30</v>
      </c>
      <c r="AE273" s="643">
        <f t="shared" si="84"/>
        <v>0</v>
      </c>
      <c r="AK273" s="552"/>
    </row>
    <row r="274" spans="2:42" x14ac:dyDescent="0.2">
      <c r="C274" s="116"/>
      <c r="D274" s="296"/>
      <c r="E274" s="645"/>
      <c r="F274" s="296"/>
      <c r="G274" s="645"/>
      <c r="H274" s="646"/>
      <c r="I274" s="645"/>
      <c r="J274" s="647"/>
      <c r="K274" s="648">
        <f>SUM(K219:K273)</f>
        <v>1</v>
      </c>
      <c r="L274" s="648">
        <f>SUM(L219:L273)</f>
        <v>0.125</v>
      </c>
      <c r="M274" s="648">
        <f>SUM(M219:M273)</f>
        <v>0.875</v>
      </c>
      <c r="N274" s="296"/>
      <c r="O274" s="649">
        <f t="shared" ref="O274:V274" si="85">SUM(O219:O273)</f>
        <v>3274</v>
      </c>
      <c r="P274" s="649">
        <f t="shared" si="85"/>
        <v>34377</v>
      </c>
      <c r="Q274" s="650"/>
      <c r="R274" s="649">
        <f t="shared" si="85"/>
        <v>21313.74</v>
      </c>
      <c r="S274" s="649">
        <f t="shared" si="85"/>
        <v>6236.97</v>
      </c>
      <c r="T274" s="649">
        <f t="shared" si="85"/>
        <v>61927.710000000006</v>
      </c>
      <c r="U274" s="651">
        <f t="shared" si="85"/>
        <v>0</v>
      </c>
      <c r="V274" s="1154">
        <f t="shared" si="85"/>
        <v>0</v>
      </c>
      <c r="W274" s="124"/>
      <c r="AA274" s="652"/>
      <c r="AB274" s="652"/>
      <c r="AK274" s="552"/>
    </row>
    <row r="275" spans="2:42" x14ac:dyDescent="0.2">
      <c r="I275" s="202"/>
      <c r="M275" s="366"/>
      <c r="N275" s="363"/>
      <c r="O275" s="365"/>
      <c r="P275" s="573"/>
      <c r="Q275" s="653"/>
      <c r="R275" s="654"/>
      <c r="S275" s="573"/>
      <c r="U275" s="655"/>
      <c r="V275" s="1152"/>
      <c r="AK275" s="552"/>
    </row>
    <row r="278" spans="2:42" x14ac:dyDescent="0.2">
      <c r="C278" s="86" t="s">
        <v>290</v>
      </c>
      <c r="E278" s="567" t="str">
        <f>dir!E97</f>
        <v>2017/18</v>
      </c>
    </row>
    <row r="279" spans="2:42" x14ac:dyDescent="0.2">
      <c r="C279" s="86" t="s">
        <v>314</v>
      </c>
      <c r="E279" s="567">
        <f>dir!E98</f>
        <v>43009</v>
      </c>
    </row>
    <row r="281" spans="2:42" ht="12.75" customHeight="1" x14ac:dyDescent="0.2">
      <c r="C281" s="621"/>
      <c r="D281" s="622"/>
      <c r="E281" s="623"/>
      <c r="F281" s="622"/>
      <c r="G281" s="624"/>
      <c r="H281" s="625"/>
      <c r="I281" s="626"/>
      <c r="J281" s="626"/>
      <c r="K281" s="627"/>
      <c r="L281" s="626"/>
      <c r="M281" s="628"/>
      <c r="N281" s="629"/>
      <c r="O281" s="630"/>
      <c r="P281" s="629"/>
      <c r="Q281" s="624"/>
      <c r="R281" s="631"/>
      <c r="S281" s="629"/>
      <c r="T281" s="1138"/>
      <c r="U281" s="632"/>
      <c r="V281" s="1153"/>
      <c r="W281" s="124"/>
      <c r="AF281" s="433"/>
      <c r="AG281" s="433"/>
      <c r="AH281" s="433"/>
      <c r="AI281" s="433"/>
      <c r="AJ281" s="366"/>
      <c r="AK281" s="365"/>
      <c r="AL281" s="367"/>
      <c r="AM281" s="434"/>
      <c r="AN281" s="366"/>
    </row>
    <row r="282" spans="2:42" s="124" customFormat="1" ht="12.75" customHeight="1" x14ac:dyDescent="0.2">
      <c r="B282" s="86"/>
      <c r="C282" s="214"/>
      <c r="D282" s="157" t="s">
        <v>457</v>
      </c>
      <c r="E282" s="633"/>
      <c r="F282" s="633"/>
      <c r="G282" s="633"/>
      <c r="H282" s="633"/>
      <c r="I282" s="634"/>
      <c r="J282" s="634"/>
      <c r="K282" s="634"/>
      <c r="L282" s="634"/>
      <c r="M282" s="634"/>
      <c r="N282" s="472"/>
      <c r="O282" s="1277" t="s">
        <v>298</v>
      </c>
      <c r="P282" s="1279"/>
      <c r="Q282" s="1279"/>
      <c r="R282" s="1279"/>
      <c r="S282" s="1279"/>
      <c r="T282" s="1279"/>
      <c r="U282" s="473"/>
      <c r="V282" s="216"/>
      <c r="W282" s="635"/>
      <c r="X282" s="86"/>
      <c r="Y282" s="86"/>
      <c r="Z282" s="86"/>
      <c r="AA282" s="357"/>
      <c r="AB282" s="357"/>
      <c r="AC282" s="357"/>
      <c r="AD282" s="357"/>
      <c r="AE282" s="357"/>
      <c r="AO282" s="476"/>
      <c r="AP282" s="476"/>
    </row>
    <row r="283" spans="2:42" s="124" customFormat="1" ht="12.75" customHeight="1" x14ac:dyDescent="0.2">
      <c r="B283" s="86"/>
      <c r="C283" s="214"/>
      <c r="D283" s="165" t="s">
        <v>152</v>
      </c>
      <c r="E283" s="165" t="s">
        <v>296</v>
      </c>
      <c r="F283" s="165" t="s">
        <v>275</v>
      </c>
      <c r="G283" s="480" t="s">
        <v>235</v>
      </c>
      <c r="H283" s="481" t="s">
        <v>439</v>
      </c>
      <c r="I283" s="480" t="s">
        <v>333</v>
      </c>
      <c r="J283" s="480" t="s">
        <v>368</v>
      </c>
      <c r="K283" s="482" t="s">
        <v>238</v>
      </c>
      <c r="L283" s="483" t="s">
        <v>334</v>
      </c>
      <c r="M283" s="482" t="s">
        <v>238</v>
      </c>
      <c r="N283" s="259"/>
      <c r="O283" s="584" t="s">
        <v>502</v>
      </c>
      <c r="P283" s="484" t="s">
        <v>637</v>
      </c>
      <c r="Q283" s="584" t="s">
        <v>0</v>
      </c>
      <c r="R283" s="485"/>
      <c r="S283" s="487" t="s">
        <v>334</v>
      </c>
      <c r="T283" s="1130" t="s">
        <v>313</v>
      </c>
      <c r="U283" s="486" t="s">
        <v>467</v>
      </c>
      <c r="V283" s="216" t="s">
        <v>668</v>
      </c>
      <c r="W283" s="636"/>
      <c r="X283" s="86"/>
      <c r="Y283" s="86"/>
      <c r="Z283" s="86"/>
      <c r="AA283" s="350" t="s">
        <v>444</v>
      </c>
      <c r="AB283" s="350" t="s">
        <v>445</v>
      </c>
      <c r="AC283" s="350" t="s">
        <v>237</v>
      </c>
      <c r="AD283" s="350" t="s">
        <v>326</v>
      </c>
      <c r="AE283" s="637" t="s">
        <v>300</v>
      </c>
      <c r="AO283" s="476"/>
      <c r="AP283" s="490"/>
    </row>
    <row r="284" spans="2:42" s="124" customFormat="1" ht="12.75" customHeight="1" x14ac:dyDescent="0.2">
      <c r="B284" s="86"/>
      <c r="C284" s="214"/>
      <c r="D284" s="633"/>
      <c r="E284" s="165"/>
      <c r="F284" s="494"/>
      <c r="G284" s="480" t="s">
        <v>236</v>
      </c>
      <c r="H284" s="481" t="s">
        <v>440</v>
      </c>
      <c r="I284" s="480"/>
      <c r="J284" s="480"/>
      <c r="K284" s="482" t="s">
        <v>443</v>
      </c>
      <c r="L284" s="483"/>
      <c r="M284" s="482" t="s">
        <v>337</v>
      </c>
      <c r="N284" s="259"/>
      <c r="O284" s="584" t="s">
        <v>321</v>
      </c>
      <c r="P284" s="484" t="s">
        <v>636</v>
      </c>
      <c r="Q284" s="1176">
        <f>tab!$E$55</f>
        <v>0.62</v>
      </c>
      <c r="R284" s="485" t="s">
        <v>1</v>
      </c>
      <c r="S284" s="487" t="s">
        <v>367</v>
      </c>
      <c r="T284" s="1130" t="s">
        <v>434</v>
      </c>
      <c r="U284" s="486"/>
      <c r="V284" s="487" t="s">
        <v>367</v>
      </c>
      <c r="X284" s="86"/>
      <c r="Y284" s="86"/>
      <c r="Z284" s="86"/>
      <c r="AA284" s="637" t="s">
        <v>441</v>
      </c>
      <c r="AB284" s="637" t="s">
        <v>441</v>
      </c>
      <c r="AC284" s="350"/>
      <c r="AD284" s="350" t="s">
        <v>300</v>
      </c>
      <c r="AE284" s="637"/>
      <c r="AP284" s="638"/>
    </row>
    <row r="285" spans="2:42" ht="12.75" customHeight="1" x14ac:dyDescent="0.2">
      <c r="C285" s="108"/>
      <c r="D285" s="109"/>
      <c r="E285" s="109"/>
      <c r="F285" s="109"/>
      <c r="G285" s="113"/>
      <c r="H285" s="499"/>
      <c r="I285" s="500"/>
      <c r="J285" s="500"/>
      <c r="K285" s="501"/>
      <c r="L285" s="498"/>
      <c r="M285" s="501"/>
      <c r="N285" s="109"/>
      <c r="O285" s="502"/>
      <c r="P285" s="503"/>
      <c r="Q285" s="503"/>
      <c r="R285" s="639"/>
      <c r="S285" s="503"/>
      <c r="T285" s="694"/>
      <c r="U285" s="138"/>
      <c r="V285" s="504"/>
      <c r="W285" s="124"/>
      <c r="AE285" s="637"/>
      <c r="AM285" s="86"/>
      <c r="AN285" s="86"/>
      <c r="AP285" s="506"/>
    </row>
    <row r="286" spans="2:42" ht="12.75" customHeight="1" x14ac:dyDescent="0.2">
      <c r="C286" s="108"/>
      <c r="D286" s="115" t="str">
        <f>IF(op!D219=0,"",op!D219)</f>
        <v/>
      </c>
      <c r="E286" s="115" t="str">
        <f>IF(op!E219=0,"-",op!E219)</f>
        <v>nn</v>
      </c>
      <c r="F286" s="115" t="str">
        <f>IF(op!F219=0,"-",op!F219)</f>
        <v/>
      </c>
      <c r="G286" s="132" t="str">
        <f>IF(op!G219="","",op!G219+1)</f>
        <v/>
      </c>
      <c r="H286" s="508">
        <f>IF(op!H219="","",op!H219)</f>
        <v>25934</v>
      </c>
      <c r="I286" s="132" t="str">
        <f>IF(op!I219=0,"",op!I219)</f>
        <v>LA</v>
      </c>
      <c r="J286" s="150">
        <f>IF(E286="","",(IF(op!J219+1&gt;LOOKUP(I286,schaal2011,regels2011),op!J219,op!J219+1)))</f>
        <v>15</v>
      </c>
      <c r="K286" s="509">
        <f>IF(op!K219="","",op!K219)</f>
        <v>1</v>
      </c>
      <c r="L286" s="510">
        <f>IF(op!L219="","",op!L219)</f>
        <v>0.125</v>
      </c>
      <c r="M286" s="511">
        <f t="shared" ref="M286:M317" si="86">(IF(L286="",(K286),(K286)-L286))</f>
        <v>0.875</v>
      </c>
      <c r="N286" s="109"/>
      <c r="O286" s="513">
        <f>IF(I286="","",VLOOKUP(I286,tab!$A$68:$V$108,J286+2,FALSE))</f>
        <v>3274</v>
      </c>
      <c r="P286" s="514">
        <f t="shared" ref="P286:P317" si="87">IF(E286="","",(O286*M286*12))</f>
        <v>34377</v>
      </c>
      <c r="Q286" s="1173">
        <f>$Q$284</f>
        <v>0.62</v>
      </c>
      <c r="R286" s="514">
        <f t="shared" ref="R286:R317" si="88">IF(E286="","",(P286)*Q286)</f>
        <v>21313.74</v>
      </c>
      <c r="S286" s="514">
        <f>IF(L286="",0,(((O286*12)*L286)*(1+tab!$D$55)*tab!$F$57))</f>
        <v>6236.97</v>
      </c>
      <c r="T286" s="1131">
        <f t="shared" ref="T286:T317" si="89">IF(E286="",0,(P286+R286+S286))</f>
        <v>61927.710000000006</v>
      </c>
      <c r="U286" s="219">
        <f t="shared" ref="U286:U317" si="90">IF(G286&lt;25,0,IF(G286=25,25,IF(G286&lt;40,0,IF(G286=40,40,IF(G286&gt;=40,0)))))</f>
        <v>0</v>
      </c>
      <c r="V286" s="1145">
        <f t="shared" ref="V286:V317" si="91">IF(U286=25,(O286*1.08*(K286)/2),IF(U286=40,(O286*1.08*(K286)),IF(U286=0,0)))</f>
        <v>0</v>
      </c>
      <c r="W286" s="469"/>
      <c r="AA286" s="642" t="b">
        <f>DATE(YEAR(tab!$I$3),MONTH(H286),DAY(H286))&gt;tab!$I$3</f>
        <v>0</v>
      </c>
      <c r="AB286" s="643">
        <f t="shared" ref="AB286:AB317" si="92">YEAR($E$279)-YEAR(H286)-AA286</f>
        <v>46</v>
      </c>
      <c r="AC286" s="244">
        <f t="shared" ref="AC286:AC317" si="93">IF((H286=""),30,AB286)</f>
        <v>46</v>
      </c>
      <c r="AD286" s="244">
        <f>IF((AC286)&gt;50,50,(AC286))</f>
        <v>46</v>
      </c>
      <c r="AE286" s="643">
        <f t="shared" ref="AE286:AE317" si="94">ROUND((AD286*(SUM(K286:K286))),2)</f>
        <v>46</v>
      </c>
      <c r="AK286" s="552"/>
    </row>
    <row r="287" spans="2:42" ht="12.75" customHeight="1" x14ac:dyDescent="0.2">
      <c r="C287" s="108"/>
      <c r="D287" s="115" t="str">
        <f>IF(op!D220=0,"",op!D220)</f>
        <v/>
      </c>
      <c r="E287" s="115" t="str">
        <f>IF(op!E220=0,"-",op!E220)</f>
        <v/>
      </c>
      <c r="F287" s="115" t="str">
        <f>IF(op!F220=0,"-",op!F220)</f>
        <v/>
      </c>
      <c r="G287" s="132" t="str">
        <f>IF(op!G220="","",op!G220+1)</f>
        <v/>
      </c>
      <c r="H287" s="508" t="str">
        <f>IF(op!H220="","",op!H220)</f>
        <v/>
      </c>
      <c r="I287" s="132" t="str">
        <f>IF(op!I220=0,"",op!I220)</f>
        <v/>
      </c>
      <c r="J287" s="150" t="str">
        <f>IF(E287="","",(IF(op!J220+1&gt;LOOKUP(I287,schaal2011,regels2011),op!J220,op!J220+1)))</f>
        <v/>
      </c>
      <c r="K287" s="509" t="str">
        <f>IF(op!K220="","",op!K220)</f>
        <v/>
      </c>
      <c r="L287" s="510" t="str">
        <f>IF(op!L220="","",op!L220)</f>
        <v/>
      </c>
      <c r="M287" s="511" t="str">
        <f t="shared" si="86"/>
        <v/>
      </c>
      <c r="N287" s="109"/>
      <c r="O287" s="513" t="str">
        <f>IF(I287="","",VLOOKUP(I287,tab!$A$68:$V$108,J287+2,FALSE))</f>
        <v/>
      </c>
      <c r="P287" s="514" t="str">
        <f t="shared" si="87"/>
        <v/>
      </c>
      <c r="Q287" s="1173">
        <f t="shared" ref="Q287:Q340" si="95">$Q$284</f>
        <v>0.62</v>
      </c>
      <c r="R287" s="514" t="str">
        <f t="shared" si="88"/>
        <v/>
      </c>
      <c r="S287" s="514">
        <f>IF(L287="",0,(((O287*12)*L287)*(1+tab!$D$55)*tab!$F$57))</f>
        <v>0</v>
      </c>
      <c r="T287" s="1131">
        <f t="shared" si="89"/>
        <v>0</v>
      </c>
      <c r="U287" s="219">
        <f t="shared" si="90"/>
        <v>0</v>
      </c>
      <c r="V287" s="1145">
        <f t="shared" si="91"/>
        <v>0</v>
      </c>
      <c r="W287" s="469"/>
      <c r="AA287" s="642" t="e">
        <f>DATE(YEAR(tab!$I$3),MONTH(H287),DAY(H287))&gt;tab!$I$3</f>
        <v>#VALUE!</v>
      </c>
      <c r="AB287" s="642" t="e">
        <f t="shared" si="92"/>
        <v>#VALUE!</v>
      </c>
      <c r="AC287" s="244">
        <f t="shared" si="93"/>
        <v>30</v>
      </c>
      <c r="AD287" s="244">
        <f t="shared" ref="AD287:AD317" si="96">IF((AC287)&gt;50,50,(AC287))</f>
        <v>30</v>
      </c>
      <c r="AE287" s="643">
        <f t="shared" si="94"/>
        <v>0</v>
      </c>
      <c r="AK287" s="552"/>
    </row>
    <row r="288" spans="2:42" ht="12.75" customHeight="1" x14ac:dyDescent="0.2">
      <c r="C288" s="108"/>
      <c r="D288" s="115" t="str">
        <f>IF(op!D221=0,"",op!D221)</f>
        <v/>
      </c>
      <c r="E288" s="115" t="str">
        <f>IF(op!E221=0,"-",op!E221)</f>
        <v/>
      </c>
      <c r="F288" s="115" t="str">
        <f>IF(op!F221=0,"-",op!F221)</f>
        <v/>
      </c>
      <c r="G288" s="132" t="str">
        <f>IF(op!G221="","",op!G221+1)</f>
        <v/>
      </c>
      <c r="H288" s="508" t="str">
        <f>IF(op!H221="","",op!H221)</f>
        <v/>
      </c>
      <c r="I288" s="132" t="str">
        <f>IF(op!I221=0,"",op!I221)</f>
        <v/>
      </c>
      <c r="J288" s="150" t="str">
        <f>IF(E288="","",(IF(op!J221+1&gt;LOOKUP(I288,schaal2011,regels2011),op!J221,op!J221+1)))</f>
        <v/>
      </c>
      <c r="K288" s="509" t="str">
        <f>IF(op!K221="","",op!K221)</f>
        <v/>
      </c>
      <c r="L288" s="510" t="str">
        <f>IF(op!L221="","",op!L221)</f>
        <v/>
      </c>
      <c r="M288" s="511" t="str">
        <f t="shared" si="86"/>
        <v/>
      </c>
      <c r="N288" s="109"/>
      <c r="O288" s="513" t="str">
        <f>IF(I288="","",VLOOKUP(I288,tab!$A$68:$V$108,J288+2,FALSE))</f>
        <v/>
      </c>
      <c r="P288" s="514" t="str">
        <f t="shared" si="87"/>
        <v/>
      </c>
      <c r="Q288" s="1173">
        <f t="shared" si="95"/>
        <v>0.62</v>
      </c>
      <c r="R288" s="514" t="str">
        <f t="shared" si="88"/>
        <v/>
      </c>
      <c r="S288" s="514">
        <f>IF(L288="",0,(((O288*12)*L288)*(1+tab!$D$55)*tab!$F$57))</f>
        <v>0</v>
      </c>
      <c r="T288" s="1131">
        <f t="shared" si="89"/>
        <v>0</v>
      </c>
      <c r="U288" s="219">
        <f t="shared" si="90"/>
        <v>0</v>
      </c>
      <c r="V288" s="1145">
        <f t="shared" si="91"/>
        <v>0</v>
      </c>
      <c r="W288" s="644"/>
      <c r="AA288" s="642" t="e">
        <f>DATE(YEAR(tab!$I$3),MONTH(H288),DAY(H288))&gt;tab!$I$3</f>
        <v>#VALUE!</v>
      </c>
      <c r="AB288" s="642" t="e">
        <f t="shared" si="92"/>
        <v>#VALUE!</v>
      </c>
      <c r="AC288" s="244">
        <f t="shared" si="93"/>
        <v>30</v>
      </c>
      <c r="AD288" s="244">
        <f t="shared" si="96"/>
        <v>30</v>
      </c>
      <c r="AE288" s="643">
        <f t="shared" si="94"/>
        <v>0</v>
      </c>
      <c r="AK288" s="552"/>
    </row>
    <row r="289" spans="3:37" ht="12.75" customHeight="1" x14ac:dyDescent="0.2">
      <c r="C289" s="108"/>
      <c r="D289" s="115" t="str">
        <f>IF(op!D222=0,"",op!D222)</f>
        <v/>
      </c>
      <c r="E289" s="115" t="str">
        <f>IF(op!E222=0,"-",op!E222)</f>
        <v/>
      </c>
      <c r="F289" s="115" t="str">
        <f>IF(op!F222=0,"-",op!F222)</f>
        <v/>
      </c>
      <c r="G289" s="132" t="str">
        <f>IF(op!G222="","",op!G222+1)</f>
        <v/>
      </c>
      <c r="H289" s="508" t="str">
        <f>IF(op!H222="","",op!H222)</f>
        <v/>
      </c>
      <c r="I289" s="132" t="str">
        <f>IF(op!I222=0,"",op!I222)</f>
        <v/>
      </c>
      <c r="J289" s="150" t="str">
        <f>IF(E289="","",(IF(op!J222+1&gt;LOOKUP(I289,schaal2011,regels2011),op!J222,op!J222+1)))</f>
        <v/>
      </c>
      <c r="K289" s="509" t="str">
        <f>IF(op!K222="","",op!K222)</f>
        <v/>
      </c>
      <c r="L289" s="510" t="str">
        <f>IF(op!L222="","",op!L222)</f>
        <v/>
      </c>
      <c r="M289" s="511" t="str">
        <f t="shared" si="86"/>
        <v/>
      </c>
      <c r="N289" s="109"/>
      <c r="O289" s="513" t="str">
        <f>IF(I289="","",VLOOKUP(I289,tab!$A$68:$V$108,J289+2,FALSE))</f>
        <v/>
      </c>
      <c r="P289" s="514" t="str">
        <f t="shared" si="87"/>
        <v/>
      </c>
      <c r="Q289" s="1173">
        <f t="shared" si="95"/>
        <v>0.62</v>
      </c>
      <c r="R289" s="514" t="str">
        <f t="shared" si="88"/>
        <v/>
      </c>
      <c r="S289" s="514">
        <f>IF(L289="",0,(((O289*12)*L289)*(1+tab!$D$55)*tab!$F$57))</f>
        <v>0</v>
      </c>
      <c r="T289" s="1131">
        <f t="shared" si="89"/>
        <v>0</v>
      </c>
      <c r="U289" s="219">
        <f t="shared" si="90"/>
        <v>0</v>
      </c>
      <c r="V289" s="1145">
        <f t="shared" si="91"/>
        <v>0</v>
      </c>
      <c r="W289" s="644"/>
      <c r="AA289" s="642" t="e">
        <f>DATE(YEAR(tab!$I$3),MONTH(H289),DAY(H289))&gt;tab!$I$3</f>
        <v>#VALUE!</v>
      </c>
      <c r="AB289" s="642" t="e">
        <f t="shared" si="92"/>
        <v>#VALUE!</v>
      </c>
      <c r="AC289" s="244">
        <f t="shared" si="93"/>
        <v>30</v>
      </c>
      <c r="AD289" s="244">
        <f t="shared" si="96"/>
        <v>30</v>
      </c>
      <c r="AE289" s="643">
        <f t="shared" si="94"/>
        <v>0</v>
      </c>
      <c r="AK289" s="552"/>
    </row>
    <row r="290" spans="3:37" ht="12.75" customHeight="1" x14ac:dyDescent="0.2">
      <c r="C290" s="108"/>
      <c r="D290" s="115" t="str">
        <f>IF(op!D223=0,"",op!D223)</f>
        <v/>
      </c>
      <c r="E290" s="115" t="str">
        <f>IF(op!E223=0,"-",op!E223)</f>
        <v/>
      </c>
      <c r="F290" s="115" t="str">
        <f>IF(op!F223=0,"-",op!F223)</f>
        <v/>
      </c>
      <c r="G290" s="132" t="str">
        <f>IF(op!G223="","",op!G223+1)</f>
        <v/>
      </c>
      <c r="H290" s="508" t="str">
        <f>IF(op!H223="","",op!H223)</f>
        <v/>
      </c>
      <c r="I290" s="132" t="str">
        <f>IF(op!I223=0,"",op!I223)</f>
        <v/>
      </c>
      <c r="J290" s="150" t="str">
        <f>IF(E290="","",(IF(op!J223+1&gt;LOOKUP(I290,schaal2011,regels2011),op!J223,op!J223+1)))</f>
        <v/>
      </c>
      <c r="K290" s="509" t="str">
        <f>IF(op!K223="","",op!K223)</f>
        <v/>
      </c>
      <c r="L290" s="510" t="str">
        <f>IF(op!L223="","",op!L223)</f>
        <v/>
      </c>
      <c r="M290" s="511" t="str">
        <f t="shared" si="86"/>
        <v/>
      </c>
      <c r="N290" s="109"/>
      <c r="O290" s="513" t="str">
        <f>IF(I290="","",VLOOKUP(I290,tab!$A$68:$V$108,J290+2,FALSE))</f>
        <v/>
      </c>
      <c r="P290" s="514" t="str">
        <f t="shared" si="87"/>
        <v/>
      </c>
      <c r="Q290" s="1173">
        <f t="shared" si="95"/>
        <v>0.62</v>
      </c>
      <c r="R290" s="514" t="str">
        <f t="shared" si="88"/>
        <v/>
      </c>
      <c r="S290" s="514">
        <f>IF(L290="",0,(((O290*12)*L290)*(1+tab!$D$55)*tab!$F$57))</f>
        <v>0</v>
      </c>
      <c r="T290" s="1131">
        <f t="shared" si="89"/>
        <v>0</v>
      </c>
      <c r="U290" s="219">
        <f t="shared" si="90"/>
        <v>0</v>
      </c>
      <c r="V290" s="1145">
        <f t="shared" si="91"/>
        <v>0</v>
      </c>
      <c r="W290" s="469"/>
      <c r="AA290" s="642" t="e">
        <f>DATE(YEAR(tab!$I$3),MONTH(H290),DAY(H290))&gt;tab!$I$3</f>
        <v>#VALUE!</v>
      </c>
      <c r="AB290" s="642" t="e">
        <f t="shared" si="92"/>
        <v>#VALUE!</v>
      </c>
      <c r="AC290" s="244">
        <f t="shared" si="93"/>
        <v>30</v>
      </c>
      <c r="AD290" s="244">
        <f t="shared" si="96"/>
        <v>30</v>
      </c>
      <c r="AE290" s="643">
        <f t="shared" si="94"/>
        <v>0</v>
      </c>
      <c r="AK290" s="552"/>
    </row>
    <row r="291" spans="3:37" ht="12.75" customHeight="1" x14ac:dyDescent="0.2">
      <c r="C291" s="108"/>
      <c r="D291" s="115" t="str">
        <f>IF(op!D224=0,"",op!D224)</f>
        <v/>
      </c>
      <c r="E291" s="115" t="str">
        <f>IF(op!E224=0,"-",op!E224)</f>
        <v/>
      </c>
      <c r="F291" s="115" t="str">
        <f>IF(op!F224=0,"-",op!F224)</f>
        <v/>
      </c>
      <c r="G291" s="132" t="str">
        <f>IF(op!G224="","",op!G224+1)</f>
        <v/>
      </c>
      <c r="H291" s="508" t="str">
        <f>IF(op!H224="","",op!H224)</f>
        <v/>
      </c>
      <c r="I291" s="132" t="str">
        <f>IF(op!I224=0,"",op!I224)</f>
        <v/>
      </c>
      <c r="J291" s="150" t="str">
        <f>IF(E291="","",(IF(op!J224+1&gt;LOOKUP(I291,schaal2011,regels2011),op!J224,op!J224+1)))</f>
        <v/>
      </c>
      <c r="K291" s="509" t="str">
        <f>IF(op!K224="","",op!K224)</f>
        <v/>
      </c>
      <c r="L291" s="510" t="str">
        <f>IF(op!L224="","",op!L224)</f>
        <v/>
      </c>
      <c r="M291" s="511" t="str">
        <f t="shared" si="86"/>
        <v/>
      </c>
      <c r="N291" s="109"/>
      <c r="O291" s="513" t="str">
        <f>IF(I291="","",VLOOKUP(I291,tab!$A$68:$V$108,J291+2,FALSE))</f>
        <v/>
      </c>
      <c r="P291" s="514" t="str">
        <f t="shared" si="87"/>
        <v/>
      </c>
      <c r="Q291" s="1173">
        <f t="shared" si="95"/>
        <v>0.62</v>
      </c>
      <c r="R291" s="514" t="str">
        <f t="shared" si="88"/>
        <v/>
      </c>
      <c r="S291" s="514">
        <f>IF(L291="",0,(((O291*12)*L291)*(1+tab!$D$55)*tab!$F$57))</f>
        <v>0</v>
      </c>
      <c r="T291" s="1131">
        <f t="shared" si="89"/>
        <v>0</v>
      </c>
      <c r="U291" s="219">
        <f t="shared" si="90"/>
        <v>0</v>
      </c>
      <c r="V291" s="1145">
        <f t="shared" si="91"/>
        <v>0</v>
      </c>
      <c r="W291" s="469"/>
      <c r="AA291" s="642" t="e">
        <f>DATE(YEAR(tab!$I$3),MONTH(H291),DAY(H291))&gt;tab!$I$3</f>
        <v>#VALUE!</v>
      </c>
      <c r="AB291" s="642" t="e">
        <f t="shared" si="92"/>
        <v>#VALUE!</v>
      </c>
      <c r="AC291" s="244">
        <f t="shared" si="93"/>
        <v>30</v>
      </c>
      <c r="AD291" s="244">
        <f t="shared" si="96"/>
        <v>30</v>
      </c>
      <c r="AE291" s="643">
        <f t="shared" si="94"/>
        <v>0</v>
      </c>
      <c r="AK291" s="552"/>
    </row>
    <row r="292" spans="3:37" ht="12.75" customHeight="1" x14ac:dyDescent="0.2">
      <c r="C292" s="108"/>
      <c r="D292" s="115" t="str">
        <f>IF(op!D225=0,"",op!D225)</f>
        <v/>
      </c>
      <c r="E292" s="115" t="str">
        <f>IF(op!E225=0,"-",op!E225)</f>
        <v/>
      </c>
      <c r="F292" s="115" t="str">
        <f>IF(op!F225=0,"-",op!F225)</f>
        <v/>
      </c>
      <c r="G292" s="132" t="str">
        <f>IF(op!G225="","",op!G225+1)</f>
        <v/>
      </c>
      <c r="H292" s="508" t="str">
        <f>IF(op!H225="","",op!H225)</f>
        <v/>
      </c>
      <c r="I292" s="132" t="str">
        <f>IF(op!I225=0,"",op!I225)</f>
        <v/>
      </c>
      <c r="J292" s="150" t="str">
        <f>IF(E292="","",(IF(op!J225+1&gt;LOOKUP(I292,schaal2011,regels2011),op!J225,op!J225+1)))</f>
        <v/>
      </c>
      <c r="K292" s="509" t="str">
        <f>IF(op!K225="","",op!K225)</f>
        <v/>
      </c>
      <c r="L292" s="510" t="str">
        <f>IF(op!L225="","",op!L225)</f>
        <v/>
      </c>
      <c r="M292" s="511" t="str">
        <f t="shared" si="86"/>
        <v/>
      </c>
      <c r="N292" s="109"/>
      <c r="O292" s="513" t="str">
        <f>IF(I292="","",VLOOKUP(I292,tab!$A$68:$V$108,J292+2,FALSE))</f>
        <v/>
      </c>
      <c r="P292" s="514" t="str">
        <f t="shared" si="87"/>
        <v/>
      </c>
      <c r="Q292" s="1173">
        <f t="shared" si="95"/>
        <v>0.62</v>
      </c>
      <c r="R292" s="514" t="str">
        <f t="shared" si="88"/>
        <v/>
      </c>
      <c r="S292" s="514">
        <f>IF(L292="",0,(((O292*12)*L292)*(1+tab!$D$55)*tab!$F$57))</f>
        <v>0</v>
      </c>
      <c r="T292" s="1131">
        <f t="shared" si="89"/>
        <v>0</v>
      </c>
      <c r="U292" s="219">
        <f t="shared" si="90"/>
        <v>0</v>
      </c>
      <c r="V292" s="1145">
        <f t="shared" si="91"/>
        <v>0</v>
      </c>
      <c r="W292" s="124"/>
      <c r="AA292" s="642" t="e">
        <f>DATE(YEAR(tab!$I$3),MONTH(H292),DAY(H292))&gt;tab!$I$3</f>
        <v>#VALUE!</v>
      </c>
      <c r="AB292" s="642" t="e">
        <f t="shared" si="92"/>
        <v>#VALUE!</v>
      </c>
      <c r="AC292" s="244">
        <f t="shared" si="93"/>
        <v>30</v>
      </c>
      <c r="AD292" s="244">
        <f t="shared" si="96"/>
        <v>30</v>
      </c>
      <c r="AE292" s="643">
        <f t="shared" si="94"/>
        <v>0</v>
      </c>
      <c r="AK292" s="552"/>
    </row>
    <row r="293" spans="3:37" ht="12.75" customHeight="1" x14ac:dyDescent="0.2">
      <c r="C293" s="108"/>
      <c r="D293" s="115" t="str">
        <f>IF(op!D226=0,"",op!D226)</f>
        <v/>
      </c>
      <c r="E293" s="115" t="str">
        <f>IF(op!E226=0,"-",op!E226)</f>
        <v/>
      </c>
      <c r="F293" s="115" t="str">
        <f>IF(op!F226=0,"-",op!F226)</f>
        <v/>
      </c>
      <c r="G293" s="132" t="str">
        <f>IF(op!G226="","",op!G226+1)</f>
        <v/>
      </c>
      <c r="H293" s="508" t="str">
        <f>IF(op!H226="","",op!H226)</f>
        <v/>
      </c>
      <c r="I293" s="132" t="str">
        <f>IF(op!I226=0,"",op!I226)</f>
        <v/>
      </c>
      <c r="J293" s="150" t="str">
        <f>IF(E293="","",(IF(op!J226+1&gt;LOOKUP(I293,schaal2011,regels2011),op!J226,op!J226+1)))</f>
        <v/>
      </c>
      <c r="K293" s="509" t="str">
        <f>IF(op!K226="","",op!K226)</f>
        <v/>
      </c>
      <c r="L293" s="510" t="str">
        <f>IF(op!L226="","",op!L226)</f>
        <v/>
      </c>
      <c r="M293" s="511" t="str">
        <f t="shared" si="86"/>
        <v/>
      </c>
      <c r="N293" s="109"/>
      <c r="O293" s="513" t="str">
        <f>IF(I293="","",VLOOKUP(I293,tab!$A$68:$V$108,J293+2,FALSE))</f>
        <v/>
      </c>
      <c r="P293" s="514" t="str">
        <f t="shared" si="87"/>
        <v/>
      </c>
      <c r="Q293" s="1173">
        <f t="shared" si="95"/>
        <v>0.62</v>
      </c>
      <c r="R293" s="514" t="str">
        <f t="shared" si="88"/>
        <v/>
      </c>
      <c r="S293" s="514">
        <f>IF(L293="",0,(((O293*12)*L293)*(1+tab!$D$55)*tab!$F$57))</f>
        <v>0</v>
      </c>
      <c r="T293" s="1131">
        <f t="shared" si="89"/>
        <v>0</v>
      </c>
      <c r="U293" s="219">
        <f t="shared" si="90"/>
        <v>0</v>
      </c>
      <c r="V293" s="1145">
        <f t="shared" si="91"/>
        <v>0</v>
      </c>
      <c r="W293" s="124"/>
      <c r="AA293" s="642" t="e">
        <f>DATE(YEAR(tab!$I$3),MONTH(H293),DAY(H293))&gt;tab!$I$3</f>
        <v>#VALUE!</v>
      </c>
      <c r="AB293" s="642" t="e">
        <f t="shared" si="92"/>
        <v>#VALUE!</v>
      </c>
      <c r="AC293" s="244">
        <f t="shared" si="93"/>
        <v>30</v>
      </c>
      <c r="AD293" s="244">
        <f t="shared" si="96"/>
        <v>30</v>
      </c>
      <c r="AE293" s="643">
        <f t="shared" si="94"/>
        <v>0</v>
      </c>
      <c r="AK293" s="552"/>
    </row>
    <row r="294" spans="3:37" ht="12.75" customHeight="1" x14ac:dyDescent="0.2">
      <c r="C294" s="108"/>
      <c r="D294" s="115" t="str">
        <f>IF(op!D227=0,"",op!D227)</f>
        <v/>
      </c>
      <c r="E294" s="115" t="str">
        <f>IF(op!E227=0,"-",op!E227)</f>
        <v/>
      </c>
      <c r="F294" s="115" t="str">
        <f>IF(op!F227=0,"-",op!F227)</f>
        <v/>
      </c>
      <c r="G294" s="132" t="str">
        <f>IF(op!G227="","",op!G227+1)</f>
        <v/>
      </c>
      <c r="H294" s="508" t="str">
        <f>IF(op!H227="","",op!H227)</f>
        <v/>
      </c>
      <c r="I294" s="132" t="str">
        <f>IF(op!I227=0,"",op!I227)</f>
        <v/>
      </c>
      <c r="J294" s="150" t="str">
        <f>IF(E294="","",(IF(op!J227+1&gt;LOOKUP(I294,schaal2011,regels2011),op!J227,op!J227+1)))</f>
        <v/>
      </c>
      <c r="K294" s="509" t="str">
        <f>IF(op!K227="","",op!K227)</f>
        <v/>
      </c>
      <c r="L294" s="510" t="str">
        <f>IF(op!L227="","",op!L227)</f>
        <v/>
      </c>
      <c r="M294" s="511" t="str">
        <f t="shared" si="86"/>
        <v/>
      </c>
      <c r="N294" s="109"/>
      <c r="O294" s="513" t="str">
        <f>IF(I294="","",VLOOKUP(I294,tab!$A$68:$V$108,J294+2,FALSE))</f>
        <v/>
      </c>
      <c r="P294" s="514" t="str">
        <f t="shared" si="87"/>
        <v/>
      </c>
      <c r="Q294" s="1173">
        <f t="shared" si="95"/>
        <v>0.62</v>
      </c>
      <c r="R294" s="514" t="str">
        <f t="shared" si="88"/>
        <v/>
      </c>
      <c r="S294" s="514">
        <f>IF(L294="",0,(((O294*12)*L294)*(1+tab!$D$55)*tab!$F$57))</f>
        <v>0</v>
      </c>
      <c r="T294" s="1131">
        <f t="shared" si="89"/>
        <v>0</v>
      </c>
      <c r="U294" s="219">
        <f t="shared" si="90"/>
        <v>0</v>
      </c>
      <c r="V294" s="1145">
        <f t="shared" si="91"/>
        <v>0</v>
      </c>
      <c r="W294" s="124"/>
      <c r="AA294" s="642" t="e">
        <f>DATE(YEAR(tab!$I$3),MONTH(H294),DAY(H294))&gt;tab!$I$3</f>
        <v>#VALUE!</v>
      </c>
      <c r="AB294" s="642" t="e">
        <f t="shared" si="92"/>
        <v>#VALUE!</v>
      </c>
      <c r="AC294" s="244">
        <f t="shared" si="93"/>
        <v>30</v>
      </c>
      <c r="AD294" s="244">
        <f t="shared" si="96"/>
        <v>30</v>
      </c>
      <c r="AE294" s="643">
        <f t="shared" si="94"/>
        <v>0</v>
      </c>
      <c r="AK294" s="552"/>
    </row>
    <row r="295" spans="3:37" ht="12.75" customHeight="1" x14ac:dyDescent="0.2">
      <c r="C295" s="108"/>
      <c r="D295" s="115" t="str">
        <f>IF(op!D228=0,"",op!D228)</f>
        <v/>
      </c>
      <c r="E295" s="115" t="str">
        <f>IF(op!E228=0,"-",op!E228)</f>
        <v/>
      </c>
      <c r="F295" s="115" t="str">
        <f>IF(op!F228=0,"-",op!F228)</f>
        <v/>
      </c>
      <c r="G295" s="132" t="str">
        <f>IF(op!G228="","",op!G228+1)</f>
        <v/>
      </c>
      <c r="H295" s="508" t="str">
        <f>IF(op!H228="","",op!H228)</f>
        <v/>
      </c>
      <c r="I295" s="132" t="str">
        <f>IF(op!I228=0,"",op!I228)</f>
        <v/>
      </c>
      <c r="J295" s="150" t="str">
        <f>IF(E295="","",(IF(op!J228+1&gt;LOOKUP(I295,schaal2011,regels2011),op!J228,op!J228+1)))</f>
        <v/>
      </c>
      <c r="K295" s="509" t="str">
        <f>IF(op!K228="","",op!K228)</f>
        <v/>
      </c>
      <c r="L295" s="510" t="str">
        <f>IF(op!L228="","",op!L228)</f>
        <v/>
      </c>
      <c r="M295" s="511" t="str">
        <f t="shared" si="86"/>
        <v/>
      </c>
      <c r="N295" s="109"/>
      <c r="O295" s="513" t="str">
        <f>IF(I295="","",VLOOKUP(I295,tab!$A$68:$V$108,J295+2,FALSE))</f>
        <v/>
      </c>
      <c r="P295" s="514" t="str">
        <f t="shared" si="87"/>
        <v/>
      </c>
      <c r="Q295" s="1173">
        <f t="shared" si="95"/>
        <v>0.62</v>
      </c>
      <c r="R295" s="514" t="str">
        <f t="shared" si="88"/>
        <v/>
      </c>
      <c r="S295" s="514">
        <f>IF(L295="",0,(((O295*12)*L295)*(1+tab!$D$55)*tab!$F$57))</f>
        <v>0</v>
      </c>
      <c r="T295" s="1131">
        <f t="shared" si="89"/>
        <v>0</v>
      </c>
      <c r="U295" s="219">
        <f t="shared" si="90"/>
        <v>0</v>
      </c>
      <c r="V295" s="1145">
        <f t="shared" si="91"/>
        <v>0</v>
      </c>
      <c r="W295" s="124"/>
      <c r="AA295" s="642" t="e">
        <f>DATE(YEAR(tab!$I$3),MONTH(H295),DAY(H295))&gt;tab!$I$3</f>
        <v>#VALUE!</v>
      </c>
      <c r="AB295" s="642" t="e">
        <f t="shared" si="92"/>
        <v>#VALUE!</v>
      </c>
      <c r="AC295" s="244">
        <f t="shared" si="93"/>
        <v>30</v>
      </c>
      <c r="AD295" s="244">
        <f t="shared" si="96"/>
        <v>30</v>
      </c>
      <c r="AE295" s="643">
        <f t="shared" si="94"/>
        <v>0</v>
      </c>
      <c r="AK295" s="552"/>
    </row>
    <row r="296" spans="3:37" ht="12.75" customHeight="1" x14ac:dyDescent="0.2">
      <c r="C296" s="108"/>
      <c r="D296" s="115" t="str">
        <f>IF(op!D229=0,"",op!D229)</f>
        <v/>
      </c>
      <c r="E296" s="115" t="str">
        <f>IF(op!E229=0,"-",op!E229)</f>
        <v/>
      </c>
      <c r="F296" s="115" t="str">
        <f>IF(op!F229=0,"-",op!F229)</f>
        <v/>
      </c>
      <c r="G296" s="132" t="str">
        <f>IF(op!G229="","",op!G229+1)</f>
        <v/>
      </c>
      <c r="H296" s="508" t="str">
        <f>IF(op!H229="","",op!H229)</f>
        <v/>
      </c>
      <c r="I296" s="132" t="str">
        <f>IF(op!I229=0,"",op!I229)</f>
        <v/>
      </c>
      <c r="J296" s="150" t="str">
        <f>IF(E296="","",(IF(op!J229+1&gt;LOOKUP(I296,schaal2011,regels2011),op!J229,op!J229+1)))</f>
        <v/>
      </c>
      <c r="K296" s="509" t="str">
        <f>IF(op!K229="","",op!K229)</f>
        <v/>
      </c>
      <c r="L296" s="510" t="str">
        <f>IF(op!L229="","",op!L229)</f>
        <v/>
      </c>
      <c r="M296" s="511" t="str">
        <f t="shared" si="86"/>
        <v/>
      </c>
      <c r="N296" s="109"/>
      <c r="O296" s="513" t="str">
        <f>IF(I296="","",VLOOKUP(I296,tab!$A$68:$V$108,J296+2,FALSE))</f>
        <v/>
      </c>
      <c r="P296" s="514" t="str">
        <f t="shared" si="87"/>
        <v/>
      </c>
      <c r="Q296" s="1173">
        <f t="shared" si="95"/>
        <v>0.62</v>
      </c>
      <c r="R296" s="514" t="str">
        <f t="shared" si="88"/>
        <v/>
      </c>
      <c r="S296" s="514">
        <f>IF(L296="",0,(((O296*12)*L296)*(1+tab!$D$55)*tab!$F$57))</f>
        <v>0</v>
      </c>
      <c r="T296" s="1131">
        <f t="shared" si="89"/>
        <v>0</v>
      </c>
      <c r="U296" s="219">
        <f t="shared" si="90"/>
        <v>0</v>
      </c>
      <c r="V296" s="1145">
        <f t="shared" si="91"/>
        <v>0</v>
      </c>
      <c r="W296" s="124"/>
      <c r="AA296" s="642" t="e">
        <f>DATE(YEAR(tab!$I$3),MONTH(H296),DAY(H296))&gt;tab!$I$3</f>
        <v>#VALUE!</v>
      </c>
      <c r="AB296" s="642" t="e">
        <f t="shared" si="92"/>
        <v>#VALUE!</v>
      </c>
      <c r="AC296" s="244">
        <f t="shared" si="93"/>
        <v>30</v>
      </c>
      <c r="AD296" s="244">
        <f t="shared" si="96"/>
        <v>30</v>
      </c>
      <c r="AE296" s="643">
        <f t="shared" si="94"/>
        <v>0</v>
      </c>
      <c r="AK296" s="552"/>
    </row>
    <row r="297" spans="3:37" ht="12.75" customHeight="1" x14ac:dyDescent="0.2">
      <c r="C297" s="108"/>
      <c r="D297" s="115" t="str">
        <f>IF(op!D230=0,"",op!D230)</f>
        <v/>
      </c>
      <c r="E297" s="115" t="str">
        <f>IF(op!E230=0,"-",op!E230)</f>
        <v/>
      </c>
      <c r="F297" s="115" t="str">
        <f>IF(op!F230=0,"-",op!F230)</f>
        <v/>
      </c>
      <c r="G297" s="132" t="str">
        <f>IF(op!G230="","",op!G230+1)</f>
        <v/>
      </c>
      <c r="H297" s="508" t="str">
        <f>IF(op!H230="","",op!H230)</f>
        <v/>
      </c>
      <c r="I297" s="132" t="str">
        <f>IF(op!I230=0,"",op!I230)</f>
        <v/>
      </c>
      <c r="J297" s="150" t="str">
        <f>IF(E297="","",(IF(op!J230+1&gt;LOOKUP(I297,schaal2011,regels2011),op!J230,op!J230+1)))</f>
        <v/>
      </c>
      <c r="K297" s="509" t="str">
        <f>IF(op!K230="","",op!K230)</f>
        <v/>
      </c>
      <c r="L297" s="510" t="str">
        <f>IF(op!L230="","",op!L230)</f>
        <v/>
      </c>
      <c r="M297" s="511" t="str">
        <f t="shared" si="86"/>
        <v/>
      </c>
      <c r="N297" s="109"/>
      <c r="O297" s="513" t="str">
        <f>IF(I297="","",VLOOKUP(I297,tab!$A$68:$V$108,J297+2,FALSE))</f>
        <v/>
      </c>
      <c r="P297" s="514" t="str">
        <f t="shared" si="87"/>
        <v/>
      </c>
      <c r="Q297" s="1173">
        <f t="shared" si="95"/>
        <v>0.62</v>
      </c>
      <c r="R297" s="514" t="str">
        <f t="shared" si="88"/>
        <v/>
      </c>
      <c r="S297" s="514">
        <f>IF(L297="",0,(((O297*12)*L297)*(1+tab!$D$55)*tab!$F$57))</f>
        <v>0</v>
      </c>
      <c r="T297" s="1131">
        <f t="shared" si="89"/>
        <v>0</v>
      </c>
      <c r="U297" s="219">
        <f t="shared" si="90"/>
        <v>0</v>
      </c>
      <c r="V297" s="1145">
        <f t="shared" si="91"/>
        <v>0</v>
      </c>
      <c r="W297" s="124"/>
      <c r="AA297" s="642" t="e">
        <f>DATE(YEAR(tab!$I$3),MONTH(H297),DAY(H297))&gt;tab!$I$3</f>
        <v>#VALUE!</v>
      </c>
      <c r="AB297" s="642" t="e">
        <f t="shared" si="92"/>
        <v>#VALUE!</v>
      </c>
      <c r="AC297" s="244">
        <f t="shared" si="93"/>
        <v>30</v>
      </c>
      <c r="AD297" s="244">
        <f t="shared" si="96"/>
        <v>30</v>
      </c>
      <c r="AE297" s="643">
        <f t="shared" si="94"/>
        <v>0</v>
      </c>
      <c r="AK297" s="552"/>
    </row>
    <row r="298" spans="3:37" ht="12.75" customHeight="1" x14ac:dyDescent="0.2">
      <c r="C298" s="108"/>
      <c r="D298" s="115" t="str">
        <f>IF(op!D231=0,"",op!D231)</f>
        <v/>
      </c>
      <c r="E298" s="115" t="str">
        <f>IF(op!E231=0,"-",op!E231)</f>
        <v/>
      </c>
      <c r="F298" s="115" t="str">
        <f>IF(op!F231=0,"-",op!F231)</f>
        <v/>
      </c>
      <c r="G298" s="132" t="str">
        <f>IF(op!G231="","",op!G231+1)</f>
        <v/>
      </c>
      <c r="H298" s="508" t="str">
        <f>IF(op!H231="","",op!H231)</f>
        <v/>
      </c>
      <c r="I298" s="132" t="str">
        <f>IF(op!I231=0,"",op!I231)</f>
        <v/>
      </c>
      <c r="J298" s="150" t="str">
        <f>IF(E298="","",(IF(op!J231+1&gt;LOOKUP(I298,schaal2011,regels2011),op!J231,op!J231+1)))</f>
        <v/>
      </c>
      <c r="K298" s="509" t="str">
        <f>IF(op!K231="","",op!K231)</f>
        <v/>
      </c>
      <c r="L298" s="510" t="str">
        <f>IF(op!L231="","",op!L231)</f>
        <v/>
      </c>
      <c r="M298" s="511" t="str">
        <f t="shared" si="86"/>
        <v/>
      </c>
      <c r="N298" s="109"/>
      <c r="O298" s="513" t="str">
        <f>IF(I298="","",VLOOKUP(I298,tab!$A$68:$V$108,J298+2,FALSE))</f>
        <v/>
      </c>
      <c r="P298" s="514" t="str">
        <f t="shared" si="87"/>
        <v/>
      </c>
      <c r="Q298" s="1173">
        <f t="shared" si="95"/>
        <v>0.62</v>
      </c>
      <c r="R298" s="514" t="str">
        <f t="shared" si="88"/>
        <v/>
      </c>
      <c r="S298" s="514">
        <f>IF(L298="",0,(((O298*12)*L298)*(1+tab!$D$55)*tab!$F$57))</f>
        <v>0</v>
      </c>
      <c r="T298" s="1131">
        <f t="shared" si="89"/>
        <v>0</v>
      </c>
      <c r="U298" s="219">
        <f t="shared" si="90"/>
        <v>0</v>
      </c>
      <c r="V298" s="1145">
        <f t="shared" si="91"/>
        <v>0</v>
      </c>
      <c r="W298" s="124"/>
      <c r="AA298" s="642" t="e">
        <f>DATE(YEAR(tab!$I$3),MONTH(H298),DAY(H298))&gt;tab!$I$3</f>
        <v>#VALUE!</v>
      </c>
      <c r="AB298" s="642" t="e">
        <f t="shared" si="92"/>
        <v>#VALUE!</v>
      </c>
      <c r="AC298" s="244">
        <f t="shared" si="93"/>
        <v>30</v>
      </c>
      <c r="AD298" s="244">
        <f t="shared" si="96"/>
        <v>30</v>
      </c>
      <c r="AE298" s="643">
        <f t="shared" si="94"/>
        <v>0</v>
      </c>
      <c r="AK298" s="552"/>
    </row>
    <row r="299" spans="3:37" ht="12.75" customHeight="1" x14ac:dyDescent="0.2">
      <c r="C299" s="108"/>
      <c r="D299" s="115" t="str">
        <f>IF(op!D232=0,"",op!D232)</f>
        <v/>
      </c>
      <c r="E299" s="115" t="str">
        <f>IF(op!E232=0,"-",op!E232)</f>
        <v/>
      </c>
      <c r="F299" s="115" t="str">
        <f>IF(op!F232=0,"-",op!F232)</f>
        <v/>
      </c>
      <c r="G299" s="132" t="str">
        <f>IF(op!G232="","",op!G232+1)</f>
        <v/>
      </c>
      <c r="H299" s="508" t="str">
        <f>IF(op!H232="","",op!H232)</f>
        <v/>
      </c>
      <c r="I299" s="132" t="str">
        <f>IF(op!I232=0,"",op!I232)</f>
        <v/>
      </c>
      <c r="J299" s="150" t="str">
        <f>IF(E299="","",(IF(op!J232+1&gt;LOOKUP(I299,schaal2011,regels2011),op!J232,op!J232+1)))</f>
        <v/>
      </c>
      <c r="K299" s="509" t="str">
        <f>IF(op!K232="","",op!K232)</f>
        <v/>
      </c>
      <c r="L299" s="510" t="str">
        <f>IF(op!L232="","",op!L232)</f>
        <v/>
      </c>
      <c r="M299" s="511" t="str">
        <f t="shared" si="86"/>
        <v/>
      </c>
      <c r="N299" s="109"/>
      <c r="O299" s="513" t="str">
        <f>IF(I299="","",VLOOKUP(I299,tab!$A$68:$V$108,J299+2,FALSE))</f>
        <v/>
      </c>
      <c r="P299" s="514" t="str">
        <f t="shared" si="87"/>
        <v/>
      </c>
      <c r="Q299" s="1173">
        <f t="shared" si="95"/>
        <v>0.62</v>
      </c>
      <c r="R299" s="514" t="str">
        <f t="shared" si="88"/>
        <v/>
      </c>
      <c r="S299" s="514">
        <f>IF(L299="",0,(((O299*12)*L299)*(1+tab!$D$55)*tab!$F$57))</f>
        <v>0</v>
      </c>
      <c r="T299" s="1131">
        <f t="shared" si="89"/>
        <v>0</v>
      </c>
      <c r="U299" s="219">
        <f t="shared" si="90"/>
        <v>0</v>
      </c>
      <c r="V299" s="1145">
        <f t="shared" si="91"/>
        <v>0</v>
      </c>
      <c r="W299" s="124"/>
      <c r="AA299" s="642" t="e">
        <f>DATE(YEAR(tab!$I$3),MONTH(H299),DAY(H299))&gt;tab!$I$3</f>
        <v>#VALUE!</v>
      </c>
      <c r="AB299" s="642" t="e">
        <f t="shared" si="92"/>
        <v>#VALUE!</v>
      </c>
      <c r="AC299" s="244">
        <f t="shared" si="93"/>
        <v>30</v>
      </c>
      <c r="AD299" s="244">
        <f t="shared" si="96"/>
        <v>30</v>
      </c>
      <c r="AE299" s="643">
        <f t="shared" si="94"/>
        <v>0</v>
      </c>
      <c r="AK299" s="552"/>
    </row>
    <row r="300" spans="3:37" ht="12.75" customHeight="1" x14ac:dyDescent="0.2">
      <c r="C300" s="108"/>
      <c r="D300" s="115" t="str">
        <f>IF(op!D233=0,"",op!D233)</f>
        <v/>
      </c>
      <c r="E300" s="115" t="str">
        <f>IF(op!E233=0,"-",op!E233)</f>
        <v/>
      </c>
      <c r="F300" s="115" t="str">
        <f>IF(op!F233=0,"-",op!F233)</f>
        <v/>
      </c>
      <c r="G300" s="132" t="str">
        <f>IF(op!G233="","",op!G233+1)</f>
        <v/>
      </c>
      <c r="H300" s="508" t="str">
        <f>IF(op!H233="","",op!H233)</f>
        <v/>
      </c>
      <c r="I300" s="132" t="str">
        <f>IF(op!I233=0,"",op!I233)</f>
        <v/>
      </c>
      <c r="J300" s="150" t="str">
        <f>IF(E300="","",(IF(op!J233+1&gt;LOOKUP(I300,schaal2011,regels2011),op!J233,op!J233+1)))</f>
        <v/>
      </c>
      <c r="K300" s="509" t="str">
        <f>IF(op!K233="","",op!K233)</f>
        <v/>
      </c>
      <c r="L300" s="510" t="str">
        <f>IF(op!L233="","",op!L233)</f>
        <v/>
      </c>
      <c r="M300" s="511" t="str">
        <f t="shared" si="86"/>
        <v/>
      </c>
      <c r="N300" s="109"/>
      <c r="O300" s="513" t="str">
        <f>IF(I300="","",VLOOKUP(I300,tab!$A$68:$V$108,J300+2,FALSE))</f>
        <v/>
      </c>
      <c r="P300" s="514" t="str">
        <f t="shared" si="87"/>
        <v/>
      </c>
      <c r="Q300" s="1173">
        <f t="shared" si="95"/>
        <v>0.62</v>
      </c>
      <c r="R300" s="514" t="str">
        <f t="shared" si="88"/>
        <v/>
      </c>
      <c r="S300" s="514">
        <f>IF(L300="",0,(((O300*12)*L300)*(1+tab!$D$55)*tab!$F$57))</f>
        <v>0</v>
      </c>
      <c r="T300" s="1131">
        <f t="shared" si="89"/>
        <v>0</v>
      </c>
      <c r="U300" s="219">
        <f t="shared" si="90"/>
        <v>0</v>
      </c>
      <c r="V300" s="1145">
        <f t="shared" si="91"/>
        <v>0</v>
      </c>
      <c r="W300" s="124"/>
      <c r="AA300" s="642" t="e">
        <f>DATE(YEAR(tab!$I$3),MONTH(H300),DAY(H300))&gt;tab!$I$3</f>
        <v>#VALUE!</v>
      </c>
      <c r="AB300" s="642" t="e">
        <f t="shared" si="92"/>
        <v>#VALUE!</v>
      </c>
      <c r="AC300" s="244">
        <f t="shared" si="93"/>
        <v>30</v>
      </c>
      <c r="AD300" s="244">
        <f t="shared" si="96"/>
        <v>30</v>
      </c>
      <c r="AE300" s="643">
        <f t="shared" si="94"/>
        <v>0</v>
      </c>
      <c r="AK300" s="552"/>
    </row>
    <row r="301" spans="3:37" ht="12.75" customHeight="1" x14ac:dyDescent="0.2">
      <c r="C301" s="108"/>
      <c r="D301" s="115" t="str">
        <f>IF(op!D234=0,"",op!D234)</f>
        <v/>
      </c>
      <c r="E301" s="115" t="str">
        <f>IF(op!E234=0,"-",op!E234)</f>
        <v/>
      </c>
      <c r="F301" s="115" t="str">
        <f>IF(op!F234=0,"-",op!F234)</f>
        <v/>
      </c>
      <c r="G301" s="132" t="str">
        <f>IF(op!G234="","",op!G234+1)</f>
        <v/>
      </c>
      <c r="H301" s="508" t="str">
        <f>IF(op!H234="","",op!H234)</f>
        <v/>
      </c>
      <c r="I301" s="132" t="str">
        <f>IF(op!I234=0,"",op!I234)</f>
        <v/>
      </c>
      <c r="J301" s="150" t="str">
        <f>IF(E301="","",(IF(op!J234+1&gt;LOOKUP(I301,schaal2011,regels2011),op!J234,op!J234+1)))</f>
        <v/>
      </c>
      <c r="K301" s="509" t="str">
        <f>IF(op!K234="","",op!K234)</f>
        <v/>
      </c>
      <c r="L301" s="510" t="str">
        <f>IF(op!L234="","",op!L234)</f>
        <v/>
      </c>
      <c r="M301" s="511" t="str">
        <f t="shared" si="86"/>
        <v/>
      </c>
      <c r="N301" s="109"/>
      <c r="O301" s="513" t="str">
        <f>IF(I301="","",VLOOKUP(I301,tab!$A$68:$V$108,J301+2,FALSE))</f>
        <v/>
      </c>
      <c r="P301" s="514" t="str">
        <f t="shared" si="87"/>
        <v/>
      </c>
      <c r="Q301" s="1173">
        <f t="shared" si="95"/>
        <v>0.62</v>
      </c>
      <c r="R301" s="514" t="str">
        <f t="shared" si="88"/>
        <v/>
      </c>
      <c r="S301" s="514">
        <f>IF(L301="",0,(((O301*12)*L301)*(1+tab!$D$55)*tab!$F$57))</f>
        <v>0</v>
      </c>
      <c r="T301" s="1131">
        <f t="shared" si="89"/>
        <v>0</v>
      </c>
      <c r="U301" s="219">
        <f t="shared" si="90"/>
        <v>0</v>
      </c>
      <c r="V301" s="1145">
        <f t="shared" si="91"/>
        <v>0</v>
      </c>
      <c r="W301" s="124"/>
      <c r="AA301" s="642" t="e">
        <f>DATE(YEAR(tab!$I$3),MONTH(H301),DAY(H301))&gt;tab!$I$3</f>
        <v>#VALUE!</v>
      </c>
      <c r="AB301" s="642" t="e">
        <f t="shared" si="92"/>
        <v>#VALUE!</v>
      </c>
      <c r="AC301" s="244">
        <f t="shared" si="93"/>
        <v>30</v>
      </c>
      <c r="AD301" s="244">
        <f t="shared" si="96"/>
        <v>30</v>
      </c>
      <c r="AE301" s="643">
        <f t="shared" si="94"/>
        <v>0</v>
      </c>
      <c r="AK301" s="552"/>
    </row>
    <row r="302" spans="3:37" ht="12.75" customHeight="1" x14ac:dyDescent="0.2">
      <c r="C302" s="108"/>
      <c r="D302" s="115" t="str">
        <f>IF(op!D235=0,"",op!D235)</f>
        <v/>
      </c>
      <c r="E302" s="115" t="str">
        <f>IF(op!E235=0,"-",op!E235)</f>
        <v/>
      </c>
      <c r="F302" s="115" t="str">
        <f>IF(op!F235=0,"-",op!F235)</f>
        <v/>
      </c>
      <c r="G302" s="132" t="str">
        <f>IF(op!G235="","",op!G235+1)</f>
        <v/>
      </c>
      <c r="H302" s="508" t="str">
        <f>IF(op!H235="","",op!H235)</f>
        <v/>
      </c>
      <c r="I302" s="132" t="str">
        <f>IF(op!I235=0,"",op!I235)</f>
        <v/>
      </c>
      <c r="J302" s="150" t="str">
        <f>IF(E302="","",(IF(op!J235+1&gt;LOOKUP(I302,schaal2011,regels2011),op!J235,op!J235+1)))</f>
        <v/>
      </c>
      <c r="K302" s="509" t="str">
        <f>IF(op!K235="","",op!K235)</f>
        <v/>
      </c>
      <c r="L302" s="510" t="str">
        <f>IF(op!L235="","",op!L235)</f>
        <v/>
      </c>
      <c r="M302" s="511" t="str">
        <f t="shared" si="86"/>
        <v/>
      </c>
      <c r="N302" s="109"/>
      <c r="O302" s="513" t="str">
        <f>IF(I302="","",VLOOKUP(I302,tab!$A$68:$V$108,J302+2,FALSE))</f>
        <v/>
      </c>
      <c r="P302" s="514" t="str">
        <f t="shared" si="87"/>
        <v/>
      </c>
      <c r="Q302" s="1173">
        <f t="shared" si="95"/>
        <v>0.62</v>
      </c>
      <c r="R302" s="514" t="str">
        <f t="shared" si="88"/>
        <v/>
      </c>
      <c r="S302" s="514">
        <f>IF(L302="",0,(((O302*12)*L302)*(1+tab!$D$55)*tab!$F$57))</f>
        <v>0</v>
      </c>
      <c r="T302" s="1131">
        <f t="shared" si="89"/>
        <v>0</v>
      </c>
      <c r="U302" s="219">
        <f t="shared" si="90"/>
        <v>0</v>
      </c>
      <c r="V302" s="1145">
        <f t="shared" si="91"/>
        <v>0</v>
      </c>
      <c r="W302" s="124"/>
      <c r="AA302" s="642" t="e">
        <f>DATE(YEAR(tab!$I$3),MONTH(H302),DAY(H302))&gt;tab!$I$3</f>
        <v>#VALUE!</v>
      </c>
      <c r="AB302" s="642" t="e">
        <f t="shared" si="92"/>
        <v>#VALUE!</v>
      </c>
      <c r="AC302" s="244">
        <f t="shared" si="93"/>
        <v>30</v>
      </c>
      <c r="AD302" s="244">
        <f t="shared" si="96"/>
        <v>30</v>
      </c>
      <c r="AE302" s="643">
        <f t="shared" si="94"/>
        <v>0</v>
      </c>
      <c r="AK302" s="552"/>
    </row>
    <row r="303" spans="3:37" ht="12.75" customHeight="1" x14ac:dyDescent="0.2">
      <c r="C303" s="108"/>
      <c r="D303" s="115" t="str">
        <f>IF(op!D236=0,"",op!D236)</f>
        <v/>
      </c>
      <c r="E303" s="115" t="str">
        <f>IF(op!E236=0,"-",op!E236)</f>
        <v/>
      </c>
      <c r="F303" s="115" t="str">
        <f>IF(op!F236=0,"-",op!F236)</f>
        <v/>
      </c>
      <c r="G303" s="132" t="str">
        <f>IF(op!G236="","",op!G236+1)</f>
        <v/>
      </c>
      <c r="H303" s="508" t="str">
        <f>IF(op!H236="","",op!H236)</f>
        <v/>
      </c>
      <c r="I303" s="132" t="str">
        <f>IF(op!I236=0,"",op!I236)</f>
        <v/>
      </c>
      <c r="J303" s="150" t="str">
        <f>IF(E303="","",(IF(op!J236+1&gt;LOOKUP(I303,schaal2011,regels2011),op!J236,op!J236+1)))</f>
        <v/>
      </c>
      <c r="K303" s="509" t="str">
        <f>IF(op!K236="","",op!K236)</f>
        <v/>
      </c>
      <c r="L303" s="510" t="str">
        <f>IF(op!L236="","",op!L236)</f>
        <v/>
      </c>
      <c r="M303" s="511" t="str">
        <f t="shared" si="86"/>
        <v/>
      </c>
      <c r="N303" s="109"/>
      <c r="O303" s="513" t="str">
        <f>IF(I303="","",VLOOKUP(I303,tab!$A$68:$V$108,J303+2,FALSE))</f>
        <v/>
      </c>
      <c r="P303" s="514" t="str">
        <f t="shared" si="87"/>
        <v/>
      </c>
      <c r="Q303" s="1173">
        <f t="shared" si="95"/>
        <v>0.62</v>
      </c>
      <c r="R303" s="514" t="str">
        <f t="shared" si="88"/>
        <v/>
      </c>
      <c r="S303" s="514">
        <f>IF(L303="",0,(((O303*12)*L303)*(1+tab!$D$55)*tab!$F$57))</f>
        <v>0</v>
      </c>
      <c r="T303" s="1131">
        <f t="shared" si="89"/>
        <v>0</v>
      </c>
      <c r="U303" s="219">
        <f t="shared" si="90"/>
        <v>0</v>
      </c>
      <c r="V303" s="1145">
        <f t="shared" si="91"/>
        <v>0</v>
      </c>
      <c r="W303" s="124"/>
      <c r="AA303" s="642" t="e">
        <f>DATE(YEAR(tab!$I$3),MONTH(H303),DAY(H303))&gt;tab!$I$3</f>
        <v>#VALUE!</v>
      </c>
      <c r="AB303" s="642" t="e">
        <f t="shared" si="92"/>
        <v>#VALUE!</v>
      </c>
      <c r="AC303" s="244">
        <f t="shared" si="93"/>
        <v>30</v>
      </c>
      <c r="AD303" s="244">
        <f t="shared" si="96"/>
        <v>30</v>
      </c>
      <c r="AE303" s="643">
        <f t="shared" si="94"/>
        <v>0</v>
      </c>
      <c r="AK303" s="552"/>
    </row>
    <row r="304" spans="3:37" ht="12.75" customHeight="1" x14ac:dyDescent="0.2">
      <c r="C304" s="108"/>
      <c r="D304" s="115" t="str">
        <f>IF(op!D237=0,"",op!D237)</f>
        <v/>
      </c>
      <c r="E304" s="115" t="str">
        <f>IF(op!E237=0,"-",op!E237)</f>
        <v/>
      </c>
      <c r="F304" s="115" t="str">
        <f>IF(op!F237=0,"-",op!F237)</f>
        <v/>
      </c>
      <c r="G304" s="132" t="str">
        <f>IF(op!G237="","",op!G237+1)</f>
        <v/>
      </c>
      <c r="H304" s="508" t="str">
        <f>IF(op!H237="","",op!H237)</f>
        <v/>
      </c>
      <c r="I304" s="132" t="str">
        <f>IF(op!I237=0,"",op!I237)</f>
        <v/>
      </c>
      <c r="J304" s="150" t="str">
        <f>IF(E304="","",(IF(op!J237+1&gt;LOOKUP(I304,schaal2011,regels2011),op!J237,op!J237+1)))</f>
        <v/>
      </c>
      <c r="K304" s="509" t="str">
        <f>IF(op!K237="","",op!K237)</f>
        <v/>
      </c>
      <c r="L304" s="510" t="str">
        <f>IF(op!L237="","",op!L237)</f>
        <v/>
      </c>
      <c r="M304" s="511" t="str">
        <f t="shared" si="86"/>
        <v/>
      </c>
      <c r="N304" s="109"/>
      <c r="O304" s="513" t="str">
        <f>IF(I304="","",VLOOKUP(I304,tab!$A$68:$V$108,J304+2,FALSE))</f>
        <v/>
      </c>
      <c r="P304" s="514" t="str">
        <f t="shared" si="87"/>
        <v/>
      </c>
      <c r="Q304" s="1173">
        <f t="shared" si="95"/>
        <v>0.62</v>
      </c>
      <c r="R304" s="514" t="str">
        <f t="shared" si="88"/>
        <v/>
      </c>
      <c r="S304" s="514">
        <f>IF(L304="",0,(((O304*12)*L304)*(1+tab!$D$55)*tab!$F$57))</f>
        <v>0</v>
      </c>
      <c r="T304" s="1131">
        <f t="shared" si="89"/>
        <v>0</v>
      </c>
      <c r="U304" s="219">
        <f t="shared" si="90"/>
        <v>0</v>
      </c>
      <c r="V304" s="1145">
        <f t="shared" si="91"/>
        <v>0</v>
      </c>
      <c r="W304" s="124"/>
      <c r="AA304" s="642" t="e">
        <f>DATE(YEAR(tab!$I$3),MONTH(H304),DAY(H304))&gt;tab!$I$3</f>
        <v>#VALUE!</v>
      </c>
      <c r="AB304" s="642" t="e">
        <f t="shared" si="92"/>
        <v>#VALUE!</v>
      </c>
      <c r="AC304" s="244">
        <f t="shared" si="93"/>
        <v>30</v>
      </c>
      <c r="AD304" s="244">
        <f t="shared" si="96"/>
        <v>30</v>
      </c>
      <c r="AE304" s="643">
        <f t="shared" si="94"/>
        <v>0</v>
      </c>
      <c r="AK304" s="552"/>
    </row>
    <row r="305" spans="3:37" ht="12.75" customHeight="1" x14ac:dyDescent="0.2">
      <c r="C305" s="108"/>
      <c r="D305" s="115" t="str">
        <f>IF(op!D238=0,"",op!D238)</f>
        <v/>
      </c>
      <c r="E305" s="115" t="str">
        <f>IF(op!E238=0,"-",op!E238)</f>
        <v/>
      </c>
      <c r="F305" s="115" t="str">
        <f>IF(op!F238=0,"-",op!F238)</f>
        <v/>
      </c>
      <c r="G305" s="132" t="str">
        <f>IF(op!G238="","",op!G238+1)</f>
        <v/>
      </c>
      <c r="H305" s="508" t="str">
        <f>IF(op!H238="","",op!H238)</f>
        <v/>
      </c>
      <c r="I305" s="132" t="str">
        <f>IF(op!I238=0,"",op!I238)</f>
        <v/>
      </c>
      <c r="J305" s="150" t="str">
        <f>IF(E305="","",(IF(op!J238+1&gt;LOOKUP(I305,schaal2011,regels2011),op!J238,op!J238+1)))</f>
        <v/>
      </c>
      <c r="K305" s="509" t="str">
        <f>IF(op!K238="","",op!K238)</f>
        <v/>
      </c>
      <c r="L305" s="510" t="str">
        <f>IF(op!L238="","",op!L238)</f>
        <v/>
      </c>
      <c r="M305" s="511" t="str">
        <f t="shared" si="86"/>
        <v/>
      </c>
      <c r="N305" s="109"/>
      <c r="O305" s="513" t="str">
        <f>IF(I305="","",VLOOKUP(I305,tab!$A$68:$V$108,J305+2,FALSE))</f>
        <v/>
      </c>
      <c r="P305" s="514" t="str">
        <f t="shared" si="87"/>
        <v/>
      </c>
      <c r="Q305" s="1173">
        <f t="shared" si="95"/>
        <v>0.62</v>
      </c>
      <c r="R305" s="514" t="str">
        <f t="shared" si="88"/>
        <v/>
      </c>
      <c r="S305" s="514">
        <f>IF(L305="",0,(((O305*12)*L305)*(1+tab!$D$55)*tab!$F$57))</f>
        <v>0</v>
      </c>
      <c r="T305" s="1131">
        <f t="shared" si="89"/>
        <v>0</v>
      </c>
      <c r="U305" s="219">
        <f t="shared" si="90"/>
        <v>0</v>
      </c>
      <c r="V305" s="1145">
        <f t="shared" si="91"/>
        <v>0</v>
      </c>
      <c r="W305" s="124"/>
      <c r="AA305" s="642" t="e">
        <f>DATE(YEAR(tab!$I$3),MONTH(H305),DAY(H305))&gt;tab!$I$3</f>
        <v>#VALUE!</v>
      </c>
      <c r="AB305" s="642" t="e">
        <f t="shared" si="92"/>
        <v>#VALUE!</v>
      </c>
      <c r="AC305" s="244">
        <f t="shared" si="93"/>
        <v>30</v>
      </c>
      <c r="AD305" s="244">
        <f t="shared" si="96"/>
        <v>30</v>
      </c>
      <c r="AE305" s="643">
        <f t="shared" si="94"/>
        <v>0</v>
      </c>
      <c r="AK305" s="552"/>
    </row>
    <row r="306" spans="3:37" ht="12.75" customHeight="1" x14ac:dyDescent="0.2">
      <c r="C306" s="108"/>
      <c r="D306" s="115" t="str">
        <f>IF(op!D239=0,"",op!D239)</f>
        <v/>
      </c>
      <c r="E306" s="115" t="str">
        <f>IF(op!E239=0,"-",op!E239)</f>
        <v/>
      </c>
      <c r="F306" s="115" t="str">
        <f>IF(op!F239=0,"-",op!F239)</f>
        <v/>
      </c>
      <c r="G306" s="132" t="str">
        <f>IF(op!G239="","",op!G239+1)</f>
        <v/>
      </c>
      <c r="H306" s="508" t="str">
        <f>IF(op!H239="","",op!H239)</f>
        <v/>
      </c>
      <c r="I306" s="132" t="str">
        <f>IF(op!I239=0,"",op!I239)</f>
        <v/>
      </c>
      <c r="J306" s="150" t="str">
        <f>IF(E306="","",(IF(op!J239+1&gt;LOOKUP(I306,schaal2011,regels2011),op!J239,op!J239+1)))</f>
        <v/>
      </c>
      <c r="K306" s="509" t="str">
        <f>IF(op!K239="","",op!K239)</f>
        <v/>
      </c>
      <c r="L306" s="510" t="str">
        <f>IF(op!L239="","",op!L239)</f>
        <v/>
      </c>
      <c r="M306" s="511" t="str">
        <f t="shared" si="86"/>
        <v/>
      </c>
      <c r="N306" s="109"/>
      <c r="O306" s="513" t="str">
        <f>IF(I306="","",VLOOKUP(I306,tab!$A$68:$V$108,J306+2,FALSE))</f>
        <v/>
      </c>
      <c r="P306" s="514" t="str">
        <f t="shared" si="87"/>
        <v/>
      </c>
      <c r="Q306" s="1173">
        <f t="shared" si="95"/>
        <v>0.62</v>
      </c>
      <c r="R306" s="514" t="str">
        <f t="shared" si="88"/>
        <v/>
      </c>
      <c r="S306" s="514">
        <f>IF(L306="",0,(((O306*12)*L306)*(1+tab!$D$55)*tab!$F$57))</f>
        <v>0</v>
      </c>
      <c r="T306" s="1131">
        <f t="shared" si="89"/>
        <v>0</v>
      </c>
      <c r="U306" s="219">
        <f t="shared" si="90"/>
        <v>0</v>
      </c>
      <c r="V306" s="1145">
        <f t="shared" si="91"/>
        <v>0</v>
      </c>
      <c r="W306" s="124"/>
      <c r="AA306" s="642" t="e">
        <f>DATE(YEAR(tab!$I$3),MONTH(H306),DAY(H306))&gt;tab!$I$3</f>
        <v>#VALUE!</v>
      </c>
      <c r="AB306" s="642" t="e">
        <f t="shared" si="92"/>
        <v>#VALUE!</v>
      </c>
      <c r="AC306" s="244">
        <f t="shared" si="93"/>
        <v>30</v>
      </c>
      <c r="AD306" s="244">
        <f t="shared" si="96"/>
        <v>30</v>
      </c>
      <c r="AE306" s="643">
        <f t="shared" si="94"/>
        <v>0</v>
      </c>
      <c r="AK306" s="552"/>
    </row>
    <row r="307" spans="3:37" ht="12.75" customHeight="1" x14ac:dyDescent="0.2">
      <c r="C307" s="108"/>
      <c r="D307" s="115" t="str">
        <f>IF(op!D240=0,"",op!D240)</f>
        <v/>
      </c>
      <c r="E307" s="115" t="str">
        <f>IF(op!E240=0,"-",op!E240)</f>
        <v/>
      </c>
      <c r="F307" s="115" t="str">
        <f>IF(op!F240=0,"-",op!F240)</f>
        <v/>
      </c>
      <c r="G307" s="132" t="str">
        <f>IF(op!G240="","",op!G240+1)</f>
        <v/>
      </c>
      <c r="H307" s="508" t="str">
        <f>IF(op!H240="","",op!H240)</f>
        <v/>
      </c>
      <c r="I307" s="132" t="str">
        <f>IF(op!I240=0,"",op!I240)</f>
        <v/>
      </c>
      <c r="J307" s="150" t="str">
        <f>IF(E307="","",(IF(op!J240+1&gt;LOOKUP(I307,schaal2011,regels2011),op!J240,op!J240+1)))</f>
        <v/>
      </c>
      <c r="K307" s="509" t="str">
        <f>IF(op!K240="","",op!K240)</f>
        <v/>
      </c>
      <c r="L307" s="510" t="str">
        <f>IF(op!L240="","",op!L240)</f>
        <v/>
      </c>
      <c r="M307" s="511" t="str">
        <f t="shared" si="86"/>
        <v/>
      </c>
      <c r="N307" s="109"/>
      <c r="O307" s="513" t="str">
        <f>IF(I307="","",VLOOKUP(I307,tab!$A$68:$V$108,J307+2,FALSE))</f>
        <v/>
      </c>
      <c r="P307" s="514" t="str">
        <f t="shared" si="87"/>
        <v/>
      </c>
      <c r="Q307" s="1173">
        <f t="shared" si="95"/>
        <v>0.62</v>
      </c>
      <c r="R307" s="514" t="str">
        <f t="shared" si="88"/>
        <v/>
      </c>
      <c r="S307" s="514">
        <f>IF(L307="",0,(((O307*12)*L307)*(1+tab!$D$55)*tab!$F$57))</f>
        <v>0</v>
      </c>
      <c r="T307" s="1131">
        <f t="shared" si="89"/>
        <v>0</v>
      </c>
      <c r="U307" s="219">
        <f t="shared" si="90"/>
        <v>0</v>
      </c>
      <c r="V307" s="1145">
        <f t="shared" si="91"/>
        <v>0</v>
      </c>
      <c r="W307" s="124"/>
      <c r="AA307" s="642" t="e">
        <f>DATE(YEAR(tab!$I$3),MONTH(H307),DAY(H307))&gt;tab!$I$3</f>
        <v>#VALUE!</v>
      </c>
      <c r="AB307" s="642" t="e">
        <f t="shared" si="92"/>
        <v>#VALUE!</v>
      </c>
      <c r="AC307" s="244">
        <f t="shared" si="93"/>
        <v>30</v>
      </c>
      <c r="AD307" s="244">
        <f t="shared" si="96"/>
        <v>30</v>
      </c>
      <c r="AE307" s="643">
        <f t="shared" si="94"/>
        <v>0</v>
      </c>
      <c r="AK307" s="552"/>
    </row>
    <row r="308" spans="3:37" ht="12.75" customHeight="1" x14ac:dyDescent="0.2">
      <c r="C308" s="108"/>
      <c r="D308" s="115" t="str">
        <f>IF(op!D241=0,"",op!D241)</f>
        <v/>
      </c>
      <c r="E308" s="115" t="str">
        <f>IF(op!E241=0,"-",op!E241)</f>
        <v/>
      </c>
      <c r="F308" s="115" t="str">
        <f>IF(op!F241=0,"-",op!F241)</f>
        <v/>
      </c>
      <c r="G308" s="132" t="str">
        <f>IF(op!G241="","",op!G241+1)</f>
        <v/>
      </c>
      <c r="H308" s="508" t="str">
        <f>IF(op!H241="","",op!H241)</f>
        <v/>
      </c>
      <c r="I308" s="132" t="str">
        <f>IF(op!I241=0,"",op!I241)</f>
        <v/>
      </c>
      <c r="J308" s="150" t="str">
        <f>IF(E308="","",(IF(op!J241+1&gt;LOOKUP(I308,schaal2011,regels2011),op!J241,op!J241+1)))</f>
        <v/>
      </c>
      <c r="K308" s="509" t="str">
        <f>IF(op!K241="","",op!K241)</f>
        <v/>
      </c>
      <c r="L308" s="510" t="str">
        <f>IF(op!L241="","",op!L241)</f>
        <v/>
      </c>
      <c r="M308" s="511" t="str">
        <f t="shared" si="86"/>
        <v/>
      </c>
      <c r="N308" s="109"/>
      <c r="O308" s="513" t="str">
        <f>IF(I308="","",VLOOKUP(I308,tab!$A$68:$V$108,J308+2,FALSE))</f>
        <v/>
      </c>
      <c r="P308" s="514" t="str">
        <f t="shared" si="87"/>
        <v/>
      </c>
      <c r="Q308" s="1173">
        <f t="shared" si="95"/>
        <v>0.62</v>
      </c>
      <c r="R308" s="514" t="str">
        <f t="shared" si="88"/>
        <v/>
      </c>
      <c r="S308" s="514">
        <f>IF(L308="",0,(((O308*12)*L308)*(1+tab!$D$55)*tab!$F$57))</f>
        <v>0</v>
      </c>
      <c r="T308" s="1131">
        <f t="shared" si="89"/>
        <v>0</v>
      </c>
      <c r="U308" s="219">
        <f t="shared" si="90"/>
        <v>0</v>
      </c>
      <c r="V308" s="1145">
        <f t="shared" si="91"/>
        <v>0</v>
      </c>
      <c r="W308" s="124"/>
      <c r="AA308" s="642" t="e">
        <f>DATE(YEAR(tab!$I$3),MONTH(H308),DAY(H308))&gt;tab!$I$3</f>
        <v>#VALUE!</v>
      </c>
      <c r="AB308" s="642" t="e">
        <f t="shared" si="92"/>
        <v>#VALUE!</v>
      </c>
      <c r="AC308" s="244">
        <f t="shared" si="93"/>
        <v>30</v>
      </c>
      <c r="AD308" s="244">
        <f t="shared" si="96"/>
        <v>30</v>
      </c>
      <c r="AE308" s="643">
        <f t="shared" si="94"/>
        <v>0</v>
      </c>
      <c r="AK308" s="552"/>
    </row>
    <row r="309" spans="3:37" ht="12.75" customHeight="1" x14ac:dyDescent="0.2">
      <c r="C309" s="108"/>
      <c r="D309" s="115" t="str">
        <f>IF(op!D242=0,"",op!D242)</f>
        <v/>
      </c>
      <c r="E309" s="115" t="str">
        <f>IF(op!E242=0,"-",op!E242)</f>
        <v/>
      </c>
      <c r="F309" s="115" t="str">
        <f>IF(op!F242=0,"-",op!F242)</f>
        <v/>
      </c>
      <c r="G309" s="132" t="str">
        <f>IF(op!G242="","",op!G242+1)</f>
        <v/>
      </c>
      <c r="H309" s="508" t="str">
        <f>IF(op!H242="","",op!H242)</f>
        <v/>
      </c>
      <c r="I309" s="132" t="str">
        <f>IF(op!I242=0,"",op!I242)</f>
        <v/>
      </c>
      <c r="J309" s="150" t="str">
        <f>IF(E309="","",(IF(op!J242+1&gt;LOOKUP(I309,schaal2011,regels2011),op!J242,op!J242+1)))</f>
        <v/>
      </c>
      <c r="K309" s="509" t="str">
        <f>IF(op!K242="","",op!K242)</f>
        <v/>
      </c>
      <c r="L309" s="510" t="str">
        <f>IF(op!L242="","",op!L242)</f>
        <v/>
      </c>
      <c r="M309" s="511" t="str">
        <f t="shared" si="86"/>
        <v/>
      </c>
      <c r="N309" s="109"/>
      <c r="O309" s="513" t="str">
        <f>IF(I309="","",VLOOKUP(I309,tab!$A$68:$V$108,J309+2,FALSE))</f>
        <v/>
      </c>
      <c r="P309" s="514" t="str">
        <f t="shared" si="87"/>
        <v/>
      </c>
      <c r="Q309" s="1173">
        <f t="shared" si="95"/>
        <v>0.62</v>
      </c>
      <c r="R309" s="514" t="str">
        <f t="shared" si="88"/>
        <v/>
      </c>
      <c r="S309" s="514">
        <f>IF(L309="",0,(((O309*12)*L309)*(1+tab!$D$55)*tab!$F$57))</f>
        <v>0</v>
      </c>
      <c r="T309" s="1131">
        <f t="shared" si="89"/>
        <v>0</v>
      </c>
      <c r="U309" s="219">
        <f t="shared" si="90"/>
        <v>0</v>
      </c>
      <c r="V309" s="1145">
        <f t="shared" si="91"/>
        <v>0</v>
      </c>
      <c r="W309" s="124"/>
      <c r="AA309" s="642" t="e">
        <f>DATE(YEAR(tab!$I$3),MONTH(H309),DAY(H309))&gt;tab!$I$3</f>
        <v>#VALUE!</v>
      </c>
      <c r="AB309" s="642" t="e">
        <f t="shared" si="92"/>
        <v>#VALUE!</v>
      </c>
      <c r="AC309" s="244">
        <f t="shared" si="93"/>
        <v>30</v>
      </c>
      <c r="AD309" s="244">
        <f t="shared" si="96"/>
        <v>30</v>
      </c>
      <c r="AE309" s="643">
        <f t="shared" si="94"/>
        <v>0</v>
      </c>
      <c r="AK309" s="552"/>
    </row>
    <row r="310" spans="3:37" ht="12.75" customHeight="1" x14ac:dyDescent="0.2">
      <c r="C310" s="108"/>
      <c r="D310" s="115" t="str">
        <f>IF(op!D243=0,"",op!D243)</f>
        <v/>
      </c>
      <c r="E310" s="115" t="str">
        <f>IF(op!E243=0,"-",op!E243)</f>
        <v/>
      </c>
      <c r="F310" s="115" t="str">
        <f>IF(op!F243=0,"-",op!F243)</f>
        <v/>
      </c>
      <c r="G310" s="132" t="str">
        <f>IF(op!G243="","",op!G243+1)</f>
        <v/>
      </c>
      <c r="H310" s="508" t="str">
        <f>IF(op!H243="","",op!H243)</f>
        <v/>
      </c>
      <c r="I310" s="132" t="str">
        <f>IF(op!I243=0,"",op!I243)</f>
        <v/>
      </c>
      <c r="J310" s="150" t="str">
        <f>IF(E310="","",(IF(op!J243+1&gt;LOOKUP(I310,schaal2011,regels2011),op!J243,op!J243+1)))</f>
        <v/>
      </c>
      <c r="K310" s="509" t="str">
        <f>IF(op!K243="","",op!K243)</f>
        <v/>
      </c>
      <c r="L310" s="510" t="str">
        <f>IF(op!L243="","",op!L243)</f>
        <v/>
      </c>
      <c r="M310" s="511" t="str">
        <f t="shared" si="86"/>
        <v/>
      </c>
      <c r="N310" s="109"/>
      <c r="O310" s="513" t="str">
        <f>IF(I310="","",VLOOKUP(I310,tab!$A$68:$V$108,J310+2,FALSE))</f>
        <v/>
      </c>
      <c r="P310" s="514" t="str">
        <f t="shared" si="87"/>
        <v/>
      </c>
      <c r="Q310" s="1173">
        <f t="shared" si="95"/>
        <v>0.62</v>
      </c>
      <c r="R310" s="514" t="str">
        <f t="shared" si="88"/>
        <v/>
      </c>
      <c r="S310" s="514">
        <f>IF(L310="",0,(((O310*12)*L310)*(1+tab!$D$55)*tab!$F$57))</f>
        <v>0</v>
      </c>
      <c r="T310" s="1131">
        <f t="shared" si="89"/>
        <v>0</v>
      </c>
      <c r="U310" s="219">
        <f t="shared" si="90"/>
        <v>0</v>
      </c>
      <c r="V310" s="1145">
        <f t="shared" si="91"/>
        <v>0</v>
      </c>
      <c r="W310" s="124"/>
      <c r="AA310" s="642" t="e">
        <f>DATE(YEAR(tab!$I$3),MONTH(H310),DAY(H310))&gt;tab!$I$3</f>
        <v>#VALUE!</v>
      </c>
      <c r="AB310" s="642" t="e">
        <f t="shared" si="92"/>
        <v>#VALUE!</v>
      </c>
      <c r="AC310" s="244">
        <f t="shared" si="93"/>
        <v>30</v>
      </c>
      <c r="AD310" s="244">
        <f t="shared" si="96"/>
        <v>30</v>
      </c>
      <c r="AE310" s="643">
        <f t="shared" si="94"/>
        <v>0</v>
      </c>
      <c r="AK310" s="552"/>
    </row>
    <row r="311" spans="3:37" ht="12.75" customHeight="1" x14ac:dyDescent="0.2">
      <c r="C311" s="108"/>
      <c r="D311" s="115" t="str">
        <f>IF(op!D244=0,"",op!D244)</f>
        <v/>
      </c>
      <c r="E311" s="115" t="str">
        <f>IF(op!E244=0,"-",op!E244)</f>
        <v/>
      </c>
      <c r="F311" s="115" t="str">
        <f>IF(op!F244=0,"-",op!F244)</f>
        <v/>
      </c>
      <c r="G311" s="132" t="str">
        <f>IF(op!G244="","",op!G244+1)</f>
        <v/>
      </c>
      <c r="H311" s="508" t="str">
        <f>IF(op!H244="","",op!H244)</f>
        <v/>
      </c>
      <c r="I311" s="132" t="str">
        <f>IF(op!I244=0,"",op!I244)</f>
        <v/>
      </c>
      <c r="J311" s="150" t="str">
        <f>IF(E311="","",(IF(op!J244+1&gt;LOOKUP(I311,schaal2011,regels2011),op!J244,op!J244+1)))</f>
        <v/>
      </c>
      <c r="K311" s="509" t="str">
        <f>IF(op!K244="","",op!K244)</f>
        <v/>
      </c>
      <c r="L311" s="510" t="str">
        <f>IF(op!L244="","",op!L244)</f>
        <v/>
      </c>
      <c r="M311" s="511" t="str">
        <f t="shared" si="86"/>
        <v/>
      </c>
      <c r="N311" s="109"/>
      <c r="O311" s="513" t="str">
        <f>IF(I311="","",VLOOKUP(I311,tab!$A$68:$V$108,J311+2,FALSE))</f>
        <v/>
      </c>
      <c r="P311" s="514" t="str">
        <f t="shared" si="87"/>
        <v/>
      </c>
      <c r="Q311" s="1173">
        <f t="shared" si="95"/>
        <v>0.62</v>
      </c>
      <c r="R311" s="514" t="str">
        <f t="shared" si="88"/>
        <v/>
      </c>
      <c r="S311" s="514">
        <f>IF(L311="",0,(((O311*12)*L311)*(1+tab!$D$55)*tab!$F$57))</f>
        <v>0</v>
      </c>
      <c r="T311" s="1131">
        <f t="shared" si="89"/>
        <v>0</v>
      </c>
      <c r="U311" s="219">
        <f t="shared" si="90"/>
        <v>0</v>
      </c>
      <c r="V311" s="1145">
        <f t="shared" si="91"/>
        <v>0</v>
      </c>
      <c r="W311" s="124"/>
      <c r="AA311" s="642" t="e">
        <f>DATE(YEAR(tab!$I$3),MONTH(H311),DAY(H311))&gt;tab!$I$3</f>
        <v>#VALUE!</v>
      </c>
      <c r="AB311" s="642" t="e">
        <f t="shared" si="92"/>
        <v>#VALUE!</v>
      </c>
      <c r="AC311" s="244">
        <f t="shared" si="93"/>
        <v>30</v>
      </c>
      <c r="AD311" s="244">
        <f t="shared" si="96"/>
        <v>30</v>
      </c>
      <c r="AE311" s="643">
        <f t="shared" si="94"/>
        <v>0</v>
      </c>
      <c r="AK311" s="552"/>
    </row>
    <row r="312" spans="3:37" ht="12.75" customHeight="1" x14ac:dyDescent="0.2">
      <c r="C312" s="108"/>
      <c r="D312" s="115" t="str">
        <f>IF(op!D245=0,"",op!D245)</f>
        <v/>
      </c>
      <c r="E312" s="115" t="str">
        <f>IF(op!E245=0,"-",op!E245)</f>
        <v/>
      </c>
      <c r="F312" s="115" t="str">
        <f>IF(op!F245=0,"-",op!F245)</f>
        <v/>
      </c>
      <c r="G312" s="132" t="str">
        <f>IF(op!G245="","",op!G245+1)</f>
        <v/>
      </c>
      <c r="H312" s="508" t="str">
        <f>IF(op!H245="","",op!H245)</f>
        <v/>
      </c>
      <c r="I312" s="132" t="str">
        <f>IF(op!I245=0,"",op!I245)</f>
        <v/>
      </c>
      <c r="J312" s="150" t="str">
        <f>IF(E312="","",(IF(op!J245+1&gt;LOOKUP(I312,schaal2011,regels2011),op!J245,op!J245+1)))</f>
        <v/>
      </c>
      <c r="K312" s="509" t="str">
        <f>IF(op!K245="","",op!K245)</f>
        <v/>
      </c>
      <c r="L312" s="510" t="str">
        <f>IF(op!L245="","",op!L245)</f>
        <v/>
      </c>
      <c r="M312" s="511" t="str">
        <f t="shared" si="86"/>
        <v/>
      </c>
      <c r="N312" s="109"/>
      <c r="O312" s="513" t="str">
        <f>IF(I312="","",VLOOKUP(I312,tab!$A$68:$V$108,J312+2,FALSE))</f>
        <v/>
      </c>
      <c r="P312" s="514" t="str">
        <f t="shared" si="87"/>
        <v/>
      </c>
      <c r="Q312" s="1173">
        <f t="shared" si="95"/>
        <v>0.62</v>
      </c>
      <c r="R312" s="514" t="str">
        <f t="shared" si="88"/>
        <v/>
      </c>
      <c r="S312" s="514">
        <f>IF(L312="",0,(((O312*12)*L312)*(1+tab!$D$55)*tab!$F$57))</f>
        <v>0</v>
      </c>
      <c r="T312" s="1131">
        <f t="shared" si="89"/>
        <v>0</v>
      </c>
      <c r="U312" s="219">
        <f t="shared" si="90"/>
        <v>0</v>
      </c>
      <c r="V312" s="1145">
        <f t="shared" si="91"/>
        <v>0</v>
      </c>
      <c r="W312" s="124"/>
      <c r="AA312" s="642" t="e">
        <f>DATE(YEAR(tab!$I$3),MONTH(H312),DAY(H312))&gt;tab!$I$3</f>
        <v>#VALUE!</v>
      </c>
      <c r="AB312" s="642" t="e">
        <f t="shared" si="92"/>
        <v>#VALUE!</v>
      </c>
      <c r="AC312" s="244">
        <f t="shared" si="93"/>
        <v>30</v>
      </c>
      <c r="AD312" s="244">
        <f t="shared" si="96"/>
        <v>30</v>
      </c>
      <c r="AE312" s="643">
        <f t="shared" si="94"/>
        <v>0</v>
      </c>
      <c r="AK312" s="552"/>
    </row>
    <row r="313" spans="3:37" ht="12.75" customHeight="1" x14ac:dyDescent="0.2">
      <c r="C313" s="108"/>
      <c r="D313" s="115" t="str">
        <f>IF(op!D246=0,"",op!D246)</f>
        <v/>
      </c>
      <c r="E313" s="115" t="str">
        <f>IF(op!E246=0,"-",op!E246)</f>
        <v/>
      </c>
      <c r="F313" s="115" t="str">
        <f>IF(op!F246=0,"-",op!F246)</f>
        <v/>
      </c>
      <c r="G313" s="132" t="str">
        <f>IF(op!G246="","",op!G246+1)</f>
        <v/>
      </c>
      <c r="H313" s="508" t="str">
        <f>IF(op!H246="","",op!H246)</f>
        <v/>
      </c>
      <c r="I313" s="132" t="str">
        <f>IF(op!I246=0,"",op!I246)</f>
        <v/>
      </c>
      <c r="J313" s="150" t="str">
        <f>IF(E313="","",(IF(op!J246+1&gt;LOOKUP(I313,schaal2011,regels2011),op!J246,op!J246+1)))</f>
        <v/>
      </c>
      <c r="K313" s="509" t="str">
        <f>IF(op!K246="","",op!K246)</f>
        <v/>
      </c>
      <c r="L313" s="510" t="str">
        <f>IF(op!L246="","",op!L246)</f>
        <v/>
      </c>
      <c r="M313" s="511" t="str">
        <f t="shared" si="86"/>
        <v/>
      </c>
      <c r="N313" s="109"/>
      <c r="O313" s="513" t="str">
        <f>IF(I313="","",VLOOKUP(I313,tab!$A$68:$V$108,J313+2,FALSE))</f>
        <v/>
      </c>
      <c r="P313" s="514" t="str">
        <f t="shared" si="87"/>
        <v/>
      </c>
      <c r="Q313" s="1173">
        <f t="shared" si="95"/>
        <v>0.62</v>
      </c>
      <c r="R313" s="514" t="str">
        <f t="shared" si="88"/>
        <v/>
      </c>
      <c r="S313" s="514">
        <f>IF(L313="",0,(((O313*12)*L313)*(1+tab!$D$55)*tab!$F$57))</f>
        <v>0</v>
      </c>
      <c r="T313" s="1131">
        <f t="shared" si="89"/>
        <v>0</v>
      </c>
      <c r="U313" s="219">
        <f t="shared" si="90"/>
        <v>0</v>
      </c>
      <c r="V313" s="1145">
        <f t="shared" si="91"/>
        <v>0</v>
      </c>
      <c r="W313" s="124"/>
      <c r="AA313" s="642" t="e">
        <f>DATE(YEAR(tab!$I$3),MONTH(H313),DAY(H313))&gt;tab!$I$3</f>
        <v>#VALUE!</v>
      </c>
      <c r="AB313" s="642" t="e">
        <f t="shared" si="92"/>
        <v>#VALUE!</v>
      </c>
      <c r="AC313" s="244">
        <f t="shared" si="93"/>
        <v>30</v>
      </c>
      <c r="AD313" s="244">
        <f t="shared" si="96"/>
        <v>30</v>
      </c>
      <c r="AE313" s="643">
        <f t="shared" si="94"/>
        <v>0</v>
      </c>
      <c r="AK313" s="552"/>
    </row>
    <row r="314" spans="3:37" ht="12.75" customHeight="1" x14ac:dyDescent="0.2">
      <c r="C314" s="108"/>
      <c r="D314" s="115" t="str">
        <f>IF(op!D247=0,"",op!D247)</f>
        <v/>
      </c>
      <c r="E314" s="115" t="str">
        <f>IF(op!E247=0,"-",op!E247)</f>
        <v/>
      </c>
      <c r="F314" s="115" t="str">
        <f>IF(op!F247=0,"-",op!F247)</f>
        <v/>
      </c>
      <c r="G314" s="132" t="str">
        <f>IF(op!G247="","",op!G247+1)</f>
        <v/>
      </c>
      <c r="H314" s="508" t="str">
        <f>IF(op!H247="","",op!H247)</f>
        <v/>
      </c>
      <c r="I314" s="132" t="str">
        <f>IF(op!I247=0,"",op!I247)</f>
        <v/>
      </c>
      <c r="J314" s="150" t="str">
        <f>IF(E314="","",(IF(op!J247+1&gt;LOOKUP(I314,schaal2011,regels2011),op!J247,op!J247+1)))</f>
        <v/>
      </c>
      <c r="K314" s="509" t="str">
        <f>IF(op!K247="","",op!K247)</f>
        <v/>
      </c>
      <c r="L314" s="510" t="str">
        <f>IF(op!L247="","",op!L247)</f>
        <v/>
      </c>
      <c r="M314" s="511" t="str">
        <f t="shared" si="86"/>
        <v/>
      </c>
      <c r="N314" s="109"/>
      <c r="O314" s="513" t="str">
        <f>IF(I314="","",VLOOKUP(I314,tab!$A$68:$V$108,J314+2,FALSE))</f>
        <v/>
      </c>
      <c r="P314" s="514" t="str">
        <f t="shared" si="87"/>
        <v/>
      </c>
      <c r="Q314" s="1173">
        <f t="shared" si="95"/>
        <v>0.62</v>
      </c>
      <c r="R314" s="514" t="str">
        <f t="shared" si="88"/>
        <v/>
      </c>
      <c r="S314" s="514">
        <f>IF(L314="",0,(((O314*12)*L314)*(1+tab!$D$55)*tab!$F$57))</f>
        <v>0</v>
      </c>
      <c r="T314" s="1131">
        <f t="shared" si="89"/>
        <v>0</v>
      </c>
      <c r="U314" s="219">
        <f t="shared" si="90"/>
        <v>0</v>
      </c>
      <c r="V314" s="1145">
        <f t="shared" si="91"/>
        <v>0</v>
      </c>
      <c r="W314" s="124"/>
      <c r="AA314" s="642" t="e">
        <f>DATE(YEAR(tab!$I$3),MONTH(H314),DAY(H314))&gt;tab!$I$3</f>
        <v>#VALUE!</v>
      </c>
      <c r="AB314" s="642" t="e">
        <f t="shared" si="92"/>
        <v>#VALUE!</v>
      </c>
      <c r="AC314" s="244">
        <f t="shared" si="93"/>
        <v>30</v>
      </c>
      <c r="AD314" s="244">
        <f t="shared" si="96"/>
        <v>30</v>
      </c>
      <c r="AE314" s="643">
        <f t="shared" si="94"/>
        <v>0</v>
      </c>
      <c r="AK314" s="552"/>
    </row>
    <row r="315" spans="3:37" ht="12.75" customHeight="1" x14ac:dyDescent="0.2">
      <c r="C315" s="108"/>
      <c r="D315" s="115" t="str">
        <f>IF(op!D248=0,"",op!D248)</f>
        <v/>
      </c>
      <c r="E315" s="115" t="str">
        <f>IF(op!E248=0,"-",op!E248)</f>
        <v/>
      </c>
      <c r="F315" s="115" t="str">
        <f>IF(op!F248=0,"-",op!F248)</f>
        <v/>
      </c>
      <c r="G315" s="132" t="str">
        <f>IF(op!G248="","",op!G248+1)</f>
        <v/>
      </c>
      <c r="H315" s="508" t="str">
        <f>IF(op!H248="","",op!H248)</f>
        <v/>
      </c>
      <c r="I315" s="132" t="str">
        <f>IF(op!I248=0,"",op!I248)</f>
        <v/>
      </c>
      <c r="J315" s="150" t="str">
        <f>IF(E315="","",(IF(op!J248+1&gt;LOOKUP(I315,schaal2011,regels2011),op!J248,op!J248+1)))</f>
        <v/>
      </c>
      <c r="K315" s="509" t="str">
        <f>IF(op!K248="","",op!K248)</f>
        <v/>
      </c>
      <c r="L315" s="510" t="str">
        <f>IF(op!L248="","",op!L248)</f>
        <v/>
      </c>
      <c r="M315" s="511" t="str">
        <f t="shared" si="86"/>
        <v/>
      </c>
      <c r="N315" s="109"/>
      <c r="O315" s="513" t="str">
        <f>IF(I315="","",VLOOKUP(I315,tab!$A$68:$V$108,J315+2,FALSE))</f>
        <v/>
      </c>
      <c r="P315" s="514" t="str">
        <f t="shared" si="87"/>
        <v/>
      </c>
      <c r="Q315" s="1173">
        <f t="shared" si="95"/>
        <v>0.62</v>
      </c>
      <c r="R315" s="514" t="str">
        <f t="shared" si="88"/>
        <v/>
      </c>
      <c r="S315" s="514">
        <f>IF(L315="",0,(((O315*12)*L315)*(1+tab!$D$55)*tab!$F$57))</f>
        <v>0</v>
      </c>
      <c r="T315" s="1131">
        <f t="shared" si="89"/>
        <v>0</v>
      </c>
      <c r="U315" s="219">
        <f t="shared" si="90"/>
        <v>0</v>
      </c>
      <c r="V315" s="1145">
        <f t="shared" si="91"/>
        <v>0</v>
      </c>
      <c r="W315" s="124"/>
      <c r="AA315" s="642" t="e">
        <f>DATE(YEAR(tab!$I$3),MONTH(H315),DAY(H315))&gt;tab!$I$3</f>
        <v>#VALUE!</v>
      </c>
      <c r="AB315" s="642" t="e">
        <f t="shared" si="92"/>
        <v>#VALUE!</v>
      </c>
      <c r="AC315" s="244">
        <f t="shared" si="93"/>
        <v>30</v>
      </c>
      <c r="AD315" s="244">
        <f t="shared" si="96"/>
        <v>30</v>
      </c>
      <c r="AE315" s="643">
        <f t="shared" si="94"/>
        <v>0</v>
      </c>
      <c r="AK315" s="552"/>
    </row>
    <row r="316" spans="3:37" ht="12.75" customHeight="1" x14ac:dyDescent="0.2">
      <c r="C316" s="108"/>
      <c r="D316" s="115" t="str">
        <f>IF(op!D249=0,"",op!D249)</f>
        <v/>
      </c>
      <c r="E316" s="115" t="str">
        <f>IF(op!E249=0,"-",op!E249)</f>
        <v/>
      </c>
      <c r="F316" s="115" t="str">
        <f>IF(op!F249=0,"-",op!F249)</f>
        <v/>
      </c>
      <c r="G316" s="132" t="str">
        <f>IF(op!G249="","",op!G249+1)</f>
        <v/>
      </c>
      <c r="H316" s="508" t="str">
        <f>IF(op!H249="","",op!H249)</f>
        <v/>
      </c>
      <c r="I316" s="132" t="str">
        <f>IF(op!I249=0,"",op!I249)</f>
        <v/>
      </c>
      <c r="J316" s="150" t="str">
        <f>IF(E316="","",(IF(op!J249+1&gt;LOOKUP(I316,schaal2011,regels2011),op!J249,op!J249+1)))</f>
        <v/>
      </c>
      <c r="K316" s="509" t="str">
        <f>IF(op!K249="","",op!K249)</f>
        <v/>
      </c>
      <c r="L316" s="510" t="str">
        <f>IF(op!L249="","",op!L249)</f>
        <v/>
      </c>
      <c r="M316" s="511" t="str">
        <f t="shared" si="86"/>
        <v/>
      </c>
      <c r="N316" s="109"/>
      <c r="O316" s="513" t="str">
        <f>IF(I316="","",VLOOKUP(I316,tab!$A$68:$V$108,J316+2,FALSE))</f>
        <v/>
      </c>
      <c r="P316" s="514" t="str">
        <f t="shared" si="87"/>
        <v/>
      </c>
      <c r="Q316" s="1173">
        <f t="shared" si="95"/>
        <v>0.62</v>
      </c>
      <c r="R316" s="514" t="str">
        <f t="shared" si="88"/>
        <v/>
      </c>
      <c r="S316" s="514">
        <f>IF(L316="",0,(((O316*12)*L316)*(1+tab!$D$55)*tab!$F$57))</f>
        <v>0</v>
      </c>
      <c r="T316" s="1131">
        <f t="shared" si="89"/>
        <v>0</v>
      </c>
      <c r="U316" s="219">
        <f t="shared" si="90"/>
        <v>0</v>
      </c>
      <c r="V316" s="1145">
        <f t="shared" si="91"/>
        <v>0</v>
      </c>
      <c r="W316" s="124"/>
      <c r="AA316" s="642" t="e">
        <f>DATE(YEAR(tab!$I$3),MONTH(H316),DAY(H316))&gt;tab!$I$3</f>
        <v>#VALUE!</v>
      </c>
      <c r="AB316" s="642" t="e">
        <f t="shared" si="92"/>
        <v>#VALUE!</v>
      </c>
      <c r="AC316" s="244">
        <f t="shared" si="93"/>
        <v>30</v>
      </c>
      <c r="AD316" s="244">
        <f t="shared" si="96"/>
        <v>30</v>
      </c>
      <c r="AE316" s="643">
        <f t="shared" si="94"/>
        <v>0</v>
      </c>
      <c r="AK316" s="552"/>
    </row>
    <row r="317" spans="3:37" ht="12.75" customHeight="1" x14ac:dyDescent="0.2">
      <c r="C317" s="108"/>
      <c r="D317" s="115" t="str">
        <f>IF(op!D250=0,"",op!D250)</f>
        <v/>
      </c>
      <c r="E317" s="115" t="str">
        <f>IF(op!E250=0,"-",op!E250)</f>
        <v/>
      </c>
      <c r="F317" s="115" t="str">
        <f>IF(op!F250=0,"-",op!F250)</f>
        <v/>
      </c>
      <c r="G317" s="132" t="str">
        <f>IF(op!G250="","",op!G250+1)</f>
        <v/>
      </c>
      <c r="H317" s="508" t="str">
        <f>IF(op!H250="","",op!H250)</f>
        <v/>
      </c>
      <c r="I317" s="132" t="str">
        <f>IF(op!I250=0,"",op!I250)</f>
        <v/>
      </c>
      <c r="J317" s="150" t="str">
        <f>IF(E317="","",(IF(op!J250+1&gt;LOOKUP(I317,schaal2011,regels2011),op!J250,op!J250+1)))</f>
        <v/>
      </c>
      <c r="K317" s="509" t="str">
        <f>IF(op!K250="","",op!K250)</f>
        <v/>
      </c>
      <c r="L317" s="510" t="str">
        <f>IF(op!L250="","",op!L250)</f>
        <v/>
      </c>
      <c r="M317" s="511" t="str">
        <f t="shared" si="86"/>
        <v/>
      </c>
      <c r="N317" s="109"/>
      <c r="O317" s="513" t="str">
        <f>IF(I317="","",VLOOKUP(I317,tab!$A$68:$V$108,J317+2,FALSE))</f>
        <v/>
      </c>
      <c r="P317" s="514" t="str">
        <f t="shared" si="87"/>
        <v/>
      </c>
      <c r="Q317" s="1173">
        <f t="shared" si="95"/>
        <v>0.62</v>
      </c>
      <c r="R317" s="514" t="str">
        <f t="shared" si="88"/>
        <v/>
      </c>
      <c r="S317" s="514">
        <f>IF(L317="",0,(((O317*12)*L317)*(1+tab!$D$55)*tab!$F$57))</f>
        <v>0</v>
      </c>
      <c r="T317" s="1131">
        <f t="shared" si="89"/>
        <v>0</v>
      </c>
      <c r="U317" s="219">
        <f t="shared" si="90"/>
        <v>0</v>
      </c>
      <c r="V317" s="1145">
        <f t="shared" si="91"/>
        <v>0</v>
      </c>
      <c r="W317" s="124"/>
      <c r="AA317" s="642" t="e">
        <f>DATE(YEAR(tab!$I$3),MONTH(H317),DAY(H317))&gt;tab!$I$3</f>
        <v>#VALUE!</v>
      </c>
      <c r="AB317" s="642" t="e">
        <f t="shared" si="92"/>
        <v>#VALUE!</v>
      </c>
      <c r="AC317" s="244">
        <f t="shared" si="93"/>
        <v>30</v>
      </c>
      <c r="AD317" s="244">
        <f t="shared" si="96"/>
        <v>30</v>
      </c>
      <c r="AE317" s="643">
        <f t="shared" si="94"/>
        <v>0</v>
      </c>
      <c r="AK317" s="552"/>
    </row>
    <row r="318" spans="3:37" ht="12.75" customHeight="1" x14ac:dyDescent="0.2">
      <c r="C318" s="108"/>
      <c r="D318" s="115" t="str">
        <f>IF(op!D251=0,"",op!D251)</f>
        <v/>
      </c>
      <c r="E318" s="115" t="str">
        <f>IF(op!E251=0,"-",op!E251)</f>
        <v/>
      </c>
      <c r="F318" s="115" t="str">
        <f>IF(op!F251=0,"-",op!F251)</f>
        <v/>
      </c>
      <c r="G318" s="132" t="str">
        <f>IF(op!G251="","",op!G251+1)</f>
        <v/>
      </c>
      <c r="H318" s="508" t="str">
        <f>IF(op!H251="","",op!H251)</f>
        <v/>
      </c>
      <c r="I318" s="132" t="str">
        <f>IF(op!I251=0,"",op!I251)</f>
        <v/>
      </c>
      <c r="J318" s="150" t="str">
        <f>IF(E318="","",(IF(op!J251+1&gt;LOOKUP(I318,schaal2011,regels2011),op!J251,op!J251+1)))</f>
        <v/>
      </c>
      <c r="K318" s="509" t="str">
        <f>IF(op!K251="","",op!K251)</f>
        <v/>
      </c>
      <c r="L318" s="510" t="str">
        <f>IF(op!L251="","",op!L251)</f>
        <v/>
      </c>
      <c r="M318" s="511" t="str">
        <f t="shared" ref="M318:M340" si="97">(IF(L318="",(K318),(K318)-L318))</f>
        <v/>
      </c>
      <c r="N318" s="109"/>
      <c r="O318" s="513" t="str">
        <f>IF(I318="","",VLOOKUP(I318,tab!$A$68:$V$108,J318+2,FALSE))</f>
        <v/>
      </c>
      <c r="P318" s="514" t="str">
        <f t="shared" ref="P318:P340" si="98">IF(E318="","",(O318*M318*12))</f>
        <v/>
      </c>
      <c r="Q318" s="1173">
        <f t="shared" si="95"/>
        <v>0.62</v>
      </c>
      <c r="R318" s="514" t="str">
        <f t="shared" ref="R318:R340" si="99">IF(E318="","",(P318)*Q318)</f>
        <v/>
      </c>
      <c r="S318" s="514">
        <f>IF(L318="",0,(((O318*12)*L318)*(1+tab!$D$55)*tab!$F$57))</f>
        <v>0</v>
      </c>
      <c r="T318" s="1131">
        <f t="shared" ref="T318:T340" si="100">IF(E318="",0,(P318+R318+S318))</f>
        <v>0</v>
      </c>
      <c r="U318" s="219">
        <f t="shared" ref="U318:U340" si="101">IF(G318&lt;25,0,IF(G318=25,25,IF(G318&lt;40,0,IF(G318=40,40,IF(G318&gt;=40,0)))))</f>
        <v>0</v>
      </c>
      <c r="V318" s="1145">
        <f t="shared" ref="V318:V340" si="102">IF(U318=25,(O318*1.08*(K318)/2),IF(U318=40,(O318*1.08*(K318)),IF(U318=0,0)))</f>
        <v>0</v>
      </c>
      <c r="W318" s="124"/>
      <c r="AA318" s="642" t="e">
        <f>DATE(YEAR(tab!$I$3),MONTH(H318),DAY(H318))&gt;tab!$I$3</f>
        <v>#VALUE!</v>
      </c>
      <c r="AB318" s="642" t="e">
        <f t="shared" ref="AB318:AB340" si="103">YEAR($E$279)-YEAR(H318)-AA318</f>
        <v>#VALUE!</v>
      </c>
      <c r="AC318" s="244">
        <f t="shared" ref="AC318:AC340" si="104">IF((H318=""),30,AB318)</f>
        <v>30</v>
      </c>
      <c r="AD318" s="244">
        <f t="shared" ref="AD318:AD340" si="105">IF((AC318)&gt;50,50,(AC318))</f>
        <v>30</v>
      </c>
      <c r="AE318" s="643">
        <f t="shared" ref="AE318:AE340" si="106">ROUND((AD318*(SUM(K318:K318))),2)</f>
        <v>0</v>
      </c>
      <c r="AK318" s="552"/>
    </row>
    <row r="319" spans="3:37" ht="12.75" customHeight="1" x14ac:dyDescent="0.2">
      <c r="C319" s="108"/>
      <c r="D319" s="115" t="str">
        <f>IF(op!D252=0,"",op!D252)</f>
        <v/>
      </c>
      <c r="E319" s="115" t="str">
        <f>IF(op!E252=0,"-",op!E252)</f>
        <v/>
      </c>
      <c r="F319" s="115" t="str">
        <f>IF(op!F252=0,"-",op!F252)</f>
        <v/>
      </c>
      <c r="G319" s="132" t="str">
        <f>IF(op!G252="","",op!G252+1)</f>
        <v/>
      </c>
      <c r="H319" s="508" t="str">
        <f>IF(op!H252="","",op!H252)</f>
        <v/>
      </c>
      <c r="I319" s="132" t="str">
        <f>IF(op!I252=0,"",op!I252)</f>
        <v/>
      </c>
      <c r="J319" s="150" t="str">
        <f>IF(E319="","",(IF(op!J252+1&gt;LOOKUP(I319,schaal2011,regels2011),op!J252,op!J252+1)))</f>
        <v/>
      </c>
      <c r="K319" s="509" t="str">
        <f>IF(op!K252="","",op!K252)</f>
        <v/>
      </c>
      <c r="L319" s="510" t="str">
        <f>IF(op!L252="","",op!L252)</f>
        <v/>
      </c>
      <c r="M319" s="511" t="str">
        <f t="shared" si="97"/>
        <v/>
      </c>
      <c r="N319" s="109"/>
      <c r="O319" s="513" t="str">
        <f>IF(I319="","",VLOOKUP(I319,tab!$A$68:$V$108,J319+2,FALSE))</f>
        <v/>
      </c>
      <c r="P319" s="514" t="str">
        <f t="shared" si="98"/>
        <v/>
      </c>
      <c r="Q319" s="1173">
        <f t="shared" si="95"/>
        <v>0.62</v>
      </c>
      <c r="R319" s="514" t="str">
        <f t="shared" si="99"/>
        <v/>
      </c>
      <c r="S319" s="514">
        <f>IF(L319="",0,(((O319*12)*L319)*(1+tab!$D$55)*tab!$F$57))</f>
        <v>0</v>
      </c>
      <c r="T319" s="1131">
        <f t="shared" si="100"/>
        <v>0</v>
      </c>
      <c r="U319" s="219">
        <f t="shared" si="101"/>
        <v>0</v>
      </c>
      <c r="V319" s="1145">
        <f t="shared" si="102"/>
        <v>0</v>
      </c>
      <c r="W319" s="124"/>
      <c r="AA319" s="642" t="e">
        <f>DATE(YEAR(tab!$I$3),MONTH(H319),DAY(H319))&gt;tab!$I$3</f>
        <v>#VALUE!</v>
      </c>
      <c r="AB319" s="642" t="e">
        <f t="shared" si="103"/>
        <v>#VALUE!</v>
      </c>
      <c r="AC319" s="244">
        <f t="shared" si="104"/>
        <v>30</v>
      </c>
      <c r="AD319" s="244">
        <f t="shared" si="105"/>
        <v>30</v>
      </c>
      <c r="AE319" s="643">
        <f t="shared" si="106"/>
        <v>0</v>
      </c>
      <c r="AK319" s="552"/>
    </row>
    <row r="320" spans="3:37" ht="12.75" customHeight="1" x14ac:dyDescent="0.2">
      <c r="C320" s="108"/>
      <c r="D320" s="115" t="str">
        <f>IF(op!D253=0,"",op!D253)</f>
        <v/>
      </c>
      <c r="E320" s="115" t="str">
        <f>IF(op!E253=0,"-",op!E253)</f>
        <v/>
      </c>
      <c r="F320" s="115" t="str">
        <f>IF(op!F253=0,"-",op!F253)</f>
        <v/>
      </c>
      <c r="G320" s="132" t="str">
        <f>IF(op!G253="","",op!G253+1)</f>
        <v/>
      </c>
      <c r="H320" s="508" t="str">
        <f>IF(op!H253="","",op!H253)</f>
        <v/>
      </c>
      <c r="I320" s="132" t="str">
        <f>IF(op!I253=0,"",op!I253)</f>
        <v/>
      </c>
      <c r="J320" s="150" t="str">
        <f>IF(E320="","",(IF(op!J253+1&gt;LOOKUP(I320,schaal2011,regels2011),op!J253,op!J253+1)))</f>
        <v/>
      </c>
      <c r="K320" s="509" t="str">
        <f>IF(op!K253="","",op!K253)</f>
        <v/>
      </c>
      <c r="L320" s="510" t="str">
        <f>IF(op!L253="","",op!L253)</f>
        <v/>
      </c>
      <c r="M320" s="511" t="str">
        <f t="shared" si="97"/>
        <v/>
      </c>
      <c r="N320" s="109"/>
      <c r="O320" s="513" t="str">
        <f>IF(I320="","",VLOOKUP(I320,tab!$A$68:$V$108,J320+2,FALSE))</f>
        <v/>
      </c>
      <c r="P320" s="514" t="str">
        <f t="shared" si="98"/>
        <v/>
      </c>
      <c r="Q320" s="1173">
        <f t="shared" si="95"/>
        <v>0.62</v>
      </c>
      <c r="R320" s="514" t="str">
        <f t="shared" si="99"/>
        <v/>
      </c>
      <c r="S320" s="514">
        <f>IF(L320="",0,(((O320*12)*L320)*(1+tab!$D$55)*tab!$F$57))</f>
        <v>0</v>
      </c>
      <c r="T320" s="1131">
        <f t="shared" si="100"/>
        <v>0</v>
      </c>
      <c r="U320" s="219">
        <f t="shared" si="101"/>
        <v>0</v>
      </c>
      <c r="V320" s="1145">
        <f t="shared" si="102"/>
        <v>0</v>
      </c>
      <c r="W320" s="124"/>
      <c r="AA320" s="642" t="e">
        <f>DATE(YEAR(tab!$I$3),MONTH(H320),DAY(H320))&gt;tab!$I$3</f>
        <v>#VALUE!</v>
      </c>
      <c r="AB320" s="642" t="e">
        <f t="shared" si="103"/>
        <v>#VALUE!</v>
      </c>
      <c r="AC320" s="244">
        <f t="shared" si="104"/>
        <v>30</v>
      </c>
      <c r="AD320" s="244">
        <f t="shared" si="105"/>
        <v>30</v>
      </c>
      <c r="AE320" s="643">
        <f t="shared" si="106"/>
        <v>0</v>
      </c>
      <c r="AK320" s="552"/>
    </row>
    <row r="321" spans="3:37" ht="12.75" customHeight="1" x14ac:dyDescent="0.2">
      <c r="C321" s="108"/>
      <c r="D321" s="115" t="str">
        <f>IF(op!D254=0,"",op!D254)</f>
        <v/>
      </c>
      <c r="E321" s="115" t="str">
        <f>IF(op!E254=0,"-",op!E254)</f>
        <v/>
      </c>
      <c r="F321" s="115" t="str">
        <f>IF(op!F254=0,"-",op!F254)</f>
        <v/>
      </c>
      <c r="G321" s="132" t="str">
        <f>IF(op!G254="","",op!G254+1)</f>
        <v/>
      </c>
      <c r="H321" s="508" t="str">
        <f>IF(op!H254="","",op!H254)</f>
        <v/>
      </c>
      <c r="I321" s="132" t="str">
        <f>IF(op!I254=0,"",op!I254)</f>
        <v/>
      </c>
      <c r="J321" s="150" t="str">
        <f>IF(E321="","",(IF(op!J254+1&gt;LOOKUP(I321,schaal2011,regels2011),op!J254,op!J254+1)))</f>
        <v/>
      </c>
      <c r="K321" s="509" t="str">
        <f>IF(op!K254="","",op!K254)</f>
        <v/>
      </c>
      <c r="L321" s="510" t="str">
        <f>IF(op!L254="","",op!L254)</f>
        <v/>
      </c>
      <c r="M321" s="511" t="str">
        <f t="shared" si="97"/>
        <v/>
      </c>
      <c r="N321" s="109"/>
      <c r="O321" s="513" t="str">
        <f>IF(I321="","",VLOOKUP(I321,tab!$A$68:$V$108,J321+2,FALSE))</f>
        <v/>
      </c>
      <c r="P321" s="514" t="str">
        <f t="shared" si="98"/>
        <v/>
      </c>
      <c r="Q321" s="1173">
        <f t="shared" si="95"/>
        <v>0.62</v>
      </c>
      <c r="R321" s="514" t="str">
        <f t="shared" si="99"/>
        <v/>
      </c>
      <c r="S321" s="514">
        <f>IF(L321="",0,(((O321*12)*L321)*(1+tab!$D$55)*tab!$F$57))</f>
        <v>0</v>
      </c>
      <c r="T321" s="1131">
        <f t="shared" si="100"/>
        <v>0</v>
      </c>
      <c r="U321" s="219">
        <f t="shared" si="101"/>
        <v>0</v>
      </c>
      <c r="V321" s="1145">
        <f t="shared" si="102"/>
        <v>0</v>
      </c>
      <c r="W321" s="124"/>
      <c r="AA321" s="642" t="e">
        <f>DATE(YEAR(tab!$I$3),MONTH(H321),DAY(H321))&gt;tab!$I$3</f>
        <v>#VALUE!</v>
      </c>
      <c r="AB321" s="642" t="e">
        <f t="shared" si="103"/>
        <v>#VALUE!</v>
      </c>
      <c r="AC321" s="244">
        <f t="shared" si="104"/>
        <v>30</v>
      </c>
      <c r="AD321" s="244">
        <f t="shared" si="105"/>
        <v>30</v>
      </c>
      <c r="AE321" s="643">
        <f t="shared" si="106"/>
        <v>0</v>
      </c>
      <c r="AK321" s="552"/>
    </row>
    <row r="322" spans="3:37" ht="12.75" customHeight="1" x14ac:dyDescent="0.2">
      <c r="C322" s="108"/>
      <c r="D322" s="115" t="str">
        <f>IF(op!D255=0,"",op!D255)</f>
        <v/>
      </c>
      <c r="E322" s="115" t="str">
        <f>IF(op!E255=0,"-",op!E255)</f>
        <v/>
      </c>
      <c r="F322" s="115" t="str">
        <f>IF(op!F255=0,"-",op!F255)</f>
        <v/>
      </c>
      <c r="G322" s="132" t="str">
        <f>IF(op!G255="","",op!G255+1)</f>
        <v/>
      </c>
      <c r="H322" s="508" t="str">
        <f>IF(op!H255="","",op!H255)</f>
        <v/>
      </c>
      <c r="I322" s="132" t="str">
        <f>IF(op!I255=0,"",op!I255)</f>
        <v/>
      </c>
      <c r="J322" s="150" t="str">
        <f>IF(E322="","",(IF(op!J255+1&gt;LOOKUP(I322,schaal2011,regels2011),op!J255,op!J255+1)))</f>
        <v/>
      </c>
      <c r="K322" s="509" t="str">
        <f>IF(op!K255="","",op!K255)</f>
        <v/>
      </c>
      <c r="L322" s="510" t="str">
        <f>IF(op!L255="","",op!L255)</f>
        <v/>
      </c>
      <c r="M322" s="511" t="str">
        <f t="shared" si="97"/>
        <v/>
      </c>
      <c r="N322" s="109"/>
      <c r="O322" s="513" t="str">
        <f>IF(I322="","",VLOOKUP(I322,tab!$A$68:$V$108,J322+2,FALSE))</f>
        <v/>
      </c>
      <c r="P322" s="514" t="str">
        <f t="shared" si="98"/>
        <v/>
      </c>
      <c r="Q322" s="1173">
        <f t="shared" si="95"/>
        <v>0.62</v>
      </c>
      <c r="R322" s="514" t="str">
        <f t="shared" si="99"/>
        <v/>
      </c>
      <c r="S322" s="514">
        <f>IF(L322="",0,(((O322*12)*L322)*(1+tab!$D$55)*tab!$F$57))</f>
        <v>0</v>
      </c>
      <c r="T322" s="1131">
        <f t="shared" si="100"/>
        <v>0</v>
      </c>
      <c r="U322" s="219">
        <f t="shared" si="101"/>
        <v>0</v>
      </c>
      <c r="V322" s="1145">
        <f t="shared" si="102"/>
        <v>0</v>
      </c>
      <c r="W322" s="124"/>
      <c r="AA322" s="642" t="e">
        <f>DATE(YEAR(tab!$I$3),MONTH(H322),DAY(H322))&gt;tab!$I$3</f>
        <v>#VALUE!</v>
      </c>
      <c r="AB322" s="642" t="e">
        <f t="shared" si="103"/>
        <v>#VALUE!</v>
      </c>
      <c r="AC322" s="244">
        <f t="shared" si="104"/>
        <v>30</v>
      </c>
      <c r="AD322" s="244">
        <f t="shared" si="105"/>
        <v>30</v>
      </c>
      <c r="AE322" s="643">
        <f t="shared" si="106"/>
        <v>0</v>
      </c>
      <c r="AK322" s="552"/>
    </row>
    <row r="323" spans="3:37" ht="12.75" customHeight="1" x14ac:dyDescent="0.2">
      <c r="C323" s="108"/>
      <c r="D323" s="115" t="str">
        <f>IF(op!D256=0,"",op!D256)</f>
        <v/>
      </c>
      <c r="E323" s="115" t="str">
        <f>IF(op!E256=0,"-",op!E256)</f>
        <v/>
      </c>
      <c r="F323" s="115" t="str">
        <f>IF(op!F256=0,"-",op!F256)</f>
        <v/>
      </c>
      <c r="G323" s="132" t="str">
        <f>IF(op!G256="","",op!G256+1)</f>
        <v/>
      </c>
      <c r="H323" s="508" t="str">
        <f>IF(op!H256="","",op!H256)</f>
        <v/>
      </c>
      <c r="I323" s="132" t="str">
        <f>IF(op!I256=0,"",op!I256)</f>
        <v/>
      </c>
      <c r="J323" s="150" t="str">
        <f>IF(E323="","",(IF(op!J256+1&gt;LOOKUP(I323,schaal2011,regels2011),op!J256,op!J256+1)))</f>
        <v/>
      </c>
      <c r="K323" s="509" t="str">
        <f>IF(op!K256="","",op!K256)</f>
        <v/>
      </c>
      <c r="L323" s="510" t="str">
        <f>IF(op!L256="","",op!L256)</f>
        <v/>
      </c>
      <c r="M323" s="511" t="str">
        <f t="shared" si="97"/>
        <v/>
      </c>
      <c r="N323" s="109"/>
      <c r="O323" s="513" t="str">
        <f>IF(I323="","",VLOOKUP(I323,tab!$A$68:$V$108,J323+2,FALSE))</f>
        <v/>
      </c>
      <c r="P323" s="514" t="str">
        <f t="shared" si="98"/>
        <v/>
      </c>
      <c r="Q323" s="1173">
        <f t="shared" si="95"/>
        <v>0.62</v>
      </c>
      <c r="R323" s="514" t="str">
        <f t="shared" si="99"/>
        <v/>
      </c>
      <c r="S323" s="514">
        <f>IF(L323="",0,(((O323*12)*L323)*(1+tab!$D$55)*tab!$F$57))</f>
        <v>0</v>
      </c>
      <c r="T323" s="1131">
        <f t="shared" si="100"/>
        <v>0</v>
      </c>
      <c r="U323" s="219">
        <f t="shared" si="101"/>
        <v>0</v>
      </c>
      <c r="V323" s="1145">
        <f t="shared" si="102"/>
        <v>0</v>
      </c>
      <c r="W323" s="124"/>
      <c r="AA323" s="642" t="e">
        <f>DATE(YEAR(tab!$I$3),MONTH(H323),DAY(H323))&gt;tab!$I$3</f>
        <v>#VALUE!</v>
      </c>
      <c r="AB323" s="642" t="e">
        <f t="shared" si="103"/>
        <v>#VALUE!</v>
      </c>
      <c r="AC323" s="244">
        <f t="shared" si="104"/>
        <v>30</v>
      </c>
      <c r="AD323" s="244">
        <f t="shared" si="105"/>
        <v>30</v>
      </c>
      <c r="AE323" s="643">
        <f t="shared" si="106"/>
        <v>0</v>
      </c>
      <c r="AK323" s="552"/>
    </row>
    <row r="324" spans="3:37" ht="12.75" customHeight="1" x14ac:dyDescent="0.2">
      <c r="C324" s="108"/>
      <c r="D324" s="115" t="str">
        <f>IF(op!D257=0,"",op!D257)</f>
        <v/>
      </c>
      <c r="E324" s="115" t="str">
        <f>IF(op!E257=0,"-",op!E257)</f>
        <v/>
      </c>
      <c r="F324" s="115" t="str">
        <f>IF(op!F257=0,"-",op!F257)</f>
        <v/>
      </c>
      <c r="G324" s="132" t="str">
        <f>IF(op!G257="","",op!G257+1)</f>
        <v/>
      </c>
      <c r="H324" s="508" t="str">
        <f>IF(op!H257="","",op!H257)</f>
        <v/>
      </c>
      <c r="I324" s="132" t="str">
        <f>IF(op!I257=0,"",op!I257)</f>
        <v/>
      </c>
      <c r="J324" s="150" t="str">
        <f>IF(E324="","",(IF(op!J257+1&gt;LOOKUP(I324,schaal2011,regels2011),op!J257,op!J257+1)))</f>
        <v/>
      </c>
      <c r="K324" s="509" t="str">
        <f>IF(op!K257="","",op!K257)</f>
        <v/>
      </c>
      <c r="L324" s="510" t="str">
        <f>IF(op!L257="","",op!L257)</f>
        <v/>
      </c>
      <c r="M324" s="511" t="str">
        <f t="shared" si="97"/>
        <v/>
      </c>
      <c r="N324" s="109"/>
      <c r="O324" s="513" t="str">
        <f>IF(I324="","",VLOOKUP(I324,tab!$A$68:$V$108,J324+2,FALSE))</f>
        <v/>
      </c>
      <c r="P324" s="514" t="str">
        <f t="shared" si="98"/>
        <v/>
      </c>
      <c r="Q324" s="1173">
        <f t="shared" si="95"/>
        <v>0.62</v>
      </c>
      <c r="R324" s="514" t="str">
        <f t="shared" si="99"/>
        <v/>
      </c>
      <c r="S324" s="514">
        <f>IF(L324="",0,(((O324*12)*L324)*(1+tab!$D$55)*tab!$F$57))</f>
        <v>0</v>
      </c>
      <c r="T324" s="1131">
        <f t="shared" si="100"/>
        <v>0</v>
      </c>
      <c r="U324" s="219">
        <f t="shared" si="101"/>
        <v>0</v>
      </c>
      <c r="V324" s="1145">
        <f t="shared" si="102"/>
        <v>0</v>
      </c>
      <c r="W324" s="124"/>
      <c r="AA324" s="642" t="e">
        <f>DATE(YEAR(tab!$I$3),MONTH(H324),DAY(H324))&gt;tab!$I$3</f>
        <v>#VALUE!</v>
      </c>
      <c r="AB324" s="642" t="e">
        <f t="shared" si="103"/>
        <v>#VALUE!</v>
      </c>
      <c r="AC324" s="244">
        <f t="shared" si="104"/>
        <v>30</v>
      </c>
      <c r="AD324" s="244">
        <f t="shared" si="105"/>
        <v>30</v>
      </c>
      <c r="AE324" s="643">
        <f t="shared" si="106"/>
        <v>0</v>
      </c>
      <c r="AK324" s="552"/>
    </row>
    <row r="325" spans="3:37" ht="12.75" customHeight="1" x14ac:dyDescent="0.2">
      <c r="C325" s="108"/>
      <c r="D325" s="115" t="str">
        <f>IF(op!D258=0,"",op!D258)</f>
        <v/>
      </c>
      <c r="E325" s="115" t="str">
        <f>IF(op!E258=0,"-",op!E258)</f>
        <v/>
      </c>
      <c r="F325" s="115" t="str">
        <f>IF(op!F258=0,"-",op!F258)</f>
        <v/>
      </c>
      <c r="G325" s="132" t="str">
        <f>IF(op!G258="","",op!G258+1)</f>
        <v/>
      </c>
      <c r="H325" s="508" t="str">
        <f>IF(op!H258="","",op!H258)</f>
        <v/>
      </c>
      <c r="I325" s="132" t="str">
        <f>IF(op!I258=0,"",op!I258)</f>
        <v/>
      </c>
      <c r="J325" s="150" t="str">
        <f>IF(E325="","",(IF(op!J258+1&gt;LOOKUP(I325,schaal2011,regels2011),op!J258,op!J258+1)))</f>
        <v/>
      </c>
      <c r="K325" s="509" t="str">
        <f>IF(op!K258="","",op!K258)</f>
        <v/>
      </c>
      <c r="L325" s="510" t="str">
        <f>IF(op!L258="","",op!L258)</f>
        <v/>
      </c>
      <c r="M325" s="511" t="str">
        <f t="shared" si="97"/>
        <v/>
      </c>
      <c r="N325" s="109"/>
      <c r="O325" s="513" t="str">
        <f>IF(I325="","",VLOOKUP(I325,tab!$A$68:$V$108,J325+2,FALSE))</f>
        <v/>
      </c>
      <c r="P325" s="514" t="str">
        <f t="shared" si="98"/>
        <v/>
      </c>
      <c r="Q325" s="1173">
        <f t="shared" si="95"/>
        <v>0.62</v>
      </c>
      <c r="R325" s="514" t="str">
        <f t="shared" si="99"/>
        <v/>
      </c>
      <c r="S325" s="514">
        <f>IF(L325="",0,(((O325*12)*L325)*(1+tab!$D$55)*tab!$F$57))</f>
        <v>0</v>
      </c>
      <c r="T325" s="1131">
        <f t="shared" si="100"/>
        <v>0</v>
      </c>
      <c r="U325" s="219">
        <f t="shared" si="101"/>
        <v>0</v>
      </c>
      <c r="V325" s="1145">
        <f t="shared" si="102"/>
        <v>0</v>
      </c>
      <c r="W325" s="124"/>
      <c r="AA325" s="642" t="e">
        <f>DATE(YEAR(tab!$I$3),MONTH(H325),DAY(H325))&gt;tab!$I$3</f>
        <v>#VALUE!</v>
      </c>
      <c r="AB325" s="642" t="e">
        <f t="shared" si="103"/>
        <v>#VALUE!</v>
      </c>
      <c r="AC325" s="244">
        <f t="shared" si="104"/>
        <v>30</v>
      </c>
      <c r="AD325" s="244">
        <f t="shared" si="105"/>
        <v>30</v>
      </c>
      <c r="AE325" s="643">
        <f t="shared" si="106"/>
        <v>0</v>
      </c>
      <c r="AK325" s="552"/>
    </row>
    <row r="326" spans="3:37" ht="12.75" customHeight="1" x14ac:dyDescent="0.2">
      <c r="C326" s="108"/>
      <c r="D326" s="115" t="str">
        <f>IF(op!D259=0,"",op!D259)</f>
        <v/>
      </c>
      <c r="E326" s="115" t="str">
        <f>IF(op!E259=0,"-",op!E259)</f>
        <v/>
      </c>
      <c r="F326" s="115" t="str">
        <f>IF(op!F259=0,"-",op!F259)</f>
        <v/>
      </c>
      <c r="G326" s="132" t="str">
        <f>IF(op!G259="","",op!G259+1)</f>
        <v/>
      </c>
      <c r="H326" s="508" t="str">
        <f>IF(op!H259="","",op!H259)</f>
        <v/>
      </c>
      <c r="I326" s="132" t="str">
        <f>IF(op!I259=0,"",op!I259)</f>
        <v/>
      </c>
      <c r="J326" s="150" t="str">
        <f>IF(E326="","",(IF(op!J259+1&gt;LOOKUP(I326,schaal2011,regels2011),op!J259,op!J259+1)))</f>
        <v/>
      </c>
      <c r="K326" s="509" t="str">
        <f>IF(op!K259="","",op!K259)</f>
        <v/>
      </c>
      <c r="L326" s="510" t="str">
        <f>IF(op!L259="","",op!L259)</f>
        <v/>
      </c>
      <c r="M326" s="511" t="str">
        <f t="shared" si="97"/>
        <v/>
      </c>
      <c r="N326" s="109"/>
      <c r="O326" s="513" t="str">
        <f>IF(I326="","",VLOOKUP(I326,tab!$A$68:$V$108,J326+2,FALSE))</f>
        <v/>
      </c>
      <c r="P326" s="514" t="str">
        <f t="shared" si="98"/>
        <v/>
      </c>
      <c r="Q326" s="1173">
        <f t="shared" si="95"/>
        <v>0.62</v>
      </c>
      <c r="R326" s="514" t="str">
        <f t="shared" si="99"/>
        <v/>
      </c>
      <c r="S326" s="514">
        <f>IF(L326="",0,(((O326*12)*L326)*(1+tab!$D$55)*tab!$F$57))</f>
        <v>0</v>
      </c>
      <c r="T326" s="1131">
        <f t="shared" si="100"/>
        <v>0</v>
      </c>
      <c r="U326" s="219">
        <f t="shared" si="101"/>
        <v>0</v>
      </c>
      <c r="V326" s="1145">
        <f t="shared" si="102"/>
        <v>0</v>
      </c>
      <c r="W326" s="124"/>
      <c r="AA326" s="642" t="e">
        <f>DATE(YEAR(tab!$I$3),MONTH(H326),DAY(H326))&gt;tab!$I$3</f>
        <v>#VALUE!</v>
      </c>
      <c r="AB326" s="642" t="e">
        <f t="shared" si="103"/>
        <v>#VALUE!</v>
      </c>
      <c r="AC326" s="244">
        <f t="shared" si="104"/>
        <v>30</v>
      </c>
      <c r="AD326" s="244">
        <f t="shared" si="105"/>
        <v>30</v>
      </c>
      <c r="AE326" s="643">
        <f t="shared" si="106"/>
        <v>0</v>
      </c>
      <c r="AK326" s="552"/>
    </row>
    <row r="327" spans="3:37" ht="12.75" customHeight="1" x14ac:dyDescent="0.2">
      <c r="C327" s="108"/>
      <c r="D327" s="115" t="str">
        <f>IF(op!D260=0,"",op!D260)</f>
        <v/>
      </c>
      <c r="E327" s="115" t="str">
        <f>IF(op!E260=0,"-",op!E260)</f>
        <v/>
      </c>
      <c r="F327" s="115" t="str">
        <f>IF(op!F260=0,"-",op!F260)</f>
        <v/>
      </c>
      <c r="G327" s="132" t="str">
        <f>IF(op!G260="","",op!G260+1)</f>
        <v/>
      </c>
      <c r="H327" s="508" t="str">
        <f>IF(op!H260="","",op!H260)</f>
        <v/>
      </c>
      <c r="I327" s="132" t="str">
        <f>IF(op!I260=0,"",op!I260)</f>
        <v/>
      </c>
      <c r="J327" s="150" t="str">
        <f>IF(E327="","",(IF(op!J260+1&gt;LOOKUP(I327,schaal2011,regels2011),op!J260,op!J260+1)))</f>
        <v/>
      </c>
      <c r="K327" s="509" t="str">
        <f>IF(op!K260="","",op!K260)</f>
        <v/>
      </c>
      <c r="L327" s="510" t="str">
        <f>IF(op!L260="","",op!L260)</f>
        <v/>
      </c>
      <c r="M327" s="511" t="str">
        <f t="shared" si="97"/>
        <v/>
      </c>
      <c r="N327" s="109"/>
      <c r="O327" s="513" t="str">
        <f>IF(I327="","",VLOOKUP(I327,tab!$A$68:$V$108,J327+2,FALSE))</f>
        <v/>
      </c>
      <c r="P327" s="514" t="str">
        <f t="shared" si="98"/>
        <v/>
      </c>
      <c r="Q327" s="1173">
        <f t="shared" si="95"/>
        <v>0.62</v>
      </c>
      <c r="R327" s="514" t="str">
        <f t="shared" si="99"/>
        <v/>
      </c>
      <c r="S327" s="514">
        <f>IF(L327="",0,(((O327*12)*L327)*(1+tab!$D$55)*tab!$F$57))</f>
        <v>0</v>
      </c>
      <c r="T327" s="1131">
        <f t="shared" si="100"/>
        <v>0</v>
      </c>
      <c r="U327" s="219">
        <f t="shared" si="101"/>
        <v>0</v>
      </c>
      <c r="V327" s="1145">
        <f t="shared" si="102"/>
        <v>0</v>
      </c>
      <c r="W327" s="124"/>
      <c r="AA327" s="642" t="e">
        <f>DATE(YEAR(tab!$I$3),MONTH(H327),DAY(H327))&gt;tab!$I$3</f>
        <v>#VALUE!</v>
      </c>
      <c r="AB327" s="642" t="e">
        <f t="shared" si="103"/>
        <v>#VALUE!</v>
      </c>
      <c r="AC327" s="244">
        <f t="shared" si="104"/>
        <v>30</v>
      </c>
      <c r="AD327" s="244">
        <f t="shared" si="105"/>
        <v>30</v>
      </c>
      <c r="AE327" s="643">
        <f t="shared" si="106"/>
        <v>0</v>
      </c>
      <c r="AK327" s="552"/>
    </row>
    <row r="328" spans="3:37" ht="12.75" customHeight="1" x14ac:dyDescent="0.2">
      <c r="C328" s="108"/>
      <c r="D328" s="115" t="str">
        <f>IF(op!D261=0,"",op!D261)</f>
        <v/>
      </c>
      <c r="E328" s="115" t="str">
        <f>IF(op!E261=0,"-",op!E261)</f>
        <v/>
      </c>
      <c r="F328" s="115" t="str">
        <f>IF(op!F261=0,"-",op!F261)</f>
        <v/>
      </c>
      <c r="G328" s="132" t="str">
        <f>IF(op!G261="","",op!G261+1)</f>
        <v/>
      </c>
      <c r="H328" s="508" t="str">
        <f>IF(op!H261="","",op!H261)</f>
        <v/>
      </c>
      <c r="I328" s="132" t="str">
        <f>IF(op!I261=0,"",op!I261)</f>
        <v/>
      </c>
      <c r="J328" s="150" t="str">
        <f>IF(E328="","",(IF(op!J261+1&gt;LOOKUP(I328,schaal2011,regels2011),op!J261,op!J261+1)))</f>
        <v/>
      </c>
      <c r="K328" s="509" t="str">
        <f>IF(op!K261="","",op!K261)</f>
        <v/>
      </c>
      <c r="L328" s="510" t="str">
        <f>IF(op!L261="","",op!L261)</f>
        <v/>
      </c>
      <c r="M328" s="511" t="str">
        <f t="shared" si="97"/>
        <v/>
      </c>
      <c r="N328" s="109"/>
      <c r="O328" s="513" t="str">
        <f>IF(I328="","",VLOOKUP(I328,tab!$A$68:$V$108,J328+2,FALSE))</f>
        <v/>
      </c>
      <c r="P328" s="514" t="str">
        <f t="shared" si="98"/>
        <v/>
      </c>
      <c r="Q328" s="1173">
        <f t="shared" si="95"/>
        <v>0.62</v>
      </c>
      <c r="R328" s="514" t="str">
        <f t="shared" si="99"/>
        <v/>
      </c>
      <c r="S328" s="514">
        <f>IF(L328="",0,(((O328*12)*L328)*(1+tab!$D$55)*tab!$F$57))</f>
        <v>0</v>
      </c>
      <c r="T328" s="1131">
        <f t="shared" si="100"/>
        <v>0</v>
      </c>
      <c r="U328" s="219">
        <f t="shared" si="101"/>
        <v>0</v>
      </c>
      <c r="V328" s="1145">
        <f t="shared" si="102"/>
        <v>0</v>
      </c>
      <c r="W328" s="124"/>
      <c r="AA328" s="642" t="e">
        <f>DATE(YEAR(tab!$I$3),MONTH(H328),DAY(H328))&gt;tab!$I$3</f>
        <v>#VALUE!</v>
      </c>
      <c r="AB328" s="642" t="e">
        <f t="shared" si="103"/>
        <v>#VALUE!</v>
      </c>
      <c r="AC328" s="244">
        <f t="shared" si="104"/>
        <v>30</v>
      </c>
      <c r="AD328" s="244">
        <f t="shared" si="105"/>
        <v>30</v>
      </c>
      <c r="AE328" s="643">
        <f t="shared" si="106"/>
        <v>0</v>
      </c>
      <c r="AK328" s="552"/>
    </row>
    <row r="329" spans="3:37" ht="12.75" customHeight="1" x14ac:dyDescent="0.2">
      <c r="C329" s="108"/>
      <c r="D329" s="115" t="str">
        <f>IF(op!D262=0,"",op!D262)</f>
        <v/>
      </c>
      <c r="E329" s="115" t="str">
        <f>IF(op!E262=0,"-",op!E262)</f>
        <v/>
      </c>
      <c r="F329" s="115" t="str">
        <f>IF(op!F262=0,"-",op!F262)</f>
        <v/>
      </c>
      <c r="G329" s="132" t="str">
        <f>IF(op!G262="","",op!G262+1)</f>
        <v/>
      </c>
      <c r="H329" s="508" t="str">
        <f>IF(op!H262="","",op!H262)</f>
        <v/>
      </c>
      <c r="I329" s="132" t="str">
        <f>IF(op!I262=0,"",op!I262)</f>
        <v/>
      </c>
      <c r="J329" s="150" t="str">
        <f>IF(E329="","",(IF(op!J262+1&gt;LOOKUP(I329,schaal2011,regels2011),op!J262,op!J262+1)))</f>
        <v/>
      </c>
      <c r="K329" s="509" t="str">
        <f>IF(op!K262="","",op!K262)</f>
        <v/>
      </c>
      <c r="L329" s="510" t="str">
        <f>IF(op!L262="","",op!L262)</f>
        <v/>
      </c>
      <c r="M329" s="511" t="str">
        <f t="shared" si="97"/>
        <v/>
      </c>
      <c r="N329" s="109"/>
      <c r="O329" s="513" t="str">
        <f>IF(I329="","",VLOOKUP(I329,tab!$A$68:$V$108,J329+2,FALSE))</f>
        <v/>
      </c>
      <c r="P329" s="514" t="str">
        <f t="shared" si="98"/>
        <v/>
      </c>
      <c r="Q329" s="1173">
        <f t="shared" si="95"/>
        <v>0.62</v>
      </c>
      <c r="R329" s="514" t="str">
        <f t="shared" si="99"/>
        <v/>
      </c>
      <c r="S329" s="514">
        <f>IF(L329="",0,(((O329*12)*L329)*(1+tab!$D$55)*tab!$F$57))</f>
        <v>0</v>
      </c>
      <c r="T329" s="1131">
        <f t="shared" si="100"/>
        <v>0</v>
      </c>
      <c r="U329" s="219">
        <f t="shared" si="101"/>
        <v>0</v>
      </c>
      <c r="V329" s="1145">
        <f t="shared" si="102"/>
        <v>0</v>
      </c>
      <c r="W329" s="124"/>
      <c r="AA329" s="642" t="e">
        <f>DATE(YEAR(tab!$I$3),MONTH(H329),DAY(H329))&gt;tab!$I$3</f>
        <v>#VALUE!</v>
      </c>
      <c r="AB329" s="642" t="e">
        <f t="shared" si="103"/>
        <v>#VALUE!</v>
      </c>
      <c r="AC329" s="244">
        <f t="shared" si="104"/>
        <v>30</v>
      </c>
      <c r="AD329" s="244">
        <f t="shared" si="105"/>
        <v>30</v>
      </c>
      <c r="AE329" s="643">
        <f t="shared" si="106"/>
        <v>0</v>
      </c>
      <c r="AK329" s="552"/>
    </row>
    <row r="330" spans="3:37" ht="12.75" customHeight="1" x14ac:dyDescent="0.2">
      <c r="C330" s="108"/>
      <c r="D330" s="115" t="str">
        <f>IF(op!D263=0,"",op!D263)</f>
        <v/>
      </c>
      <c r="E330" s="115" t="str">
        <f>IF(op!E263=0,"-",op!E263)</f>
        <v/>
      </c>
      <c r="F330" s="115" t="str">
        <f>IF(op!F263=0,"-",op!F263)</f>
        <v/>
      </c>
      <c r="G330" s="132" t="str">
        <f>IF(op!G263="","",op!G263+1)</f>
        <v/>
      </c>
      <c r="H330" s="508" t="str">
        <f>IF(op!H263="","",op!H263)</f>
        <v/>
      </c>
      <c r="I330" s="132" t="str">
        <f>IF(op!I263=0,"",op!I263)</f>
        <v/>
      </c>
      <c r="J330" s="150" t="str">
        <f>IF(E330="","",(IF(op!J263+1&gt;LOOKUP(I330,schaal2011,regels2011),op!J263,op!J263+1)))</f>
        <v/>
      </c>
      <c r="K330" s="509" t="str">
        <f>IF(op!K263="","",op!K263)</f>
        <v/>
      </c>
      <c r="L330" s="510" t="str">
        <f>IF(op!L263="","",op!L263)</f>
        <v/>
      </c>
      <c r="M330" s="511" t="str">
        <f t="shared" si="97"/>
        <v/>
      </c>
      <c r="N330" s="109"/>
      <c r="O330" s="513" t="str">
        <f>IF(I330="","",VLOOKUP(I330,tab!$A$68:$V$108,J330+2,FALSE))</f>
        <v/>
      </c>
      <c r="P330" s="514" t="str">
        <f t="shared" si="98"/>
        <v/>
      </c>
      <c r="Q330" s="1173">
        <f t="shared" si="95"/>
        <v>0.62</v>
      </c>
      <c r="R330" s="514" t="str">
        <f t="shared" si="99"/>
        <v/>
      </c>
      <c r="S330" s="514">
        <f>IF(L330="",0,(((O330*12)*L330)*(1+tab!$D$55)*tab!$F$57))</f>
        <v>0</v>
      </c>
      <c r="T330" s="1131">
        <f t="shared" si="100"/>
        <v>0</v>
      </c>
      <c r="U330" s="219">
        <f t="shared" si="101"/>
        <v>0</v>
      </c>
      <c r="V330" s="1145">
        <f t="shared" si="102"/>
        <v>0</v>
      </c>
      <c r="W330" s="124"/>
      <c r="AA330" s="642" t="e">
        <f>DATE(YEAR(tab!$I$3),MONTH(H330),DAY(H330))&gt;tab!$I$3</f>
        <v>#VALUE!</v>
      </c>
      <c r="AB330" s="642" t="e">
        <f t="shared" si="103"/>
        <v>#VALUE!</v>
      </c>
      <c r="AC330" s="244">
        <f t="shared" si="104"/>
        <v>30</v>
      </c>
      <c r="AD330" s="244">
        <f t="shared" si="105"/>
        <v>30</v>
      </c>
      <c r="AE330" s="643">
        <f t="shared" si="106"/>
        <v>0</v>
      </c>
      <c r="AK330" s="552"/>
    </row>
    <row r="331" spans="3:37" ht="12.75" customHeight="1" x14ac:dyDescent="0.2">
      <c r="C331" s="108"/>
      <c r="D331" s="115" t="str">
        <f>IF(op!D264=0,"",op!D264)</f>
        <v/>
      </c>
      <c r="E331" s="115" t="str">
        <f>IF(op!E264=0,"-",op!E264)</f>
        <v/>
      </c>
      <c r="F331" s="115" t="str">
        <f>IF(op!F264=0,"-",op!F264)</f>
        <v/>
      </c>
      <c r="G331" s="132" t="str">
        <f>IF(op!G264="","",op!G264+1)</f>
        <v/>
      </c>
      <c r="H331" s="508" t="str">
        <f>IF(op!H264="","",op!H264)</f>
        <v/>
      </c>
      <c r="I331" s="132" t="str">
        <f>IF(op!I264=0,"",op!I264)</f>
        <v/>
      </c>
      <c r="J331" s="150" t="str">
        <f>IF(E331="","",(IF(op!J264+1&gt;LOOKUP(I331,schaal2011,regels2011),op!J264,op!J264+1)))</f>
        <v/>
      </c>
      <c r="K331" s="509" t="str">
        <f>IF(op!K264="","",op!K264)</f>
        <v/>
      </c>
      <c r="L331" s="510" t="str">
        <f>IF(op!L264="","",op!L264)</f>
        <v/>
      </c>
      <c r="M331" s="511" t="str">
        <f t="shared" si="97"/>
        <v/>
      </c>
      <c r="N331" s="109"/>
      <c r="O331" s="513" t="str">
        <f>IF(I331="","",VLOOKUP(I331,tab!$A$68:$V$108,J331+2,FALSE))</f>
        <v/>
      </c>
      <c r="P331" s="514" t="str">
        <f t="shared" si="98"/>
        <v/>
      </c>
      <c r="Q331" s="1173">
        <f t="shared" si="95"/>
        <v>0.62</v>
      </c>
      <c r="R331" s="514" t="str">
        <f t="shared" si="99"/>
        <v/>
      </c>
      <c r="S331" s="514">
        <f>IF(L331="",0,(((O331*12)*L331)*(1+tab!$D$55)*tab!$F$57))</f>
        <v>0</v>
      </c>
      <c r="T331" s="1131">
        <f t="shared" si="100"/>
        <v>0</v>
      </c>
      <c r="U331" s="219">
        <f t="shared" si="101"/>
        <v>0</v>
      </c>
      <c r="V331" s="1145">
        <f t="shared" si="102"/>
        <v>0</v>
      </c>
      <c r="W331" s="124"/>
      <c r="AA331" s="642" t="e">
        <f>DATE(YEAR(tab!$I$3),MONTH(H331),DAY(H331))&gt;tab!$I$3</f>
        <v>#VALUE!</v>
      </c>
      <c r="AB331" s="642" t="e">
        <f t="shared" si="103"/>
        <v>#VALUE!</v>
      </c>
      <c r="AC331" s="244">
        <f t="shared" si="104"/>
        <v>30</v>
      </c>
      <c r="AD331" s="244">
        <f t="shared" si="105"/>
        <v>30</v>
      </c>
      <c r="AE331" s="643">
        <f t="shared" si="106"/>
        <v>0</v>
      </c>
      <c r="AK331" s="552"/>
    </row>
    <row r="332" spans="3:37" ht="12.75" customHeight="1" x14ac:dyDescent="0.2">
      <c r="C332" s="108"/>
      <c r="D332" s="115" t="str">
        <f>IF(op!D265=0,"",op!D265)</f>
        <v/>
      </c>
      <c r="E332" s="115" t="str">
        <f>IF(op!E265=0,"-",op!E265)</f>
        <v/>
      </c>
      <c r="F332" s="115" t="str">
        <f>IF(op!F265=0,"-",op!F265)</f>
        <v/>
      </c>
      <c r="G332" s="132" t="str">
        <f>IF(op!G265="","",op!G265+1)</f>
        <v/>
      </c>
      <c r="H332" s="508" t="str">
        <f>IF(op!H265="","",op!H265)</f>
        <v/>
      </c>
      <c r="I332" s="132" t="str">
        <f>IF(op!I265=0,"",op!I265)</f>
        <v/>
      </c>
      <c r="J332" s="150" t="str">
        <f>IF(E332="","",(IF(op!J265+1&gt;LOOKUP(I332,schaal2011,regels2011),op!J265,op!J265+1)))</f>
        <v/>
      </c>
      <c r="K332" s="509" t="str">
        <f>IF(op!K265="","",op!K265)</f>
        <v/>
      </c>
      <c r="L332" s="510" t="str">
        <f>IF(op!L265="","",op!L265)</f>
        <v/>
      </c>
      <c r="M332" s="511" t="str">
        <f t="shared" si="97"/>
        <v/>
      </c>
      <c r="N332" s="109"/>
      <c r="O332" s="513" t="str">
        <f>IF(I332="","",VLOOKUP(I332,tab!$A$68:$V$108,J332+2,FALSE))</f>
        <v/>
      </c>
      <c r="P332" s="514" t="str">
        <f t="shared" si="98"/>
        <v/>
      </c>
      <c r="Q332" s="1173">
        <f t="shared" si="95"/>
        <v>0.62</v>
      </c>
      <c r="R332" s="514" t="str">
        <f t="shared" si="99"/>
        <v/>
      </c>
      <c r="S332" s="514">
        <f>IF(L332="",0,(((O332*12)*L332)*(1+tab!$D$55)*tab!$F$57))</f>
        <v>0</v>
      </c>
      <c r="T332" s="1131">
        <f t="shared" si="100"/>
        <v>0</v>
      </c>
      <c r="U332" s="219">
        <f t="shared" si="101"/>
        <v>0</v>
      </c>
      <c r="V332" s="1145">
        <f t="shared" si="102"/>
        <v>0</v>
      </c>
      <c r="W332" s="124"/>
      <c r="AA332" s="642" t="e">
        <f>DATE(YEAR(tab!$I$3),MONTH(H332),DAY(H332))&gt;tab!$I$3</f>
        <v>#VALUE!</v>
      </c>
      <c r="AB332" s="642" t="e">
        <f t="shared" si="103"/>
        <v>#VALUE!</v>
      </c>
      <c r="AC332" s="244">
        <f t="shared" si="104"/>
        <v>30</v>
      </c>
      <c r="AD332" s="244">
        <f t="shared" si="105"/>
        <v>30</v>
      </c>
      <c r="AE332" s="643">
        <f t="shared" si="106"/>
        <v>0</v>
      </c>
      <c r="AK332" s="552"/>
    </row>
    <row r="333" spans="3:37" ht="12.75" customHeight="1" x14ac:dyDescent="0.2">
      <c r="C333" s="108"/>
      <c r="D333" s="115" t="str">
        <f>IF(op!D266=0,"",op!D266)</f>
        <v/>
      </c>
      <c r="E333" s="115" t="str">
        <f>IF(op!E266=0,"-",op!E266)</f>
        <v/>
      </c>
      <c r="F333" s="115" t="str">
        <f>IF(op!F266=0,"-",op!F266)</f>
        <v/>
      </c>
      <c r="G333" s="132" t="str">
        <f>IF(op!G266="","",op!G266+1)</f>
        <v/>
      </c>
      <c r="H333" s="508" t="str">
        <f>IF(op!H266="","",op!H266)</f>
        <v/>
      </c>
      <c r="I333" s="132" t="str">
        <f>IF(op!I266=0,"",op!I266)</f>
        <v/>
      </c>
      <c r="J333" s="150" t="str">
        <f>IF(E333="","",(IF(op!J266+1&gt;LOOKUP(I333,schaal2011,regels2011),op!J266,op!J266+1)))</f>
        <v/>
      </c>
      <c r="K333" s="509" t="str">
        <f>IF(op!K266="","",op!K266)</f>
        <v/>
      </c>
      <c r="L333" s="510" t="str">
        <f>IF(op!L266="","",op!L266)</f>
        <v/>
      </c>
      <c r="M333" s="511" t="str">
        <f t="shared" si="97"/>
        <v/>
      </c>
      <c r="N333" s="109"/>
      <c r="O333" s="513" t="str">
        <f>IF(I333="","",VLOOKUP(I333,tab!$A$68:$V$108,J333+2,FALSE))</f>
        <v/>
      </c>
      <c r="P333" s="514" t="str">
        <f t="shared" si="98"/>
        <v/>
      </c>
      <c r="Q333" s="1173">
        <f t="shared" si="95"/>
        <v>0.62</v>
      </c>
      <c r="R333" s="514" t="str">
        <f t="shared" si="99"/>
        <v/>
      </c>
      <c r="S333" s="514">
        <f>IF(L333="",0,(((O333*12)*L333)*(1+tab!$D$55)*tab!$F$57))</f>
        <v>0</v>
      </c>
      <c r="T333" s="1131">
        <f t="shared" si="100"/>
        <v>0</v>
      </c>
      <c r="U333" s="219">
        <f t="shared" si="101"/>
        <v>0</v>
      </c>
      <c r="V333" s="1145">
        <f t="shared" si="102"/>
        <v>0</v>
      </c>
      <c r="W333" s="124"/>
      <c r="AA333" s="642" t="e">
        <f>DATE(YEAR(tab!$I$3),MONTH(H333),DAY(H333))&gt;tab!$I$3</f>
        <v>#VALUE!</v>
      </c>
      <c r="AB333" s="642" t="e">
        <f t="shared" si="103"/>
        <v>#VALUE!</v>
      </c>
      <c r="AC333" s="244">
        <f t="shared" si="104"/>
        <v>30</v>
      </c>
      <c r="AD333" s="244">
        <f t="shared" si="105"/>
        <v>30</v>
      </c>
      <c r="AE333" s="643">
        <f t="shared" si="106"/>
        <v>0</v>
      </c>
      <c r="AK333" s="552"/>
    </row>
    <row r="334" spans="3:37" ht="12.75" customHeight="1" x14ac:dyDescent="0.2">
      <c r="C334" s="108"/>
      <c r="D334" s="115" t="str">
        <f>IF(op!D267=0,"",op!D267)</f>
        <v/>
      </c>
      <c r="E334" s="115" t="str">
        <f>IF(op!E267=0,"-",op!E267)</f>
        <v/>
      </c>
      <c r="F334" s="115" t="str">
        <f>IF(op!F267=0,"-",op!F267)</f>
        <v/>
      </c>
      <c r="G334" s="132" t="str">
        <f>IF(op!G267="","",op!G267+1)</f>
        <v/>
      </c>
      <c r="H334" s="508" t="str">
        <f>IF(op!H267="","",op!H267)</f>
        <v/>
      </c>
      <c r="I334" s="132" t="str">
        <f>IF(op!I267=0,"",op!I267)</f>
        <v/>
      </c>
      <c r="J334" s="150" t="str">
        <f>IF(E334="","",(IF(op!J267+1&gt;LOOKUP(I334,schaal2011,regels2011),op!J267,op!J267+1)))</f>
        <v/>
      </c>
      <c r="K334" s="509" t="str">
        <f>IF(op!K267="","",op!K267)</f>
        <v/>
      </c>
      <c r="L334" s="510" t="str">
        <f>IF(op!L267="","",op!L267)</f>
        <v/>
      </c>
      <c r="M334" s="511" t="str">
        <f t="shared" si="97"/>
        <v/>
      </c>
      <c r="N334" s="109"/>
      <c r="O334" s="513" t="str">
        <f>IF(I334="","",VLOOKUP(I334,tab!$A$68:$V$108,J334+2,FALSE))</f>
        <v/>
      </c>
      <c r="P334" s="514" t="str">
        <f t="shared" si="98"/>
        <v/>
      </c>
      <c r="Q334" s="1173">
        <f t="shared" si="95"/>
        <v>0.62</v>
      </c>
      <c r="R334" s="514" t="str">
        <f t="shared" si="99"/>
        <v/>
      </c>
      <c r="S334" s="514">
        <f>IF(L334="",0,(((O334*12)*L334)*(1+tab!$D$55)*tab!$F$57))</f>
        <v>0</v>
      </c>
      <c r="T334" s="1131">
        <f t="shared" si="100"/>
        <v>0</v>
      </c>
      <c r="U334" s="219">
        <f t="shared" si="101"/>
        <v>0</v>
      </c>
      <c r="V334" s="1145">
        <f t="shared" si="102"/>
        <v>0</v>
      </c>
      <c r="W334" s="124"/>
      <c r="AA334" s="642" t="e">
        <f>DATE(YEAR(tab!$I$3),MONTH(H334),DAY(H334))&gt;tab!$I$3</f>
        <v>#VALUE!</v>
      </c>
      <c r="AB334" s="642" t="e">
        <f t="shared" si="103"/>
        <v>#VALUE!</v>
      </c>
      <c r="AC334" s="244">
        <f t="shared" si="104"/>
        <v>30</v>
      </c>
      <c r="AD334" s="244">
        <f t="shared" si="105"/>
        <v>30</v>
      </c>
      <c r="AE334" s="643">
        <f t="shared" si="106"/>
        <v>0</v>
      </c>
      <c r="AK334" s="552"/>
    </row>
    <row r="335" spans="3:37" ht="12.75" customHeight="1" x14ac:dyDescent="0.2">
      <c r="C335" s="108"/>
      <c r="D335" s="115" t="str">
        <f>IF(op!D268=0,"",op!D268)</f>
        <v/>
      </c>
      <c r="E335" s="115" t="str">
        <f>IF(op!E268=0,"-",op!E268)</f>
        <v/>
      </c>
      <c r="F335" s="115" t="str">
        <f>IF(op!F268=0,"-",op!F268)</f>
        <v/>
      </c>
      <c r="G335" s="132" t="str">
        <f>IF(op!G268="","",op!G268+1)</f>
        <v/>
      </c>
      <c r="H335" s="508" t="str">
        <f>IF(op!H268="","",op!H268)</f>
        <v/>
      </c>
      <c r="I335" s="132" t="str">
        <f>IF(op!I268=0,"",op!I268)</f>
        <v/>
      </c>
      <c r="J335" s="150" t="str">
        <f>IF(E335="","",(IF(op!J268+1&gt;LOOKUP(I335,schaal2011,regels2011),op!J268,op!J268+1)))</f>
        <v/>
      </c>
      <c r="K335" s="509" t="str">
        <f>IF(op!K268="","",op!K268)</f>
        <v/>
      </c>
      <c r="L335" s="510" t="str">
        <f>IF(op!L268="","",op!L268)</f>
        <v/>
      </c>
      <c r="M335" s="511" t="str">
        <f t="shared" si="97"/>
        <v/>
      </c>
      <c r="N335" s="109"/>
      <c r="O335" s="513" t="str">
        <f>IF(I335="","",VLOOKUP(I335,tab!$A$68:$V$108,J335+2,FALSE))</f>
        <v/>
      </c>
      <c r="P335" s="514" t="str">
        <f t="shared" si="98"/>
        <v/>
      </c>
      <c r="Q335" s="1173">
        <f t="shared" si="95"/>
        <v>0.62</v>
      </c>
      <c r="R335" s="514" t="str">
        <f t="shared" si="99"/>
        <v/>
      </c>
      <c r="S335" s="514">
        <f>IF(L335="",0,(((O335*12)*L335)*(1+tab!$D$55)*tab!$F$57))</f>
        <v>0</v>
      </c>
      <c r="T335" s="1131">
        <f t="shared" si="100"/>
        <v>0</v>
      </c>
      <c r="U335" s="219">
        <f t="shared" si="101"/>
        <v>0</v>
      </c>
      <c r="V335" s="1145">
        <f t="shared" si="102"/>
        <v>0</v>
      </c>
      <c r="W335" s="124"/>
      <c r="AA335" s="642" t="e">
        <f>DATE(YEAR(tab!$I$3),MONTH(H335),DAY(H335))&gt;tab!$I$3</f>
        <v>#VALUE!</v>
      </c>
      <c r="AB335" s="642" t="e">
        <f t="shared" si="103"/>
        <v>#VALUE!</v>
      </c>
      <c r="AC335" s="244">
        <f t="shared" si="104"/>
        <v>30</v>
      </c>
      <c r="AD335" s="244">
        <f t="shared" si="105"/>
        <v>30</v>
      </c>
      <c r="AE335" s="643">
        <f t="shared" si="106"/>
        <v>0</v>
      </c>
      <c r="AK335" s="552"/>
    </row>
    <row r="336" spans="3:37" ht="12.75" customHeight="1" x14ac:dyDescent="0.2">
      <c r="C336" s="108"/>
      <c r="D336" s="115" t="str">
        <f>IF(op!D269=0,"",op!D269)</f>
        <v/>
      </c>
      <c r="E336" s="115" t="str">
        <f>IF(op!E269=0,"-",op!E269)</f>
        <v/>
      </c>
      <c r="F336" s="115" t="str">
        <f>IF(op!F269=0,"-",op!F269)</f>
        <v/>
      </c>
      <c r="G336" s="132" t="str">
        <f>IF(op!G269="","",op!G269+1)</f>
        <v/>
      </c>
      <c r="H336" s="508" t="str">
        <f>IF(op!H269="","",op!H269)</f>
        <v/>
      </c>
      <c r="I336" s="132" t="str">
        <f>IF(op!I269=0,"",op!I269)</f>
        <v/>
      </c>
      <c r="J336" s="150" t="str">
        <f>IF(E336="","",(IF(op!J269+1&gt;LOOKUP(I336,schaal2011,regels2011),op!J269,op!J269+1)))</f>
        <v/>
      </c>
      <c r="K336" s="509" t="str">
        <f>IF(op!K269="","",op!K269)</f>
        <v/>
      </c>
      <c r="L336" s="510" t="str">
        <f>IF(op!L269="","",op!L269)</f>
        <v/>
      </c>
      <c r="M336" s="511" t="str">
        <f t="shared" si="97"/>
        <v/>
      </c>
      <c r="N336" s="109"/>
      <c r="O336" s="513" t="str">
        <f>IF(I336="","",VLOOKUP(I336,tab!$A$68:$V$108,J336+2,FALSE))</f>
        <v/>
      </c>
      <c r="P336" s="514" t="str">
        <f t="shared" si="98"/>
        <v/>
      </c>
      <c r="Q336" s="1173">
        <f t="shared" si="95"/>
        <v>0.62</v>
      </c>
      <c r="R336" s="514" t="str">
        <f t="shared" si="99"/>
        <v/>
      </c>
      <c r="S336" s="514">
        <f>IF(L336="",0,(((O336*12)*L336)*(1+tab!$D$55)*tab!$F$57))</f>
        <v>0</v>
      </c>
      <c r="T336" s="1131">
        <f t="shared" si="100"/>
        <v>0</v>
      </c>
      <c r="U336" s="219">
        <f t="shared" si="101"/>
        <v>0</v>
      </c>
      <c r="V336" s="1145">
        <f t="shared" si="102"/>
        <v>0</v>
      </c>
      <c r="W336" s="124"/>
      <c r="AA336" s="642" t="e">
        <f>DATE(YEAR(tab!$I$3),MONTH(H336),DAY(H336))&gt;tab!$I$3</f>
        <v>#VALUE!</v>
      </c>
      <c r="AB336" s="642" t="e">
        <f t="shared" si="103"/>
        <v>#VALUE!</v>
      </c>
      <c r="AC336" s="244">
        <f t="shared" si="104"/>
        <v>30</v>
      </c>
      <c r="AD336" s="244">
        <f t="shared" si="105"/>
        <v>30</v>
      </c>
      <c r="AE336" s="643">
        <f t="shared" si="106"/>
        <v>0</v>
      </c>
      <c r="AK336" s="552"/>
    </row>
    <row r="337" spans="3:37" ht="12.75" customHeight="1" x14ac:dyDescent="0.2">
      <c r="C337" s="108"/>
      <c r="D337" s="115" t="str">
        <f>IF(op!D270=0,"",op!D270)</f>
        <v/>
      </c>
      <c r="E337" s="115" t="str">
        <f>IF(op!E270=0,"-",op!E270)</f>
        <v/>
      </c>
      <c r="F337" s="115" t="str">
        <f>IF(op!F270=0,"-",op!F270)</f>
        <v/>
      </c>
      <c r="G337" s="132" t="str">
        <f>IF(op!G270="","",op!G270+1)</f>
        <v/>
      </c>
      <c r="H337" s="508" t="str">
        <f>IF(op!H270="","",op!H270)</f>
        <v/>
      </c>
      <c r="I337" s="132" t="str">
        <f>IF(op!I270=0,"",op!I270)</f>
        <v/>
      </c>
      <c r="J337" s="150" t="str">
        <f>IF(E337="","",(IF(op!J270+1&gt;LOOKUP(I337,schaal2011,regels2011),op!J270,op!J270+1)))</f>
        <v/>
      </c>
      <c r="K337" s="509" t="str">
        <f>IF(op!K270="","",op!K270)</f>
        <v/>
      </c>
      <c r="L337" s="510" t="str">
        <f>IF(op!L270="","",op!L270)</f>
        <v/>
      </c>
      <c r="M337" s="511" t="str">
        <f t="shared" si="97"/>
        <v/>
      </c>
      <c r="N337" s="109"/>
      <c r="O337" s="513" t="str">
        <f>IF(I337="","",VLOOKUP(I337,tab!$A$68:$V$108,J337+2,FALSE))</f>
        <v/>
      </c>
      <c r="P337" s="514" t="str">
        <f t="shared" si="98"/>
        <v/>
      </c>
      <c r="Q337" s="1173">
        <f t="shared" si="95"/>
        <v>0.62</v>
      </c>
      <c r="R337" s="514" t="str">
        <f t="shared" si="99"/>
        <v/>
      </c>
      <c r="S337" s="514">
        <f>IF(L337="",0,(((O337*12)*L337)*(1+tab!$D$55)*tab!$F$57))</f>
        <v>0</v>
      </c>
      <c r="T337" s="1131">
        <f t="shared" si="100"/>
        <v>0</v>
      </c>
      <c r="U337" s="219">
        <f t="shared" si="101"/>
        <v>0</v>
      </c>
      <c r="V337" s="1145">
        <f t="shared" si="102"/>
        <v>0</v>
      </c>
      <c r="W337" s="124"/>
      <c r="AA337" s="642" t="e">
        <f>DATE(YEAR(tab!$I$3),MONTH(H337),DAY(H337))&gt;tab!$I$3</f>
        <v>#VALUE!</v>
      </c>
      <c r="AB337" s="642" t="e">
        <f t="shared" si="103"/>
        <v>#VALUE!</v>
      </c>
      <c r="AC337" s="244">
        <f t="shared" si="104"/>
        <v>30</v>
      </c>
      <c r="AD337" s="244">
        <f t="shared" si="105"/>
        <v>30</v>
      </c>
      <c r="AE337" s="643">
        <f t="shared" si="106"/>
        <v>0</v>
      </c>
      <c r="AK337" s="552"/>
    </row>
    <row r="338" spans="3:37" ht="12.75" customHeight="1" x14ac:dyDescent="0.2">
      <c r="C338" s="108"/>
      <c r="D338" s="115" t="str">
        <f>IF(op!D271=0,"",op!D271)</f>
        <v/>
      </c>
      <c r="E338" s="115" t="str">
        <f>IF(op!E271=0,"-",op!E271)</f>
        <v/>
      </c>
      <c r="F338" s="115" t="str">
        <f>IF(op!F271=0,"-",op!F271)</f>
        <v/>
      </c>
      <c r="G338" s="132" t="str">
        <f>IF(op!G271="","",op!G271+1)</f>
        <v/>
      </c>
      <c r="H338" s="508" t="str">
        <f>IF(op!H271="","",op!H271)</f>
        <v/>
      </c>
      <c r="I338" s="132" t="str">
        <f>IF(op!I271=0,"",op!I271)</f>
        <v/>
      </c>
      <c r="J338" s="150" t="str">
        <f>IF(E338="","",(IF(op!J271+1&gt;LOOKUP(I338,schaal2011,regels2011),op!J271,op!J271+1)))</f>
        <v/>
      </c>
      <c r="K338" s="509" t="str">
        <f>IF(op!K271="","",op!K271)</f>
        <v/>
      </c>
      <c r="L338" s="510" t="str">
        <f>IF(op!L271="","",op!L271)</f>
        <v/>
      </c>
      <c r="M338" s="511" t="str">
        <f t="shared" si="97"/>
        <v/>
      </c>
      <c r="N338" s="109"/>
      <c r="O338" s="513" t="str">
        <f>IF(I338="","",VLOOKUP(I338,tab!$A$68:$V$108,J338+2,FALSE))</f>
        <v/>
      </c>
      <c r="P338" s="514" t="str">
        <f t="shared" si="98"/>
        <v/>
      </c>
      <c r="Q338" s="1173">
        <f t="shared" si="95"/>
        <v>0.62</v>
      </c>
      <c r="R338" s="514" t="str">
        <f t="shared" si="99"/>
        <v/>
      </c>
      <c r="S338" s="514">
        <f>IF(L338="",0,(((O338*12)*L338)*(1+tab!$D$55)*tab!$F$57))</f>
        <v>0</v>
      </c>
      <c r="T338" s="1131">
        <f t="shared" si="100"/>
        <v>0</v>
      </c>
      <c r="U338" s="219">
        <f t="shared" si="101"/>
        <v>0</v>
      </c>
      <c r="V338" s="1145">
        <f t="shared" si="102"/>
        <v>0</v>
      </c>
      <c r="W338" s="124"/>
      <c r="AA338" s="642" t="e">
        <f>DATE(YEAR(tab!$I$3),MONTH(H338),DAY(H338))&gt;tab!$I$3</f>
        <v>#VALUE!</v>
      </c>
      <c r="AB338" s="642" t="e">
        <f t="shared" si="103"/>
        <v>#VALUE!</v>
      </c>
      <c r="AC338" s="244">
        <f t="shared" si="104"/>
        <v>30</v>
      </c>
      <c r="AD338" s="244">
        <f t="shared" si="105"/>
        <v>30</v>
      </c>
      <c r="AE338" s="643">
        <f t="shared" si="106"/>
        <v>0</v>
      </c>
      <c r="AK338" s="552"/>
    </row>
    <row r="339" spans="3:37" ht="12.75" customHeight="1" x14ac:dyDescent="0.2">
      <c r="C339" s="108"/>
      <c r="D339" s="115" t="str">
        <f>IF(op!D272=0,"",op!D272)</f>
        <v/>
      </c>
      <c r="E339" s="115" t="str">
        <f>IF(op!E272=0,"-",op!E272)</f>
        <v/>
      </c>
      <c r="F339" s="115" t="str">
        <f>IF(op!F272=0,"-",op!F272)</f>
        <v/>
      </c>
      <c r="G339" s="132" t="str">
        <f>IF(op!G272="","",op!G272+1)</f>
        <v/>
      </c>
      <c r="H339" s="508" t="str">
        <f>IF(op!H272="","",op!H272)</f>
        <v/>
      </c>
      <c r="I339" s="132" t="str">
        <f>IF(op!I272=0,"",op!I272)</f>
        <v/>
      </c>
      <c r="J339" s="150" t="str">
        <f>IF(E339="","",(IF(op!J272+1&gt;LOOKUP(I339,schaal2011,regels2011),op!J272,op!J272+1)))</f>
        <v/>
      </c>
      <c r="K339" s="509" t="str">
        <f>IF(op!K272="","",op!K272)</f>
        <v/>
      </c>
      <c r="L339" s="510" t="str">
        <f>IF(op!L272="","",op!L272)</f>
        <v/>
      </c>
      <c r="M339" s="511" t="str">
        <f t="shared" si="97"/>
        <v/>
      </c>
      <c r="N339" s="109"/>
      <c r="O339" s="513" t="str">
        <f>IF(I339="","",VLOOKUP(I339,tab!$A$68:$V$108,J339+2,FALSE))</f>
        <v/>
      </c>
      <c r="P339" s="514" t="str">
        <f t="shared" si="98"/>
        <v/>
      </c>
      <c r="Q339" s="1173">
        <f t="shared" si="95"/>
        <v>0.62</v>
      </c>
      <c r="R339" s="514" t="str">
        <f t="shared" si="99"/>
        <v/>
      </c>
      <c r="S339" s="514">
        <f>IF(L339="",0,(((O339*12)*L339)*(1+tab!$D$55)*tab!$F$57))</f>
        <v>0</v>
      </c>
      <c r="T339" s="1131">
        <f t="shared" si="100"/>
        <v>0</v>
      </c>
      <c r="U339" s="219">
        <f t="shared" si="101"/>
        <v>0</v>
      </c>
      <c r="V339" s="1145">
        <f t="shared" si="102"/>
        <v>0</v>
      </c>
      <c r="W339" s="124"/>
      <c r="AA339" s="642" t="e">
        <f>DATE(YEAR(tab!$I$3),MONTH(H339),DAY(H339))&gt;tab!$I$3</f>
        <v>#VALUE!</v>
      </c>
      <c r="AB339" s="642" t="e">
        <f t="shared" si="103"/>
        <v>#VALUE!</v>
      </c>
      <c r="AC339" s="244">
        <f t="shared" si="104"/>
        <v>30</v>
      </c>
      <c r="AD339" s="244">
        <f t="shared" si="105"/>
        <v>30</v>
      </c>
      <c r="AE339" s="643">
        <f t="shared" si="106"/>
        <v>0</v>
      </c>
      <c r="AK339" s="552"/>
    </row>
    <row r="340" spans="3:37" ht="12.75" customHeight="1" x14ac:dyDescent="0.2">
      <c r="C340" s="108"/>
      <c r="D340" s="115" t="str">
        <f>IF(op!D273=0,"",op!D273)</f>
        <v/>
      </c>
      <c r="E340" s="115" t="str">
        <f>IF(op!E273=0,"-",op!E273)</f>
        <v/>
      </c>
      <c r="F340" s="115" t="str">
        <f>IF(op!F273=0,"-",op!F273)</f>
        <v/>
      </c>
      <c r="G340" s="132" t="str">
        <f>IF(op!G273="","",op!G273+1)</f>
        <v/>
      </c>
      <c r="H340" s="508" t="str">
        <f>IF(op!H273="","",op!H273)</f>
        <v/>
      </c>
      <c r="I340" s="132" t="str">
        <f>IF(op!I273=0,"",op!I273)</f>
        <v/>
      </c>
      <c r="J340" s="150" t="str">
        <f>IF(E340="","",(IF(op!J273+1&gt;LOOKUP(I340,schaal2011,regels2011),op!J273,op!J273+1)))</f>
        <v/>
      </c>
      <c r="K340" s="509" t="str">
        <f>IF(op!K273="","",op!K273)</f>
        <v/>
      </c>
      <c r="L340" s="510" t="str">
        <f>IF(op!L273="","",op!L273)</f>
        <v/>
      </c>
      <c r="M340" s="511" t="str">
        <f t="shared" si="97"/>
        <v/>
      </c>
      <c r="N340" s="109"/>
      <c r="O340" s="513" t="str">
        <f>IF(I340="","",VLOOKUP(I340,tab!$A$68:$V$108,J340+2,FALSE))</f>
        <v/>
      </c>
      <c r="P340" s="514" t="str">
        <f t="shared" si="98"/>
        <v/>
      </c>
      <c r="Q340" s="1173">
        <f t="shared" si="95"/>
        <v>0.62</v>
      </c>
      <c r="R340" s="514" t="str">
        <f t="shared" si="99"/>
        <v/>
      </c>
      <c r="S340" s="514">
        <f>IF(L340="",0,(((O340*12)*L340)*(1+tab!$D$55)*tab!$F$57))</f>
        <v>0</v>
      </c>
      <c r="T340" s="1131">
        <f t="shared" si="100"/>
        <v>0</v>
      </c>
      <c r="U340" s="219">
        <f t="shared" si="101"/>
        <v>0</v>
      </c>
      <c r="V340" s="1145">
        <f t="shared" si="102"/>
        <v>0</v>
      </c>
      <c r="W340" s="124"/>
      <c r="AA340" s="642" t="e">
        <f>DATE(YEAR(tab!$I$3),MONTH(H340),DAY(H340))&gt;tab!$I$3</f>
        <v>#VALUE!</v>
      </c>
      <c r="AB340" s="642" t="e">
        <f t="shared" si="103"/>
        <v>#VALUE!</v>
      </c>
      <c r="AC340" s="244">
        <f t="shared" si="104"/>
        <v>30</v>
      </c>
      <c r="AD340" s="244">
        <f t="shared" si="105"/>
        <v>30</v>
      </c>
      <c r="AE340" s="643">
        <f t="shared" si="106"/>
        <v>0</v>
      </c>
      <c r="AK340" s="552"/>
    </row>
    <row r="341" spans="3:37" x14ac:dyDescent="0.2">
      <c r="C341" s="116"/>
      <c r="D341" s="296"/>
      <c r="E341" s="645"/>
      <c r="F341" s="296"/>
      <c r="G341" s="645"/>
      <c r="H341" s="646"/>
      <c r="I341" s="645"/>
      <c r="J341" s="647"/>
      <c r="K341" s="648">
        <f>SUM(K286:K340)</f>
        <v>1</v>
      </c>
      <c r="L341" s="648">
        <f>SUM(L286:L340)</f>
        <v>0.125</v>
      </c>
      <c r="M341" s="648">
        <f>SUM(M286:M340)</f>
        <v>0.875</v>
      </c>
      <c r="N341" s="296"/>
      <c r="O341" s="649">
        <f t="shared" ref="O341:V341" si="107">SUM(O286:O340)</f>
        <v>3274</v>
      </c>
      <c r="P341" s="649">
        <f t="shared" si="107"/>
        <v>34377</v>
      </c>
      <c r="Q341" s="650"/>
      <c r="R341" s="649">
        <f t="shared" si="107"/>
        <v>21313.74</v>
      </c>
      <c r="S341" s="649">
        <f t="shared" si="107"/>
        <v>6236.97</v>
      </c>
      <c r="T341" s="649">
        <f t="shared" si="107"/>
        <v>61927.710000000006</v>
      </c>
      <c r="U341" s="651">
        <f t="shared" si="107"/>
        <v>0</v>
      </c>
      <c r="V341" s="1154">
        <f t="shared" si="107"/>
        <v>0</v>
      </c>
      <c r="W341" s="124"/>
      <c r="AA341" s="652"/>
      <c r="AB341" s="652"/>
      <c r="AK341" s="552"/>
    </row>
    <row r="342" spans="3:37" x14ac:dyDescent="0.2">
      <c r="I342" s="202"/>
      <c r="M342" s="366"/>
      <c r="N342" s="363"/>
      <c r="O342" s="365"/>
      <c r="P342" s="573"/>
      <c r="Q342" s="653"/>
      <c r="R342" s="654"/>
      <c r="S342" s="573"/>
      <c r="U342" s="655"/>
      <c r="V342" s="1152"/>
      <c r="AK342" s="552"/>
    </row>
  </sheetData>
  <sheetProtection password="DFB1" sheet="1" objects="1" scenarios="1"/>
  <mergeCells count="5">
    <mergeCell ref="O12:T12"/>
    <mergeCell ref="O148:T148"/>
    <mergeCell ref="O215:T215"/>
    <mergeCell ref="O282:T282"/>
    <mergeCell ref="O80:T80"/>
  </mergeCells>
  <phoneticPr fontId="0" type="noConversion"/>
  <dataValidations count="2">
    <dataValidation type="list" allowBlank="1" showInputMessage="1" showErrorMessage="1" sqref="I286:I340 I16:I70 I219:I273 I84:I138 I152:I206 I73:I78">
      <formula1>"LA,LB,LC,LD,LE"</formula1>
    </dataValidation>
    <dataValidation type="whole" allowBlank="1" showInputMessage="1" showErrorMessage="1" sqref="J16:J70">
      <formula1>1</formula1>
      <formula2>16</formula2>
    </dataValidation>
  </dataValidations>
  <pageMargins left="0.74803149606299213" right="0.74803149606299213" top="0.98425196850393704" bottom="0.98425196850393704" header="0.51181102362204722" footer="0.51181102362204722"/>
  <pageSetup paperSize="9" scale="48" orientation="landscape" r:id="rId1"/>
  <headerFooter alignWithMargins="0">
    <oddHeader>&amp;L&amp;"Arial,Vet"&amp;F&amp;R&amp;"Arial,Vet"&amp;A</oddHeader>
    <oddFooter>&amp;L&amp;"Arial,Vet"PO-Raad&amp;C&amp;"Arial,Vet"&amp;D&amp;R&amp;"Arial,Vet"pagina &amp;P</oddFooter>
  </headerFooter>
  <rowBreaks count="1" manualBreakCount="1">
    <brk id="73" min="1" max="3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8">
    <pageSetUpPr fitToPage="1"/>
  </sheetPr>
  <dimension ref="B1:AO166"/>
  <sheetViews>
    <sheetView showGridLines="0" zoomScale="85" zoomScaleNormal="85" workbookViewId="0">
      <pane ySplit="15" topLeftCell="A16" activePane="bottomLeft" state="frozen"/>
      <selection activeCell="B2" sqref="B2"/>
      <selection pane="bottomLeft" activeCell="B2" sqref="B2"/>
    </sheetView>
  </sheetViews>
  <sheetFormatPr defaultColWidth="9.140625" defaultRowHeight="12.75" x14ac:dyDescent="0.2"/>
  <cols>
    <col min="1" max="1" width="3.7109375" style="86" customWidth="1"/>
    <col min="2" max="3" width="2.7109375" style="86" customWidth="1"/>
    <col min="4" max="4" width="10.7109375" style="363" customWidth="1"/>
    <col min="5" max="6" width="20.7109375" style="363" customWidth="1"/>
    <col min="7" max="7" width="8.7109375" style="202" customWidth="1"/>
    <col min="8" max="8" width="8.7109375" style="364" customWidth="1"/>
    <col min="9" max="10" width="8.7109375" style="365" customWidth="1"/>
    <col min="11" max="11" width="8.7109375" style="366" customWidth="1"/>
    <col min="12" max="12" width="8.7109375" style="365" customWidth="1"/>
    <col min="13" max="13" width="8.7109375" style="367" customWidth="1"/>
    <col min="14" max="14" width="0.85546875" style="86" customWidth="1"/>
    <col min="15" max="15" width="9.7109375" style="368" customWidth="1"/>
    <col min="16" max="16" width="9.7109375" style="86" customWidth="1"/>
    <col min="17" max="17" width="9.7109375" style="202" customWidth="1"/>
    <col min="18" max="18" width="9.7109375" style="683" customWidth="1"/>
    <col min="19" max="19" width="9.7109375" style="86" customWidth="1"/>
    <col min="20" max="20" width="9.7109375" style="573" customWidth="1"/>
    <col min="21" max="21" width="8.7109375" style="586" hidden="1" customWidth="1"/>
    <col min="22" max="22" width="8.7109375" style="1140" customWidth="1"/>
    <col min="23" max="23" width="3" style="86" customWidth="1"/>
    <col min="24" max="24" width="2.7109375" style="86" customWidth="1"/>
    <col min="25" max="25" width="20.7109375" style="86" customWidth="1"/>
    <col min="26" max="28" width="8.7109375" style="86" customWidth="1"/>
    <col min="29" max="29" width="8.7109375" style="202" customWidth="1"/>
    <col min="30" max="30" width="1.5703125" style="372" customWidth="1"/>
    <col min="31" max="31" width="1.7109375" style="86" customWidth="1"/>
    <col min="32" max="35" width="8.7109375" style="86" customWidth="1"/>
    <col min="36" max="36" width="1.5703125" style="86" customWidth="1"/>
    <col min="37" max="37" width="12.7109375" style="86" customWidth="1"/>
    <col min="38" max="38" width="12.7109375" style="202" customWidth="1"/>
    <col min="39" max="39" width="12.7109375" style="372" customWidth="1"/>
    <col min="40" max="40" width="12.7109375" style="86" customWidth="1"/>
    <col min="41" max="41" width="1.5703125" style="86" customWidth="1"/>
    <col min="42" max="43" width="10.7109375" style="86" customWidth="1"/>
    <col min="44" max="45" width="2.7109375" style="86" customWidth="1"/>
    <col min="46" max="51" width="9.28515625" style="86" bestFit="1" customWidth="1"/>
    <col min="52" max="16384" width="9.140625" style="86"/>
  </cols>
  <sheetData>
    <row r="1" spans="2:41" ht="12.75" customHeight="1" x14ac:dyDescent="0.2"/>
    <row r="2" spans="2:41" x14ac:dyDescent="0.2">
      <c r="B2" s="81"/>
      <c r="C2" s="82"/>
      <c r="D2" s="374"/>
      <c r="E2" s="374"/>
      <c r="F2" s="374"/>
      <c r="G2" s="203"/>
      <c r="H2" s="375"/>
      <c r="I2" s="376"/>
      <c r="J2" s="376"/>
      <c r="K2" s="377"/>
      <c r="L2" s="376"/>
      <c r="M2" s="378"/>
      <c r="N2" s="82"/>
      <c r="O2" s="379"/>
      <c r="P2" s="82"/>
      <c r="Q2" s="203"/>
      <c r="R2" s="684"/>
      <c r="S2" s="82"/>
      <c r="T2" s="1125"/>
      <c r="U2" s="589"/>
      <c r="V2" s="1141"/>
      <c r="W2" s="82"/>
      <c r="X2" s="85"/>
    </row>
    <row r="3" spans="2:41" x14ac:dyDescent="0.2">
      <c r="B3" s="87"/>
      <c r="C3" s="88"/>
      <c r="D3" s="303"/>
      <c r="E3" s="303"/>
      <c r="F3" s="303"/>
      <c r="G3" s="204"/>
      <c r="H3" s="384"/>
      <c r="I3" s="385"/>
      <c r="J3" s="385"/>
      <c r="K3" s="386"/>
      <c r="L3" s="385"/>
      <c r="M3" s="387"/>
      <c r="N3" s="88"/>
      <c r="O3" s="388"/>
      <c r="P3" s="88"/>
      <c r="Q3" s="204"/>
      <c r="R3" s="685"/>
      <c r="S3" s="88"/>
      <c r="T3" s="538"/>
      <c r="U3" s="591"/>
      <c r="V3" s="1142"/>
      <c r="W3" s="88"/>
      <c r="X3" s="91"/>
    </row>
    <row r="4" spans="2:41" s="392" customFormat="1" ht="18.75" x14ac:dyDescent="0.3">
      <c r="B4" s="393"/>
      <c r="C4" s="179" t="s">
        <v>732</v>
      </c>
      <c r="D4" s="401"/>
      <c r="E4" s="401"/>
      <c r="F4" s="401"/>
      <c r="G4" s="396"/>
      <c r="H4" s="397"/>
      <c r="I4" s="398"/>
      <c r="J4" s="398"/>
      <c r="K4" s="399"/>
      <c r="L4" s="398"/>
      <c r="M4" s="400"/>
      <c r="N4" s="401"/>
      <c r="O4" s="402"/>
      <c r="P4" s="401"/>
      <c r="Q4" s="396"/>
      <c r="R4" s="686"/>
      <c r="S4" s="401"/>
      <c r="T4" s="1126"/>
      <c r="U4" s="687"/>
      <c r="V4" s="404"/>
      <c r="W4" s="401"/>
      <c r="X4" s="405"/>
      <c r="AC4" s="406"/>
      <c r="AD4" s="407"/>
      <c r="AE4" s="406"/>
      <c r="AF4" s="406"/>
      <c r="AG4" s="406"/>
      <c r="AH4" s="406"/>
      <c r="AI4" s="408"/>
      <c r="AJ4" s="409"/>
      <c r="AK4" s="410"/>
      <c r="AL4" s="411"/>
      <c r="AM4" s="408"/>
    </row>
    <row r="5" spans="2:41" s="412" customFormat="1" ht="18.75" x14ac:dyDescent="0.3">
      <c r="B5" s="413"/>
      <c r="C5" s="414" t="str">
        <f>geg!G12</f>
        <v>Basisschool</v>
      </c>
      <c r="D5" s="422"/>
      <c r="E5" s="422"/>
      <c r="F5" s="422"/>
      <c r="G5" s="417"/>
      <c r="H5" s="418"/>
      <c r="I5" s="419"/>
      <c r="J5" s="419"/>
      <c r="K5" s="420"/>
      <c r="L5" s="419"/>
      <c r="M5" s="421"/>
      <c r="N5" s="422"/>
      <c r="O5" s="423"/>
      <c r="P5" s="422"/>
      <c r="Q5" s="417"/>
      <c r="R5" s="686"/>
      <c r="S5" s="422"/>
      <c r="T5" s="1127"/>
      <c r="U5" s="612"/>
      <c r="V5" s="425"/>
      <c r="W5" s="422"/>
      <c r="X5" s="426"/>
      <c r="AC5" s="427"/>
      <c r="AD5" s="428"/>
      <c r="AE5" s="427"/>
      <c r="AF5" s="427"/>
      <c r="AG5" s="427"/>
      <c r="AH5" s="427"/>
      <c r="AI5" s="429"/>
      <c r="AJ5" s="430"/>
      <c r="AK5" s="431"/>
      <c r="AL5" s="432"/>
      <c r="AM5" s="429"/>
    </row>
    <row r="6" spans="2:41" ht="12.75" customHeight="1" x14ac:dyDescent="0.2">
      <c r="B6" s="87"/>
      <c r="C6" s="88"/>
      <c r="D6" s="88"/>
      <c r="E6" s="88"/>
      <c r="F6" s="303"/>
      <c r="G6" s="204"/>
      <c r="H6" s="384"/>
      <c r="I6" s="385"/>
      <c r="J6" s="385"/>
      <c r="K6" s="386"/>
      <c r="L6" s="385"/>
      <c r="M6" s="387"/>
      <c r="N6" s="88"/>
      <c r="O6" s="388"/>
      <c r="P6" s="88"/>
      <c r="Q6" s="204"/>
      <c r="R6" s="685"/>
      <c r="S6" s="88"/>
      <c r="T6" s="538"/>
      <c r="U6" s="591"/>
      <c r="V6" s="1142"/>
      <c r="W6" s="88"/>
      <c r="X6" s="91"/>
      <c r="AC6" s="433"/>
      <c r="AD6" s="371"/>
      <c r="AE6" s="433"/>
      <c r="AF6" s="433"/>
      <c r="AG6" s="433"/>
      <c r="AH6" s="433"/>
      <c r="AI6" s="366"/>
      <c r="AJ6" s="365"/>
      <c r="AK6" s="367"/>
      <c r="AL6" s="434"/>
      <c r="AM6" s="366"/>
    </row>
    <row r="7" spans="2:41" ht="12.75" customHeight="1" x14ac:dyDescent="0.2">
      <c r="B7" s="87"/>
      <c r="C7" s="88"/>
      <c r="D7" s="88"/>
      <c r="E7" s="88"/>
      <c r="F7" s="303"/>
      <c r="G7" s="204"/>
      <c r="H7" s="384"/>
      <c r="I7" s="385"/>
      <c r="J7" s="385"/>
      <c r="K7" s="386"/>
      <c r="L7" s="385"/>
      <c r="M7" s="387"/>
      <c r="N7" s="88"/>
      <c r="O7" s="388"/>
      <c r="P7" s="88"/>
      <c r="Q7" s="204"/>
      <c r="R7" s="685"/>
      <c r="S7" s="88"/>
      <c r="T7" s="538"/>
      <c r="U7" s="591"/>
      <c r="V7" s="1142"/>
      <c r="W7" s="88"/>
      <c r="X7" s="91"/>
      <c r="AC7" s="433"/>
      <c r="AD7" s="371"/>
      <c r="AE7" s="433"/>
      <c r="AF7" s="433"/>
      <c r="AG7" s="433"/>
      <c r="AH7" s="433"/>
      <c r="AI7" s="366"/>
      <c r="AJ7" s="365"/>
      <c r="AK7" s="367"/>
      <c r="AL7" s="434"/>
      <c r="AM7" s="366"/>
    </row>
    <row r="8" spans="2:41" s="435" customFormat="1" ht="12.75" customHeight="1" x14ac:dyDescent="0.25">
      <c r="B8" s="436"/>
      <c r="C8" s="88" t="s">
        <v>290</v>
      </c>
      <c r="D8" s="303"/>
      <c r="E8" s="455" t="str">
        <f>op!E8</f>
        <v>2013/14</v>
      </c>
      <c r="F8" s="440"/>
      <c r="G8" s="441"/>
      <c r="H8" s="442"/>
      <c r="I8" s="443"/>
      <c r="J8" s="443"/>
      <c r="K8" s="444"/>
      <c r="L8" s="443"/>
      <c r="M8" s="445"/>
      <c r="N8" s="437"/>
      <c r="O8" s="446"/>
      <c r="P8" s="437"/>
      <c r="Q8" s="613"/>
      <c r="R8" s="688"/>
      <c r="S8" s="437"/>
      <c r="T8" s="1128"/>
      <c r="U8" s="615"/>
      <c r="V8" s="1143"/>
      <c r="W8" s="437"/>
      <c r="X8" s="448"/>
      <c r="AC8" s="449"/>
      <c r="AD8" s="450"/>
      <c r="AE8" s="449"/>
      <c r="AF8" s="449"/>
      <c r="AG8" s="449"/>
      <c r="AH8" s="449"/>
      <c r="AI8" s="451"/>
      <c r="AJ8" s="452"/>
      <c r="AK8" s="453"/>
      <c r="AL8" s="454"/>
      <c r="AM8" s="451"/>
    </row>
    <row r="9" spans="2:41" ht="12.75" customHeight="1" x14ac:dyDescent="0.2">
      <c r="B9" s="87"/>
      <c r="C9" s="88" t="s">
        <v>314</v>
      </c>
      <c r="D9" s="303"/>
      <c r="E9" s="455">
        <f>op!E9</f>
        <v>41548</v>
      </c>
      <c r="F9" s="456"/>
      <c r="G9" s="90"/>
      <c r="H9" s="457"/>
      <c r="I9" s="385"/>
      <c r="J9" s="385"/>
      <c r="K9" s="386"/>
      <c r="L9" s="385"/>
      <c r="M9" s="387"/>
      <c r="N9" s="88"/>
      <c r="O9" s="388"/>
      <c r="P9" s="88"/>
      <c r="Q9" s="204"/>
      <c r="R9" s="685"/>
      <c r="S9" s="88"/>
      <c r="T9" s="538"/>
      <c r="U9" s="591"/>
      <c r="V9" s="1142"/>
      <c r="W9" s="88"/>
      <c r="X9" s="91"/>
      <c r="AC9" s="433"/>
      <c r="AD9" s="371"/>
      <c r="AE9" s="433"/>
      <c r="AF9" s="433"/>
      <c r="AG9" s="433"/>
      <c r="AH9" s="433"/>
      <c r="AI9" s="366"/>
      <c r="AJ9" s="365"/>
      <c r="AK9" s="367"/>
      <c r="AL9" s="434"/>
      <c r="AM9" s="366"/>
    </row>
    <row r="10" spans="2:41" ht="12.75" customHeight="1" x14ac:dyDescent="0.25">
      <c r="B10" s="87"/>
      <c r="C10" s="88"/>
      <c r="D10" s="619"/>
      <c r="E10" s="620"/>
      <c r="F10" s="456"/>
      <c r="G10" s="90"/>
      <c r="H10" s="457"/>
      <c r="I10" s="385"/>
      <c r="J10" s="385"/>
      <c r="K10" s="386"/>
      <c r="L10" s="385"/>
      <c r="M10" s="387"/>
      <c r="N10" s="88"/>
      <c r="O10" s="388"/>
      <c r="P10" s="88"/>
      <c r="Q10" s="204"/>
      <c r="R10" s="685"/>
      <c r="S10" s="88"/>
      <c r="T10" s="538"/>
      <c r="U10" s="591"/>
      <c r="V10" s="1142"/>
      <c r="W10" s="88"/>
      <c r="X10" s="91"/>
      <c r="AC10" s="433"/>
      <c r="AD10" s="371"/>
      <c r="AE10" s="433"/>
      <c r="AF10" s="433"/>
      <c r="AG10" s="433"/>
      <c r="AH10" s="433"/>
      <c r="AI10" s="366"/>
      <c r="AJ10" s="365"/>
      <c r="AK10" s="367"/>
      <c r="AL10" s="434"/>
      <c r="AM10" s="366"/>
    </row>
    <row r="11" spans="2:41" ht="12.75" customHeight="1" x14ac:dyDescent="0.2">
      <c r="B11" s="87"/>
      <c r="C11" s="104"/>
      <c r="D11" s="155"/>
      <c r="E11" s="460"/>
      <c r="F11" s="155"/>
      <c r="G11" s="210"/>
      <c r="H11" s="461"/>
      <c r="I11" s="462"/>
      <c r="J11" s="462"/>
      <c r="K11" s="463"/>
      <c r="L11" s="462"/>
      <c r="M11" s="464"/>
      <c r="N11" s="105"/>
      <c r="O11" s="465"/>
      <c r="P11" s="105"/>
      <c r="Q11" s="210"/>
      <c r="R11" s="689"/>
      <c r="S11" s="105"/>
      <c r="T11" s="1129"/>
      <c r="U11" s="690"/>
      <c r="V11" s="1144"/>
      <c r="W11" s="186"/>
      <c r="X11" s="91"/>
      <c r="AC11" s="433"/>
      <c r="AD11" s="371"/>
      <c r="AE11" s="433"/>
      <c r="AF11" s="433"/>
      <c r="AG11" s="433"/>
      <c r="AH11" s="433"/>
      <c r="AI11" s="366"/>
      <c r="AJ11" s="365"/>
      <c r="AK11" s="367"/>
      <c r="AL11" s="434"/>
      <c r="AM11" s="366"/>
    </row>
    <row r="12" spans="2:41" s="124" customFormat="1" ht="12.75" customHeight="1" x14ac:dyDescent="0.2">
      <c r="B12" s="120"/>
      <c r="C12" s="214"/>
      <c r="D12" s="1277" t="s">
        <v>458</v>
      </c>
      <c r="E12" s="1278"/>
      <c r="F12" s="1278"/>
      <c r="G12" s="1278"/>
      <c r="H12" s="1278"/>
      <c r="I12" s="1279"/>
      <c r="J12" s="1279"/>
      <c r="K12" s="1279"/>
      <c r="L12" s="1279"/>
      <c r="M12" s="1279"/>
      <c r="N12" s="472"/>
      <c r="O12" s="1277" t="s">
        <v>298</v>
      </c>
      <c r="P12" s="1279"/>
      <c r="Q12" s="1279"/>
      <c r="R12" s="1279"/>
      <c r="S12" s="1279"/>
      <c r="T12" s="1279"/>
      <c r="U12" s="473"/>
      <c r="V12" s="216"/>
      <c r="W12" s="474"/>
      <c r="X12" s="475"/>
      <c r="Y12" s="476"/>
      <c r="Z12" s="477"/>
      <c r="AA12" s="478"/>
      <c r="AB12" s="477"/>
      <c r="AN12" s="476"/>
      <c r="AO12" s="476"/>
    </row>
    <row r="13" spans="2:41" s="124" customFormat="1" ht="12.75" customHeight="1" x14ac:dyDescent="0.2">
      <c r="B13" s="120"/>
      <c r="C13" s="214"/>
      <c r="D13" s="165" t="s">
        <v>152</v>
      </c>
      <c r="E13" s="165" t="s">
        <v>296</v>
      </c>
      <c r="F13" s="165" t="s">
        <v>275</v>
      </c>
      <c r="G13" s="480" t="s">
        <v>235</v>
      </c>
      <c r="H13" s="481" t="s">
        <v>439</v>
      </c>
      <c r="I13" s="480" t="s">
        <v>333</v>
      </c>
      <c r="J13" s="480" t="s">
        <v>368</v>
      </c>
      <c r="K13" s="482" t="s">
        <v>238</v>
      </c>
      <c r="L13" s="483" t="s">
        <v>334</v>
      </c>
      <c r="M13" s="482" t="s">
        <v>238</v>
      </c>
      <c r="N13" s="259"/>
      <c r="O13" s="584" t="s">
        <v>502</v>
      </c>
      <c r="P13" s="484" t="s">
        <v>638</v>
      </c>
      <c r="Q13" s="584" t="s">
        <v>0</v>
      </c>
      <c r="R13" s="485"/>
      <c r="S13" s="487" t="s">
        <v>334</v>
      </c>
      <c r="T13" s="1130" t="s">
        <v>313</v>
      </c>
      <c r="U13" s="486" t="s">
        <v>467</v>
      </c>
      <c r="V13" s="216" t="s">
        <v>668</v>
      </c>
      <c r="W13" s="488"/>
      <c r="X13" s="489"/>
      <c r="Y13" s="490"/>
      <c r="Z13" s="491"/>
      <c r="AA13" s="492"/>
      <c r="AB13" s="491"/>
      <c r="AN13" s="476"/>
      <c r="AO13" s="490"/>
    </row>
    <row r="14" spans="2:41" s="124" customFormat="1" ht="12.75" customHeight="1" x14ac:dyDescent="0.2">
      <c r="B14" s="120"/>
      <c r="C14" s="214"/>
      <c r="D14" s="633"/>
      <c r="E14" s="165"/>
      <c r="F14" s="494"/>
      <c r="G14" s="480" t="s">
        <v>236</v>
      </c>
      <c r="H14" s="481" t="s">
        <v>440</v>
      </c>
      <c r="I14" s="480"/>
      <c r="J14" s="480"/>
      <c r="K14" s="482" t="s">
        <v>753</v>
      </c>
      <c r="L14" s="483"/>
      <c r="M14" s="482" t="s">
        <v>337</v>
      </c>
      <c r="N14" s="259"/>
      <c r="O14" s="584" t="s">
        <v>321</v>
      </c>
      <c r="P14" s="484" t="s">
        <v>636</v>
      </c>
      <c r="Q14" s="1176">
        <f>tab!$D$55</f>
        <v>0.62</v>
      </c>
      <c r="R14" s="485" t="s">
        <v>1</v>
      </c>
      <c r="S14" s="487" t="s">
        <v>367</v>
      </c>
      <c r="T14" s="1130" t="s">
        <v>434</v>
      </c>
      <c r="U14" s="486"/>
      <c r="V14" s="487" t="s">
        <v>367</v>
      </c>
      <c r="W14" s="331"/>
      <c r="X14" s="96"/>
      <c r="AO14" s="638"/>
    </row>
    <row r="15" spans="2:41" ht="12.75" customHeight="1" x14ac:dyDescent="0.2">
      <c r="B15" s="87"/>
      <c r="C15" s="108"/>
      <c r="D15" s="109"/>
      <c r="E15" s="109"/>
      <c r="F15" s="109"/>
      <c r="G15" s="113"/>
      <c r="H15" s="499"/>
      <c r="I15" s="500"/>
      <c r="J15" s="500"/>
      <c r="K15" s="501"/>
      <c r="L15" s="498"/>
      <c r="M15" s="501"/>
      <c r="N15" s="505"/>
      <c r="O15" s="502"/>
      <c r="P15" s="503"/>
      <c r="Q15" s="503"/>
      <c r="R15" s="691"/>
      <c r="S15" s="503"/>
      <c r="T15" s="694"/>
      <c r="U15" s="138"/>
      <c r="V15" s="504"/>
      <c r="W15" s="640"/>
      <c r="X15" s="91"/>
      <c r="AC15" s="86"/>
      <c r="AD15" s="86"/>
      <c r="AL15" s="86"/>
      <c r="AM15" s="86"/>
      <c r="AO15" s="506"/>
    </row>
    <row r="16" spans="2:41" ht="12.75" customHeight="1" x14ac:dyDescent="0.2">
      <c r="B16" s="87"/>
      <c r="C16" s="108"/>
      <c r="D16" s="115"/>
      <c r="E16" s="115" t="s">
        <v>742</v>
      </c>
      <c r="F16" s="115"/>
      <c r="G16" s="132"/>
      <c r="H16" s="508"/>
      <c r="I16" s="132">
        <v>15</v>
      </c>
      <c r="J16" s="150">
        <v>12</v>
      </c>
      <c r="K16" s="509">
        <v>1</v>
      </c>
      <c r="L16" s="510"/>
      <c r="M16" s="511">
        <f t="shared" ref="M16:M35" si="0">(IF(L16=0,(K16),(K16)-L16))</f>
        <v>1</v>
      </c>
      <c r="N16" s="533"/>
      <c r="O16" s="513">
        <f>IF(I16="","",VLOOKUP(I16,tab!$A$68:$V$110,J16+2,FALSE))</f>
        <v>6314</v>
      </c>
      <c r="P16" s="514">
        <f t="shared" ref="P16:P35" si="1">IF(E16=0,"",(O16*M16*12))</f>
        <v>75768</v>
      </c>
      <c r="Q16" s="1173">
        <f>$Q$14</f>
        <v>0.62</v>
      </c>
      <c r="R16" s="641">
        <f>IF(E16=0,"",(P16)*Q16)</f>
        <v>46976.159999999996</v>
      </c>
      <c r="S16" s="514">
        <f>IF(L16="",0,(O16*12*L16*(1+tab!$D$55)*IF(I16&gt;8,tab!$F$57,tab!$F$59)))</f>
        <v>0</v>
      </c>
      <c r="T16" s="1131">
        <f t="shared" ref="T16:T35" si="2">IF(E16=0,0,(P16+R16+S16))</f>
        <v>122744.16</v>
      </c>
      <c r="U16" s="219">
        <f t="shared" ref="U16:U35" si="3">IF(G16&lt;25,0,IF(G16=25,25,IF(G16&lt;40,0,IF(G16=40,40,IF(G16&gt;=40,0)))))</f>
        <v>0</v>
      </c>
      <c r="V16" s="1145">
        <f t="shared" ref="V16:V35" si="4">IF(U16=25,(O16*1.08*(K16)/2),IF(U16=40,(O16*1.08*(K16)),IF(U16=0,0)))</f>
        <v>0</v>
      </c>
      <c r="W16" s="692"/>
      <c r="X16" s="91"/>
    </row>
    <row r="17" spans="2:24" ht="12.75" customHeight="1" x14ac:dyDescent="0.2">
      <c r="B17" s="87"/>
      <c r="C17" s="108"/>
      <c r="D17" s="115"/>
      <c r="E17" s="115"/>
      <c r="F17" s="115"/>
      <c r="G17" s="132"/>
      <c r="H17" s="508"/>
      <c r="I17" s="132"/>
      <c r="J17" s="150"/>
      <c r="K17" s="509"/>
      <c r="L17" s="510"/>
      <c r="M17" s="511">
        <f t="shared" si="0"/>
        <v>0</v>
      </c>
      <c r="N17" s="533"/>
      <c r="O17" s="513" t="str">
        <f>IF(I17="","",VLOOKUP(I17,tab!$A$68:$V$110,J17+2,FALSE))</f>
        <v/>
      </c>
      <c r="P17" s="514" t="str">
        <f t="shared" si="1"/>
        <v/>
      </c>
      <c r="Q17" s="1173">
        <f t="shared" ref="Q17:Q35" si="5">$Q$14</f>
        <v>0.62</v>
      </c>
      <c r="R17" s="641" t="str">
        <f t="shared" ref="R17:R34" si="6">IF(E17=0,"",(P17)*Q17)</f>
        <v/>
      </c>
      <c r="S17" s="514">
        <f>IF(L17="",0,(O17*12*L17*(1+tab!$D$55)*IF(I17&gt;8,tab!$F$57,tab!$F$59)))</f>
        <v>0</v>
      </c>
      <c r="T17" s="1131">
        <f t="shared" si="2"/>
        <v>0</v>
      </c>
      <c r="U17" s="219">
        <f t="shared" si="3"/>
        <v>0</v>
      </c>
      <c r="V17" s="1145">
        <f t="shared" si="4"/>
        <v>0</v>
      </c>
      <c r="W17" s="692"/>
      <c r="X17" s="91"/>
    </row>
    <row r="18" spans="2:24" ht="12.75" customHeight="1" x14ac:dyDescent="0.2">
      <c r="B18" s="87"/>
      <c r="C18" s="108"/>
      <c r="D18" s="115"/>
      <c r="E18" s="115"/>
      <c r="F18" s="115"/>
      <c r="G18" s="132"/>
      <c r="H18" s="508"/>
      <c r="I18" s="132"/>
      <c r="J18" s="150"/>
      <c r="K18" s="509"/>
      <c r="L18" s="510"/>
      <c r="M18" s="511">
        <f t="shared" si="0"/>
        <v>0</v>
      </c>
      <c r="N18" s="533"/>
      <c r="O18" s="513" t="str">
        <f>IF(I18="","",VLOOKUP(I18,tab!$A$68:$V$110,J18+2,FALSE))</f>
        <v/>
      </c>
      <c r="P18" s="514" t="str">
        <f t="shared" si="1"/>
        <v/>
      </c>
      <c r="Q18" s="1173">
        <f t="shared" si="5"/>
        <v>0.62</v>
      </c>
      <c r="R18" s="641" t="str">
        <f t="shared" si="6"/>
        <v/>
      </c>
      <c r="S18" s="514">
        <f>IF(L18="",0,(O18*12*L18*(1+tab!$D$55)*IF(I18&gt;8,tab!$F$57,tab!$F$59)))</f>
        <v>0</v>
      </c>
      <c r="T18" s="1131">
        <f t="shared" si="2"/>
        <v>0</v>
      </c>
      <c r="U18" s="219">
        <f t="shared" si="3"/>
        <v>0</v>
      </c>
      <c r="V18" s="1145">
        <f t="shared" si="4"/>
        <v>0</v>
      </c>
      <c r="W18" s="692"/>
      <c r="X18" s="91"/>
    </row>
    <row r="19" spans="2:24" ht="12.75" customHeight="1" x14ac:dyDescent="0.2">
      <c r="B19" s="87"/>
      <c r="C19" s="108"/>
      <c r="D19" s="115"/>
      <c r="E19" s="115"/>
      <c r="F19" s="115"/>
      <c r="G19" s="132"/>
      <c r="H19" s="508"/>
      <c r="I19" s="132"/>
      <c r="J19" s="150"/>
      <c r="K19" s="509"/>
      <c r="L19" s="510"/>
      <c r="M19" s="511">
        <f t="shared" si="0"/>
        <v>0</v>
      </c>
      <c r="N19" s="533"/>
      <c r="O19" s="513" t="str">
        <f>IF(I19="","",VLOOKUP(I19,tab!$A$68:$V$110,J19+2,FALSE))</f>
        <v/>
      </c>
      <c r="P19" s="514" t="str">
        <f t="shared" si="1"/>
        <v/>
      </c>
      <c r="Q19" s="1173">
        <f t="shared" si="5"/>
        <v>0.62</v>
      </c>
      <c r="R19" s="641" t="str">
        <f t="shared" si="6"/>
        <v/>
      </c>
      <c r="S19" s="514">
        <f>IF(L19="",0,(O19*12*L19*(1+tab!$D$55)*IF(I19&gt;8,tab!$F$57,tab!$F$59)))</f>
        <v>0</v>
      </c>
      <c r="T19" s="1131">
        <f t="shared" si="2"/>
        <v>0</v>
      </c>
      <c r="U19" s="219">
        <f t="shared" si="3"/>
        <v>0</v>
      </c>
      <c r="V19" s="1145">
        <f t="shared" si="4"/>
        <v>0</v>
      </c>
      <c r="W19" s="692"/>
      <c r="X19" s="91"/>
    </row>
    <row r="20" spans="2:24" ht="12.75" customHeight="1" x14ac:dyDescent="0.2">
      <c r="B20" s="87"/>
      <c r="C20" s="108"/>
      <c r="D20" s="115"/>
      <c r="E20" s="115"/>
      <c r="F20" s="115"/>
      <c r="G20" s="132"/>
      <c r="H20" s="508"/>
      <c r="I20" s="132"/>
      <c r="J20" s="150"/>
      <c r="K20" s="509"/>
      <c r="L20" s="510"/>
      <c r="M20" s="511">
        <f t="shared" si="0"/>
        <v>0</v>
      </c>
      <c r="N20" s="533"/>
      <c r="O20" s="513" t="str">
        <f>IF(I20="","",VLOOKUP(I20,tab!$A$68:$V$110,J20+2,FALSE))</f>
        <v/>
      </c>
      <c r="P20" s="514" t="str">
        <f t="shared" si="1"/>
        <v/>
      </c>
      <c r="Q20" s="1173">
        <f t="shared" si="5"/>
        <v>0.62</v>
      </c>
      <c r="R20" s="641" t="str">
        <f t="shared" si="6"/>
        <v/>
      </c>
      <c r="S20" s="514">
        <f>IF(L20="",0,(O20*12*L20*(1+tab!$D$55)*IF(I20&gt;8,tab!$F$57,tab!$F$59)))</f>
        <v>0</v>
      </c>
      <c r="T20" s="1131">
        <f t="shared" si="2"/>
        <v>0</v>
      </c>
      <c r="U20" s="219">
        <f t="shared" si="3"/>
        <v>0</v>
      </c>
      <c r="V20" s="1145">
        <f t="shared" si="4"/>
        <v>0</v>
      </c>
      <c r="W20" s="692"/>
      <c r="X20" s="91"/>
    </row>
    <row r="21" spans="2:24" ht="12.75" customHeight="1" x14ac:dyDescent="0.2">
      <c r="B21" s="87"/>
      <c r="C21" s="108"/>
      <c r="D21" s="115"/>
      <c r="E21" s="115"/>
      <c r="F21" s="115"/>
      <c r="G21" s="132"/>
      <c r="H21" s="508"/>
      <c r="I21" s="132"/>
      <c r="J21" s="150"/>
      <c r="K21" s="509"/>
      <c r="L21" s="510"/>
      <c r="M21" s="511">
        <f t="shared" si="0"/>
        <v>0</v>
      </c>
      <c r="N21" s="533"/>
      <c r="O21" s="513" t="str">
        <f>IF(I21="","",VLOOKUP(I21,tab!$A$68:$V$110,J21+2,FALSE))</f>
        <v/>
      </c>
      <c r="P21" s="514" t="str">
        <f t="shared" si="1"/>
        <v/>
      </c>
      <c r="Q21" s="1173">
        <f t="shared" si="5"/>
        <v>0.62</v>
      </c>
      <c r="R21" s="641" t="str">
        <f t="shared" si="6"/>
        <v/>
      </c>
      <c r="S21" s="514">
        <f>IF(L21="",0,(O21*12*L21*(1+tab!$D$55)*IF(I21&gt;8,tab!$F$57,tab!$F$59)))</f>
        <v>0</v>
      </c>
      <c r="T21" s="1131">
        <f t="shared" si="2"/>
        <v>0</v>
      </c>
      <c r="U21" s="219">
        <f t="shared" si="3"/>
        <v>0</v>
      </c>
      <c r="V21" s="1145">
        <f t="shared" si="4"/>
        <v>0</v>
      </c>
      <c r="W21" s="692"/>
      <c r="X21" s="91"/>
    </row>
    <row r="22" spans="2:24" ht="12.75" customHeight="1" x14ac:dyDescent="0.2">
      <c r="B22" s="87"/>
      <c r="C22" s="108"/>
      <c r="D22" s="115"/>
      <c r="E22" s="115"/>
      <c r="F22" s="115"/>
      <c r="G22" s="132"/>
      <c r="H22" s="508"/>
      <c r="I22" s="132"/>
      <c r="J22" s="150"/>
      <c r="K22" s="509"/>
      <c r="L22" s="510"/>
      <c r="M22" s="511">
        <f t="shared" si="0"/>
        <v>0</v>
      </c>
      <c r="N22" s="533"/>
      <c r="O22" s="513" t="str">
        <f>IF(I22="","",VLOOKUP(I22,tab!$A$68:$V$110,J22+2,FALSE))</f>
        <v/>
      </c>
      <c r="P22" s="514" t="str">
        <f t="shared" si="1"/>
        <v/>
      </c>
      <c r="Q22" s="1173">
        <f t="shared" si="5"/>
        <v>0.62</v>
      </c>
      <c r="R22" s="641" t="str">
        <f t="shared" si="6"/>
        <v/>
      </c>
      <c r="S22" s="514">
        <f>IF(L22="",0,(O22*12*L22*(1+tab!$D$55)*IF(I22&gt;8,tab!$F$57,tab!$F$59)))</f>
        <v>0</v>
      </c>
      <c r="T22" s="1131">
        <f t="shared" si="2"/>
        <v>0</v>
      </c>
      <c r="U22" s="219">
        <f t="shared" si="3"/>
        <v>0</v>
      </c>
      <c r="V22" s="1145">
        <f t="shared" si="4"/>
        <v>0</v>
      </c>
      <c r="W22" s="692"/>
      <c r="X22" s="91"/>
    </row>
    <row r="23" spans="2:24" ht="12.75" customHeight="1" x14ac:dyDescent="0.2">
      <c r="B23" s="87"/>
      <c r="C23" s="108"/>
      <c r="D23" s="115"/>
      <c r="E23" s="115"/>
      <c r="F23" s="115"/>
      <c r="G23" s="132"/>
      <c r="H23" s="508"/>
      <c r="I23" s="132"/>
      <c r="J23" s="150"/>
      <c r="K23" s="509"/>
      <c r="L23" s="510"/>
      <c r="M23" s="511">
        <f t="shared" si="0"/>
        <v>0</v>
      </c>
      <c r="N23" s="533"/>
      <c r="O23" s="513" t="str">
        <f>IF(I23="","",VLOOKUP(I23,tab!$A$68:$V$110,J23+2,FALSE))</f>
        <v/>
      </c>
      <c r="P23" s="514" t="str">
        <f t="shared" si="1"/>
        <v/>
      </c>
      <c r="Q23" s="1173">
        <f t="shared" si="5"/>
        <v>0.62</v>
      </c>
      <c r="R23" s="641" t="str">
        <f t="shared" si="6"/>
        <v/>
      </c>
      <c r="S23" s="514">
        <f>IF(L23="",0,(O23*12*L23*(1+tab!$D$55)*IF(I23&gt;8,tab!$F$57,tab!$F$59)))</f>
        <v>0</v>
      </c>
      <c r="T23" s="1131">
        <f t="shared" si="2"/>
        <v>0</v>
      </c>
      <c r="U23" s="219">
        <f t="shared" si="3"/>
        <v>0</v>
      </c>
      <c r="V23" s="1145">
        <f t="shared" si="4"/>
        <v>0</v>
      </c>
      <c r="W23" s="692"/>
      <c r="X23" s="91"/>
    </row>
    <row r="24" spans="2:24" ht="12.75" customHeight="1" x14ac:dyDescent="0.2">
      <c r="B24" s="87"/>
      <c r="C24" s="108"/>
      <c r="D24" s="115"/>
      <c r="E24" s="115"/>
      <c r="F24" s="115"/>
      <c r="G24" s="132"/>
      <c r="H24" s="508"/>
      <c r="I24" s="132"/>
      <c r="J24" s="150"/>
      <c r="K24" s="509"/>
      <c r="L24" s="510"/>
      <c r="M24" s="511">
        <f t="shared" si="0"/>
        <v>0</v>
      </c>
      <c r="N24" s="533"/>
      <c r="O24" s="513" t="str">
        <f>IF(I24="","",VLOOKUP(I24,tab!$A$68:$V$110,J24+2,FALSE))</f>
        <v/>
      </c>
      <c r="P24" s="514" t="str">
        <f t="shared" si="1"/>
        <v/>
      </c>
      <c r="Q24" s="1173">
        <f t="shared" si="5"/>
        <v>0.62</v>
      </c>
      <c r="R24" s="641" t="str">
        <f t="shared" si="6"/>
        <v/>
      </c>
      <c r="S24" s="514">
        <f>IF(L24="",0,(O24*12*L24*(1+tab!$D$55)*IF(I24&gt;8,tab!$F$57,tab!$F$59)))</f>
        <v>0</v>
      </c>
      <c r="T24" s="1131">
        <f t="shared" si="2"/>
        <v>0</v>
      </c>
      <c r="U24" s="219">
        <f t="shared" si="3"/>
        <v>0</v>
      </c>
      <c r="V24" s="1145">
        <f t="shared" si="4"/>
        <v>0</v>
      </c>
      <c r="W24" s="692"/>
      <c r="X24" s="91"/>
    </row>
    <row r="25" spans="2:24" ht="12.75" customHeight="1" x14ac:dyDescent="0.2">
      <c r="B25" s="87"/>
      <c r="C25" s="108"/>
      <c r="D25" s="115"/>
      <c r="E25" s="115"/>
      <c r="F25" s="115"/>
      <c r="G25" s="132"/>
      <c r="H25" s="508"/>
      <c r="I25" s="132"/>
      <c r="J25" s="150"/>
      <c r="K25" s="509"/>
      <c r="L25" s="510"/>
      <c r="M25" s="511">
        <f t="shared" si="0"/>
        <v>0</v>
      </c>
      <c r="N25" s="533"/>
      <c r="O25" s="513" t="str">
        <f>IF(I25="","",VLOOKUP(I25,tab!$A$68:$V$110,J25+2,FALSE))</f>
        <v/>
      </c>
      <c r="P25" s="514" t="str">
        <f t="shared" si="1"/>
        <v/>
      </c>
      <c r="Q25" s="1173">
        <f t="shared" si="5"/>
        <v>0.62</v>
      </c>
      <c r="R25" s="641" t="str">
        <f t="shared" si="6"/>
        <v/>
      </c>
      <c r="S25" s="514">
        <f>IF(L25="",0,(O25*12*L25*(1+tab!$D$55)*IF(I25&gt;8,tab!$F$57,tab!$F$59)))</f>
        <v>0</v>
      </c>
      <c r="T25" s="1131">
        <f t="shared" si="2"/>
        <v>0</v>
      </c>
      <c r="U25" s="219">
        <f t="shared" si="3"/>
        <v>0</v>
      </c>
      <c r="V25" s="1145">
        <f t="shared" si="4"/>
        <v>0</v>
      </c>
      <c r="W25" s="692"/>
      <c r="X25" s="91"/>
    </row>
    <row r="26" spans="2:24" ht="12.75" customHeight="1" x14ac:dyDescent="0.2">
      <c r="B26" s="87"/>
      <c r="C26" s="108"/>
      <c r="D26" s="115"/>
      <c r="E26" s="115"/>
      <c r="F26" s="115"/>
      <c r="G26" s="132"/>
      <c r="H26" s="508"/>
      <c r="I26" s="132"/>
      <c r="J26" s="150"/>
      <c r="K26" s="509"/>
      <c r="L26" s="510"/>
      <c r="M26" s="511">
        <f t="shared" si="0"/>
        <v>0</v>
      </c>
      <c r="N26" s="533"/>
      <c r="O26" s="513" t="str">
        <f>IF(I26="","",VLOOKUP(I26,tab!$A$68:$V$110,J26+2,FALSE))</f>
        <v/>
      </c>
      <c r="P26" s="514" t="str">
        <f t="shared" si="1"/>
        <v/>
      </c>
      <c r="Q26" s="1173">
        <f t="shared" si="5"/>
        <v>0.62</v>
      </c>
      <c r="R26" s="641" t="str">
        <f t="shared" si="6"/>
        <v/>
      </c>
      <c r="S26" s="514">
        <f>IF(L26="",0,(O26*12*L26*(1+tab!$D$55)*IF(I26&gt;8,tab!$F$57,tab!$F$59)))</f>
        <v>0</v>
      </c>
      <c r="T26" s="1131">
        <f t="shared" si="2"/>
        <v>0</v>
      </c>
      <c r="U26" s="219">
        <f t="shared" si="3"/>
        <v>0</v>
      </c>
      <c r="V26" s="1145">
        <f t="shared" si="4"/>
        <v>0</v>
      </c>
      <c r="W26" s="692"/>
      <c r="X26" s="91"/>
    </row>
    <row r="27" spans="2:24" ht="12.75" customHeight="1" x14ac:dyDescent="0.2">
      <c r="B27" s="87"/>
      <c r="C27" s="108"/>
      <c r="D27" s="115"/>
      <c r="E27" s="115"/>
      <c r="F27" s="115"/>
      <c r="G27" s="132"/>
      <c r="H27" s="508"/>
      <c r="I27" s="132"/>
      <c r="J27" s="150"/>
      <c r="K27" s="509"/>
      <c r="L27" s="510"/>
      <c r="M27" s="511">
        <f t="shared" si="0"/>
        <v>0</v>
      </c>
      <c r="N27" s="533"/>
      <c r="O27" s="513" t="str">
        <f>IF(I27="","",VLOOKUP(I27,tab!$A$68:$V$110,J27+2,FALSE))</f>
        <v/>
      </c>
      <c r="P27" s="514" t="str">
        <f t="shared" si="1"/>
        <v/>
      </c>
      <c r="Q27" s="1173">
        <f t="shared" si="5"/>
        <v>0.62</v>
      </c>
      <c r="R27" s="641" t="str">
        <f t="shared" si="6"/>
        <v/>
      </c>
      <c r="S27" s="514">
        <f>IF(L27="",0,(O27*12*L27*(1+tab!$D$55)*IF(I27&gt;8,tab!$F$57,tab!$F$59)))</f>
        <v>0</v>
      </c>
      <c r="T27" s="1131">
        <f t="shared" si="2"/>
        <v>0</v>
      </c>
      <c r="U27" s="219">
        <f t="shared" si="3"/>
        <v>0</v>
      </c>
      <c r="V27" s="1145">
        <f t="shared" si="4"/>
        <v>0</v>
      </c>
      <c r="W27" s="692"/>
      <c r="X27" s="91"/>
    </row>
    <row r="28" spans="2:24" ht="12.75" customHeight="1" x14ac:dyDescent="0.2">
      <c r="B28" s="87"/>
      <c r="C28" s="108"/>
      <c r="D28" s="115"/>
      <c r="E28" s="115"/>
      <c r="F28" s="115"/>
      <c r="G28" s="132"/>
      <c r="H28" s="508"/>
      <c r="I28" s="132"/>
      <c r="J28" s="150"/>
      <c r="K28" s="509"/>
      <c r="L28" s="510"/>
      <c r="M28" s="511">
        <f t="shared" si="0"/>
        <v>0</v>
      </c>
      <c r="N28" s="533"/>
      <c r="O28" s="513" t="str">
        <f>IF(I28="","",VLOOKUP(I28,tab!$A$68:$V$110,J28+2,FALSE))</f>
        <v/>
      </c>
      <c r="P28" s="514" t="str">
        <f t="shared" si="1"/>
        <v/>
      </c>
      <c r="Q28" s="1173">
        <f t="shared" si="5"/>
        <v>0.62</v>
      </c>
      <c r="R28" s="641" t="str">
        <f t="shared" si="6"/>
        <v/>
      </c>
      <c r="S28" s="514">
        <f>IF(L28="",0,(O28*12*L28*(1+tab!$D$55)*IF(I28&gt;8,tab!$F$57,tab!$F$59)))</f>
        <v>0</v>
      </c>
      <c r="T28" s="1131">
        <f t="shared" si="2"/>
        <v>0</v>
      </c>
      <c r="U28" s="219">
        <f t="shared" si="3"/>
        <v>0</v>
      </c>
      <c r="V28" s="1145">
        <f t="shared" si="4"/>
        <v>0</v>
      </c>
      <c r="W28" s="692"/>
      <c r="X28" s="91"/>
    </row>
    <row r="29" spans="2:24" ht="12.75" customHeight="1" x14ac:dyDescent="0.2">
      <c r="B29" s="87"/>
      <c r="C29" s="108"/>
      <c r="D29" s="115"/>
      <c r="E29" s="115"/>
      <c r="F29" s="115"/>
      <c r="G29" s="132"/>
      <c r="H29" s="508"/>
      <c r="I29" s="132"/>
      <c r="J29" s="150"/>
      <c r="K29" s="509"/>
      <c r="L29" s="510"/>
      <c r="M29" s="511">
        <f t="shared" si="0"/>
        <v>0</v>
      </c>
      <c r="N29" s="533"/>
      <c r="O29" s="513" t="str">
        <f>IF(I29="","",VLOOKUP(I29,tab!$A$68:$V$110,J29+2,FALSE))</f>
        <v/>
      </c>
      <c r="P29" s="514" t="str">
        <f t="shared" si="1"/>
        <v/>
      </c>
      <c r="Q29" s="1173">
        <f t="shared" si="5"/>
        <v>0.62</v>
      </c>
      <c r="R29" s="641" t="str">
        <f t="shared" si="6"/>
        <v/>
      </c>
      <c r="S29" s="514">
        <f>IF(L29="",0,(O29*12*L29*(1+tab!$D$55)*IF(I29&gt;8,tab!$F$57,tab!$F$59)))</f>
        <v>0</v>
      </c>
      <c r="T29" s="1131">
        <f t="shared" si="2"/>
        <v>0</v>
      </c>
      <c r="U29" s="219">
        <f t="shared" si="3"/>
        <v>0</v>
      </c>
      <c r="V29" s="1145">
        <f t="shared" si="4"/>
        <v>0</v>
      </c>
      <c r="W29" s="692"/>
      <c r="X29" s="91"/>
    </row>
    <row r="30" spans="2:24" ht="12.75" customHeight="1" x14ac:dyDescent="0.2">
      <c r="B30" s="87"/>
      <c r="C30" s="108"/>
      <c r="D30" s="115"/>
      <c r="E30" s="115"/>
      <c r="F30" s="115"/>
      <c r="G30" s="132"/>
      <c r="H30" s="508"/>
      <c r="I30" s="132"/>
      <c r="J30" s="150"/>
      <c r="K30" s="509"/>
      <c r="L30" s="510"/>
      <c r="M30" s="511">
        <f t="shared" si="0"/>
        <v>0</v>
      </c>
      <c r="N30" s="533"/>
      <c r="O30" s="513" t="str">
        <f>IF(I30="","",VLOOKUP(I30,tab!$A$68:$V$110,J30+2,FALSE))</f>
        <v/>
      </c>
      <c r="P30" s="514" t="str">
        <f t="shared" si="1"/>
        <v/>
      </c>
      <c r="Q30" s="1173">
        <f t="shared" si="5"/>
        <v>0.62</v>
      </c>
      <c r="R30" s="641" t="str">
        <f t="shared" si="6"/>
        <v/>
      </c>
      <c r="S30" s="514">
        <f>IF(L30="",0,(O30*12*L30*(1+tab!$D$55)*IF(I30&gt;8,tab!$F$57,tab!$F$59)))</f>
        <v>0</v>
      </c>
      <c r="T30" s="1131">
        <f t="shared" si="2"/>
        <v>0</v>
      </c>
      <c r="U30" s="219">
        <f t="shared" si="3"/>
        <v>0</v>
      </c>
      <c r="V30" s="1145">
        <f t="shared" si="4"/>
        <v>0</v>
      </c>
      <c r="W30" s="692"/>
      <c r="X30" s="91"/>
    </row>
    <row r="31" spans="2:24" ht="12.75" customHeight="1" x14ac:dyDescent="0.2">
      <c r="B31" s="87"/>
      <c r="C31" s="108"/>
      <c r="D31" s="115"/>
      <c r="E31" s="115"/>
      <c r="F31" s="115"/>
      <c r="G31" s="132"/>
      <c r="H31" s="508"/>
      <c r="I31" s="132"/>
      <c r="J31" s="150"/>
      <c r="K31" s="509"/>
      <c r="L31" s="510"/>
      <c r="M31" s="511">
        <f t="shared" si="0"/>
        <v>0</v>
      </c>
      <c r="N31" s="533"/>
      <c r="O31" s="513" t="str">
        <f>IF(I31="","",VLOOKUP(I31,tab!$A$68:$V$110,J31+2,FALSE))</f>
        <v/>
      </c>
      <c r="P31" s="514" t="str">
        <f t="shared" si="1"/>
        <v/>
      </c>
      <c r="Q31" s="1173">
        <f t="shared" si="5"/>
        <v>0.62</v>
      </c>
      <c r="R31" s="641" t="str">
        <f t="shared" si="6"/>
        <v/>
      </c>
      <c r="S31" s="514">
        <f>IF(L31="",0,(O31*12*L31*(1+tab!$D$55)*IF(I31&gt;8,tab!$F$57,tab!$F$59)))</f>
        <v>0</v>
      </c>
      <c r="T31" s="1131">
        <f t="shared" si="2"/>
        <v>0</v>
      </c>
      <c r="U31" s="219">
        <f t="shared" si="3"/>
        <v>0</v>
      </c>
      <c r="V31" s="1145">
        <f t="shared" si="4"/>
        <v>0</v>
      </c>
      <c r="W31" s="692"/>
      <c r="X31" s="91"/>
    </row>
    <row r="32" spans="2:24" ht="12.75" customHeight="1" x14ac:dyDescent="0.2">
      <c r="B32" s="87"/>
      <c r="C32" s="108"/>
      <c r="D32" s="115"/>
      <c r="E32" s="115"/>
      <c r="F32" s="115"/>
      <c r="G32" s="132"/>
      <c r="H32" s="508"/>
      <c r="I32" s="132"/>
      <c r="J32" s="150"/>
      <c r="K32" s="509"/>
      <c r="L32" s="510"/>
      <c r="M32" s="511">
        <f t="shared" si="0"/>
        <v>0</v>
      </c>
      <c r="N32" s="533"/>
      <c r="O32" s="513" t="str">
        <f>IF(I32="","",VLOOKUP(I32,tab!$A$68:$V$110,J32+2,FALSE))</f>
        <v/>
      </c>
      <c r="P32" s="514" t="str">
        <f t="shared" si="1"/>
        <v/>
      </c>
      <c r="Q32" s="1173">
        <f t="shared" si="5"/>
        <v>0.62</v>
      </c>
      <c r="R32" s="641" t="str">
        <f t="shared" si="6"/>
        <v/>
      </c>
      <c r="S32" s="514">
        <f>IF(L32="",0,(O32*12*L32*(1+tab!$D$55)*IF(I32&gt;8,tab!$F$57,tab!$F$59)))</f>
        <v>0</v>
      </c>
      <c r="T32" s="1131">
        <f t="shared" si="2"/>
        <v>0</v>
      </c>
      <c r="U32" s="219">
        <f t="shared" si="3"/>
        <v>0</v>
      </c>
      <c r="V32" s="1145">
        <f t="shared" si="4"/>
        <v>0</v>
      </c>
      <c r="W32" s="692"/>
      <c r="X32" s="91"/>
    </row>
    <row r="33" spans="2:41" ht="12.75" customHeight="1" x14ac:dyDescent="0.2">
      <c r="B33" s="87"/>
      <c r="C33" s="108"/>
      <c r="D33" s="115"/>
      <c r="E33" s="115"/>
      <c r="F33" s="115"/>
      <c r="G33" s="132"/>
      <c r="H33" s="508"/>
      <c r="I33" s="132"/>
      <c r="J33" s="150"/>
      <c r="K33" s="509"/>
      <c r="L33" s="510"/>
      <c r="M33" s="511">
        <f t="shared" si="0"/>
        <v>0</v>
      </c>
      <c r="N33" s="533"/>
      <c r="O33" s="513" t="str">
        <f>IF(I33="","",VLOOKUP(I33,tab!$A$68:$V$110,J33+2,FALSE))</f>
        <v/>
      </c>
      <c r="P33" s="514" t="str">
        <f t="shared" si="1"/>
        <v/>
      </c>
      <c r="Q33" s="1173">
        <f t="shared" si="5"/>
        <v>0.62</v>
      </c>
      <c r="R33" s="641" t="str">
        <f t="shared" si="6"/>
        <v/>
      </c>
      <c r="S33" s="514">
        <f>IF(L33="",0,(O33*12*L33*(1+tab!$D$55)*IF(I33&gt;8,tab!$F$57,tab!$F$59)))</f>
        <v>0</v>
      </c>
      <c r="T33" s="1131">
        <f t="shared" si="2"/>
        <v>0</v>
      </c>
      <c r="U33" s="219">
        <f t="shared" si="3"/>
        <v>0</v>
      </c>
      <c r="V33" s="1145">
        <f t="shared" si="4"/>
        <v>0</v>
      </c>
      <c r="W33" s="692"/>
      <c r="X33" s="91"/>
    </row>
    <row r="34" spans="2:41" ht="12.75" customHeight="1" x14ac:dyDescent="0.2">
      <c r="B34" s="87"/>
      <c r="C34" s="108"/>
      <c r="D34" s="115"/>
      <c r="E34" s="115"/>
      <c r="F34" s="115"/>
      <c r="G34" s="132"/>
      <c r="H34" s="508"/>
      <c r="I34" s="132"/>
      <c r="J34" s="150"/>
      <c r="K34" s="509"/>
      <c r="L34" s="510"/>
      <c r="M34" s="511">
        <f t="shared" si="0"/>
        <v>0</v>
      </c>
      <c r="N34" s="533"/>
      <c r="O34" s="513" t="str">
        <f>IF(I34="","",VLOOKUP(I34,tab!$A$68:$V$110,J34+2,FALSE))</f>
        <v/>
      </c>
      <c r="P34" s="514" t="str">
        <f t="shared" si="1"/>
        <v/>
      </c>
      <c r="Q34" s="1173">
        <f t="shared" si="5"/>
        <v>0.62</v>
      </c>
      <c r="R34" s="641" t="str">
        <f t="shared" si="6"/>
        <v/>
      </c>
      <c r="S34" s="514">
        <f>IF(L34="",0,(O34*12*L34*(1+tab!$D$55)*IF(I34&gt;8,tab!$F$57,tab!$F$59)))</f>
        <v>0</v>
      </c>
      <c r="T34" s="1131">
        <f t="shared" si="2"/>
        <v>0</v>
      </c>
      <c r="U34" s="219">
        <f t="shared" si="3"/>
        <v>0</v>
      </c>
      <c r="V34" s="1145">
        <f t="shared" si="4"/>
        <v>0</v>
      </c>
      <c r="W34" s="692"/>
      <c r="X34" s="91"/>
    </row>
    <row r="35" spans="2:41" ht="12.75" customHeight="1" x14ac:dyDescent="0.2">
      <c r="B35" s="87"/>
      <c r="C35" s="108"/>
      <c r="D35" s="115"/>
      <c r="E35" s="115"/>
      <c r="F35" s="115"/>
      <c r="G35" s="132"/>
      <c r="H35" s="508"/>
      <c r="I35" s="132"/>
      <c r="J35" s="150"/>
      <c r="K35" s="509"/>
      <c r="L35" s="510"/>
      <c r="M35" s="511">
        <f t="shared" si="0"/>
        <v>0</v>
      </c>
      <c r="N35" s="533"/>
      <c r="O35" s="513" t="str">
        <f>IF(I35="","",VLOOKUP(I35,tab!$A$68:$V$110,J35+2,FALSE))</f>
        <v/>
      </c>
      <c r="P35" s="514" t="str">
        <f t="shared" si="1"/>
        <v/>
      </c>
      <c r="Q35" s="1173">
        <f t="shared" si="5"/>
        <v>0.62</v>
      </c>
      <c r="R35" s="641" t="str">
        <f>IF(E35=0,"",(P35)*Q35)</f>
        <v/>
      </c>
      <c r="S35" s="514">
        <f>IF(L35="",0,(O35*12*L35*(1+tab!$D$55)*IF(I35&gt;8,tab!$F$57,tab!$F$59)))</f>
        <v>0</v>
      </c>
      <c r="T35" s="1131">
        <f t="shared" si="2"/>
        <v>0</v>
      </c>
      <c r="U35" s="219">
        <f t="shared" si="3"/>
        <v>0</v>
      </c>
      <c r="V35" s="1145">
        <f t="shared" si="4"/>
        <v>0</v>
      </c>
      <c r="W35" s="692"/>
      <c r="X35" s="91"/>
    </row>
    <row r="36" spans="2:41" ht="12.75" customHeight="1" x14ac:dyDescent="0.2">
      <c r="B36" s="87"/>
      <c r="C36" s="108"/>
      <c r="D36" s="134"/>
      <c r="E36" s="134"/>
      <c r="F36" s="134"/>
      <c r="G36" s="149"/>
      <c r="H36" s="524"/>
      <c r="I36" s="149"/>
      <c r="J36" s="693"/>
      <c r="K36" s="525">
        <f>SUM(K16:K35)</f>
        <v>1</v>
      </c>
      <c r="L36" s="525">
        <f>SUM(L16:L35)</f>
        <v>0</v>
      </c>
      <c r="M36" s="525">
        <f>SUM(M16:M35)</f>
        <v>1</v>
      </c>
      <c r="N36" s="512"/>
      <c r="O36" s="526">
        <f t="shared" ref="O36:V36" si="7">SUM(O16:O35)</f>
        <v>6314</v>
      </c>
      <c r="P36" s="526">
        <f t="shared" si="7"/>
        <v>75768</v>
      </c>
      <c r="Q36" s="694"/>
      <c r="R36" s="526">
        <f t="shared" si="7"/>
        <v>46976.159999999996</v>
      </c>
      <c r="S36" s="526">
        <f t="shared" si="7"/>
        <v>0</v>
      </c>
      <c r="T36" s="526">
        <f t="shared" si="7"/>
        <v>122744.16</v>
      </c>
      <c r="U36" s="695">
        <f t="shared" si="7"/>
        <v>0</v>
      </c>
      <c r="V36" s="1146">
        <f t="shared" si="7"/>
        <v>0</v>
      </c>
      <c r="W36" s="167"/>
      <c r="X36" s="91"/>
    </row>
    <row r="37" spans="2:41" ht="12.75" customHeight="1" x14ac:dyDescent="0.2">
      <c r="B37" s="87"/>
      <c r="C37" s="116"/>
      <c r="D37" s="168"/>
      <c r="E37" s="168"/>
      <c r="F37" s="168"/>
      <c r="G37" s="235"/>
      <c r="H37" s="532"/>
      <c r="I37" s="235"/>
      <c r="J37" s="533"/>
      <c r="K37" s="534"/>
      <c r="L37" s="533"/>
      <c r="M37" s="534"/>
      <c r="N37" s="533"/>
      <c r="O37" s="533"/>
      <c r="P37" s="527"/>
      <c r="Q37" s="650"/>
      <c r="R37" s="696"/>
      <c r="S37" s="527"/>
      <c r="T37" s="527"/>
      <c r="U37" s="697"/>
      <c r="V37" s="1147"/>
      <c r="W37" s="698"/>
      <c r="X37" s="91"/>
    </row>
    <row r="38" spans="2:41" ht="12.75" customHeight="1" x14ac:dyDescent="0.2">
      <c r="B38" s="87"/>
      <c r="C38" s="88"/>
      <c r="D38" s="303"/>
      <c r="E38" s="303"/>
      <c r="F38" s="303"/>
      <c r="G38" s="204"/>
      <c r="H38" s="384"/>
      <c r="I38" s="204"/>
      <c r="J38" s="385"/>
      <c r="K38" s="664"/>
      <c r="L38" s="386"/>
      <c r="M38" s="386"/>
      <c r="N38" s="88"/>
      <c r="O38" s="665"/>
      <c r="P38" s="666"/>
      <c r="Q38" s="667"/>
      <c r="R38" s="699"/>
      <c r="S38" s="666"/>
      <c r="T38" s="1136"/>
      <c r="U38" s="390"/>
      <c r="V38" s="310"/>
      <c r="W38" s="88"/>
      <c r="X38" s="91"/>
    </row>
    <row r="39" spans="2:41" ht="12.75" customHeight="1" x14ac:dyDescent="0.2">
      <c r="B39" s="87"/>
      <c r="C39" s="88"/>
      <c r="D39" s="303"/>
      <c r="E39" s="303"/>
      <c r="F39" s="303"/>
      <c r="G39" s="204"/>
      <c r="H39" s="384"/>
      <c r="I39" s="204"/>
      <c r="J39" s="385"/>
      <c r="K39" s="664"/>
      <c r="L39" s="386"/>
      <c r="M39" s="386"/>
      <c r="N39" s="88"/>
      <c r="O39" s="665"/>
      <c r="P39" s="666"/>
      <c r="Q39" s="667"/>
      <c r="R39" s="699"/>
      <c r="S39" s="666"/>
      <c r="T39" s="1136"/>
      <c r="U39" s="390"/>
      <c r="V39" s="310"/>
      <c r="W39" s="88"/>
      <c r="X39" s="91"/>
    </row>
    <row r="40" spans="2:41" ht="12.75" customHeight="1" x14ac:dyDescent="0.2">
      <c r="B40" s="87"/>
      <c r="C40" s="88" t="s">
        <v>290</v>
      </c>
      <c r="D40" s="303"/>
      <c r="E40" s="455" t="str">
        <f>dir!E30</f>
        <v>2014/15</v>
      </c>
      <c r="F40" s="303"/>
      <c r="G40" s="204"/>
      <c r="H40" s="384"/>
      <c r="I40" s="204"/>
      <c r="J40" s="385"/>
      <c r="K40" s="664"/>
      <c r="L40" s="386"/>
      <c r="M40" s="386"/>
      <c r="N40" s="88"/>
      <c r="O40" s="665"/>
      <c r="P40" s="666"/>
      <c r="Q40" s="667"/>
      <c r="R40" s="699"/>
      <c r="S40" s="666"/>
      <c r="T40" s="1136"/>
      <c r="U40" s="390"/>
      <c r="V40" s="310"/>
      <c r="W40" s="88"/>
      <c r="X40" s="91"/>
    </row>
    <row r="41" spans="2:41" ht="12.75" customHeight="1" x14ac:dyDescent="0.2">
      <c r="B41" s="87"/>
      <c r="C41" s="88" t="s">
        <v>314</v>
      </c>
      <c r="D41" s="303"/>
      <c r="E41" s="455">
        <f>dir!E31</f>
        <v>41913</v>
      </c>
      <c r="F41" s="303"/>
      <c r="G41" s="204"/>
      <c r="H41" s="384"/>
      <c r="I41" s="204"/>
      <c r="J41" s="385"/>
      <c r="K41" s="664"/>
      <c r="L41" s="386"/>
      <c r="M41" s="386"/>
      <c r="N41" s="88"/>
      <c r="O41" s="665"/>
      <c r="P41" s="666"/>
      <c r="Q41" s="667"/>
      <c r="R41" s="699"/>
      <c r="S41" s="666"/>
      <c r="T41" s="1136"/>
      <c r="U41" s="390"/>
      <c r="V41" s="310"/>
      <c r="W41" s="88"/>
      <c r="X41" s="91"/>
    </row>
    <row r="42" spans="2:41" ht="12.75" customHeight="1" x14ac:dyDescent="0.2">
      <c r="B42" s="87"/>
      <c r="C42" s="88"/>
      <c r="D42" s="303"/>
      <c r="E42" s="303"/>
      <c r="F42" s="303"/>
      <c r="G42" s="204"/>
      <c r="H42" s="384"/>
      <c r="I42" s="204"/>
      <c r="J42" s="385"/>
      <c r="K42" s="664"/>
      <c r="L42" s="386"/>
      <c r="M42" s="386"/>
      <c r="N42" s="88"/>
      <c r="O42" s="665"/>
      <c r="P42" s="666"/>
      <c r="Q42" s="667"/>
      <c r="R42" s="699"/>
      <c r="S42" s="666"/>
      <c r="T42" s="1136"/>
      <c r="U42" s="390"/>
      <c r="V42" s="310"/>
      <c r="W42" s="88"/>
      <c r="X42" s="91"/>
    </row>
    <row r="43" spans="2:41" ht="12.75" customHeight="1" x14ac:dyDescent="0.2">
      <c r="B43" s="87"/>
      <c r="C43" s="104"/>
      <c r="D43" s="155"/>
      <c r="E43" s="460"/>
      <c r="F43" s="155"/>
      <c r="G43" s="210"/>
      <c r="H43" s="461"/>
      <c r="I43" s="462"/>
      <c r="J43" s="462"/>
      <c r="K43" s="463"/>
      <c r="L43" s="462"/>
      <c r="M43" s="464"/>
      <c r="N43" s="105"/>
      <c r="O43" s="465"/>
      <c r="P43" s="105"/>
      <c r="Q43" s="210"/>
      <c r="R43" s="689"/>
      <c r="S43" s="105"/>
      <c r="T43" s="1129"/>
      <c r="U43" s="690"/>
      <c r="V43" s="1144"/>
      <c r="W43" s="186"/>
      <c r="X43" s="91"/>
      <c r="AC43" s="433"/>
      <c r="AD43" s="371"/>
      <c r="AE43" s="433"/>
      <c r="AF43" s="433"/>
      <c r="AG43" s="433"/>
      <c r="AH43" s="433"/>
      <c r="AI43" s="366"/>
      <c r="AJ43" s="365"/>
      <c r="AK43" s="367"/>
      <c r="AL43" s="434"/>
      <c r="AM43" s="366"/>
    </row>
    <row r="44" spans="2:41" ht="12.75" customHeight="1" x14ac:dyDescent="0.2">
      <c r="B44" s="87"/>
      <c r="C44" s="214"/>
      <c r="D44" s="1277" t="s">
        <v>458</v>
      </c>
      <c r="E44" s="1278"/>
      <c r="F44" s="1278"/>
      <c r="G44" s="1278"/>
      <c r="H44" s="1278"/>
      <c r="I44" s="1279"/>
      <c r="J44" s="1279"/>
      <c r="K44" s="1279"/>
      <c r="L44" s="1279"/>
      <c r="M44" s="1279"/>
      <c r="N44" s="472"/>
      <c r="O44" s="1277" t="s">
        <v>298</v>
      </c>
      <c r="P44" s="1279"/>
      <c r="Q44" s="1279"/>
      <c r="R44" s="1279"/>
      <c r="S44" s="1279"/>
      <c r="T44" s="1279"/>
      <c r="U44" s="473"/>
      <c r="V44" s="216"/>
      <c r="W44" s="474"/>
      <c r="X44" s="700"/>
      <c r="Y44" s="701"/>
      <c r="Z44" s="366"/>
      <c r="AA44" s="702"/>
      <c r="AB44" s="366"/>
      <c r="AC44" s="86"/>
      <c r="AD44" s="86"/>
      <c r="AL44" s="86"/>
      <c r="AM44" s="86"/>
      <c r="AN44" s="701"/>
      <c r="AO44" s="701"/>
    </row>
    <row r="45" spans="2:41" ht="12.75" customHeight="1" x14ac:dyDescent="0.2">
      <c r="B45" s="87"/>
      <c r="C45" s="214"/>
      <c r="D45" s="165" t="s">
        <v>152</v>
      </c>
      <c r="E45" s="165" t="s">
        <v>296</v>
      </c>
      <c r="F45" s="165" t="s">
        <v>275</v>
      </c>
      <c r="G45" s="480" t="s">
        <v>235</v>
      </c>
      <c r="H45" s="481" t="s">
        <v>439</v>
      </c>
      <c r="I45" s="480" t="s">
        <v>333</v>
      </c>
      <c r="J45" s="480" t="s">
        <v>368</v>
      </c>
      <c r="K45" s="482" t="s">
        <v>238</v>
      </c>
      <c r="L45" s="483" t="s">
        <v>334</v>
      </c>
      <c r="M45" s="482" t="s">
        <v>238</v>
      </c>
      <c r="N45" s="259"/>
      <c r="O45" s="584" t="s">
        <v>502</v>
      </c>
      <c r="P45" s="484" t="s">
        <v>638</v>
      </c>
      <c r="Q45" s="584" t="s">
        <v>0</v>
      </c>
      <c r="R45" s="485"/>
      <c r="S45" s="487" t="s">
        <v>334</v>
      </c>
      <c r="T45" s="1130" t="s">
        <v>313</v>
      </c>
      <c r="U45" s="486" t="s">
        <v>467</v>
      </c>
      <c r="V45" s="216" t="s">
        <v>668</v>
      </c>
      <c r="W45" s="488"/>
      <c r="X45" s="703"/>
      <c r="Y45" s="704"/>
      <c r="Z45" s="705"/>
      <c r="AA45" s="706"/>
      <c r="AB45" s="705"/>
      <c r="AC45" s="86"/>
      <c r="AD45" s="86"/>
      <c r="AL45" s="86"/>
      <c r="AM45" s="86"/>
      <c r="AN45" s="701"/>
      <c r="AO45" s="704"/>
    </row>
    <row r="46" spans="2:41" ht="12.75" customHeight="1" x14ac:dyDescent="0.2">
      <c r="B46" s="87"/>
      <c r="C46" s="214"/>
      <c r="D46" s="633"/>
      <c r="E46" s="165"/>
      <c r="F46" s="494"/>
      <c r="G46" s="480" t="s">
        <v>236</v>
      </c>
      <c r="H46" s="481" t="s">
        <v>440</v>
      </c>
      <c r="I46" s="480"/>
      <c r="J46" s="480"/>
      <c r="K46" s="482" t="s">
        <v>753</v>
      </c>
      <c r="L46" s="483"/>
      <c r="M46" s="482" t="s">
        <v>337</v>
      </c>
      <c r="N46" s="259"/>
      <c r="O46" s="584" t="s">
        <v>321</v>
      </c>
      <c r="P46" s="484" t="s">
        <v>636</v>
      </c>
      <c r="Q46" s="1176">
        <f>tab!$E$55</f>
        <v>0.62</v>
      </c>
      <c r="R46" s="485" t="s">
        <v>1</v>
      </c>
      <c r="S46" s="487" t="s">
        <v>367</v>
      </c>
      <c r="T46" s="1130" t="s">
        <v>434</v>
      </c>
      <c r="U46" s="486"/>
      <c r="V46" s="487" t="s">
        <v>367</v>
      </c>
      <c r="W46" s="331"/>
      <c r="X46" s="91"/>
      <c r="AC46" s="86"/>
      <c r="AD46" s="86"/>
      <c r="AL46" s="86"/>
      <c r="AM46" s="86"/>
      <c r="AO46" s="506"/>
    </row>
    <row r="47" spans="2:41" ht="12.75" customHeight="1" x14ac:dyDescent="0.2">
      <c r="B47" s="87"/>
      <c r="C47" s="108"/>
      <c r="D47" s="109"/>
      <c r="E47" s="109"/>
      <c r="F47" s="109"/>
      <c r="G47" s="113"/>
      <c r="H47" s="499"/>
      <c r="I47" s="500"/>
      <c r="J47" s="500"/>
      <c r="K47" s="501"/>
      <c r="L47" s="498"/>
      <c r="M47" s="501"/>
      <c r="N47" s="505"/>
      <c r="O47" s="502"/>
      <c r="P47" s="503"/>
      <c r="Q47" s="503"/>
      <c r="R47" s="691"/>
      <c r="S47" s="503"/>
      <c r="T47" s="694"/>
      <c r="U47" s="138"/>
      <c r="V47" s="504"/>
      <c r="W47" s="640"/>
      <c r="X47" s="91"/>
      <c r="AC47" s="86"/>
      <c r="AD47" s="86"/>
      <c r="AL47" s="86"/>
      <c r="AM47" s="86"/>
      <c r="AO47" s="506"/>
    </row>
    <row r="48" spans="2:41" ht="12.75" customHeight="1" x14ac:dyDescent="0.2">
      <c r="B48" s="87"/>
      <c r="C48" s="108"/>
      <c r="D48" s="115" t="str">
        <f>IF(obp!D16="","",obp!D16)</f>
        <v/>
      </c>
      <c r="E48" s="115" t="str">
        <f>IF(obp!E16=0,"",obp!E16)</f>
        <v>piet</v>
      </c>
      <c r="F48" s="115" t="str">
        <f>IF(obp!F16=0,"",obp!F16)</f>
        <v/>
      </c>
      <c r="G48" s="132" t="str">
        <f>IF(obp!G16="","",obp!G16+1)</f>
        <v/>
      </c>
      <c r="H48" s="508" t="str">
        <f>IF(obp!H16="","",obp!H16)</f>
        <v/>
      </c>
      <c r="I48" s="132">
        <f>IF(obp!I16=0,"",obp!I16)</f>
        <v>15</v>
      </c>
      <c r="J48" s="150">
        <f>IF(E48="","",(IF(obp!J16+1&gt;LOOKUP(I48,schaal2011,regels2011),obp!J16,obp!J16+1)))</f>
        <v>12</v>
      </c>
      <c r="K48" s="509">
        <f>IF(obp!K16="","",obp!K16)</f>
        <v>1</v>
      </c>
      <c r="L48" s="510" t="str">
        <f>IF(obp!L16="","",obp!L16)</f>
        <v/>
      </c>
      <c r="M48" s="511">
        <f>(IF(L48="",(K48),(K48)-L48))</f>
        <v>1</v>
      </c>
      <c r="N48" s="533"/>
      <c r="O48" s="513">
        <f>IF(I48="","",VLOOKUP(I48,tab!$A$68:$V$110,J48+2,FALSE))</f>
        <v>6314</v>
      </c>
      <c r="P48" s="514">
        <f t="shared" ref="P48:P67" si="8">IF(E48="","",(O48*M48*12))</f>
        <v>75768</v>
      </c>
      <c r="Q48" s="1173">
        <f>$Q$46</f>
        <v>0.62</v>
      </c>
      <c r="R48" s="641">
        <f t="shared" ref="R48:R66" si="9">IF(E48="","",(P48)*Q48)</f>
        <v>46976.159999999996</v>
      </c>
      <c r="S48" s="514">
        <f>IF(L48="",0,(O48*12*L48*(1+tab!$D$55)*IF(I48&gt;8,tab!$F$57,tab!$F$59)))</f>
        <v>0</v>
      </c>
      <c r="T48" s="1131">
        <f t="shared" ref="T48:T67" si="10">IF(E48="",0,(P48+R48+S48))</f>
        <v>122744.16</v>
      </c>
      <c r="U48" s="219">
        <f>IF(G48&lt;25,0,IF(G48=25,25,IF(G48&lt;40,0,IF(G48=40,40,IF(G48&gt;=40,0)))))</f>
        <v>0</v>
      </c>
      <c r="V48" s="1145">
        <f t="shared" ref="V48:V67" si="11">IF(U48=25,(O48*1.08*(K48)/2),IF(U48=40,(O48*1.08*(K48)),IF(U48=0,0)))</f>
        <v>0</v>
      </c>
      <c r="W48" s="692"/>
      <c r="X48" s="91"/>
      <c r="AA48" s="552"/>
      <c r="AJ48" s="552"/>
    </row>
    <row r="49" spans="2:36" x14ac:dyDescent="0.2">
      <c r="B49" s="87"/>
      <c r="C49" s="108"/>
      <c r="D49" s="115" t="str">
        <f>IF(obp!D17="","",obp!D17)</f>
        <v/>
      </c>
      <c r="E49" s="115" t="str">
        <f>IF(obp!E17=0,"",obp!E17)</f>
        <v/>
      </c>
      <c r="F49" s="115" t="str">
        <f>IF(obp!F17=0,"",obp!F17)</f>
        <v/>
      </c>
      <c r="G49" s="132" t="str">
        <f>IF(obp!G17="","",obp!G17+1)</f>
        <v/>
      </c>
      <c r="H49" s="508" t="str">
        <f>IF(obp!H17="","",obp!H17)</f>
        <v/>
      </c>
      <c r="I49" s="132" t="str">
        <f>IF(obp!I17=0,"",obp!I17)</f>
        <v/>
      </c>
      <c r="J49" s="150" t="str">
        <f>IF(E49="","",(IF(obp!J17+1&gt;LOOKUP(I49,schaal2011,regels2011),obp!J17,obp!J17+1)))</f>
        <v/>
      </c>
      <c r="K49" s="509" t="str">
        <f>IF(obp!K17="","",obp!K17)</f>
        <v/>
      </c>
      <c r="L49" s="510" t="str">
        <f>IF(obp!L17="","",obp!L17)</f>
        <v/>
      </c>
      <c r="M49" s="511" t="str">
        <f t="shared" ref="M49:M67" si="12">(IF(L49="",(K49),(K49)-L49))</f>
        <v/>
      </c>
      <c r="N49" s="533"/>
      <c r="O49" s="513" t="str">
        <f>IF(I49="","",VLOOKUP(I49,tab!$A$68:$V$110,J49+2,FALSE))</f>
        <v/>
      </c>
      <c r="P49" s="514" t="str">
        <f t="shared" si="8"/>
        <v/>
      </c>
      <c r="Q49" s="1173">
        <f t="shared" ref="Q49:Q66" si="13">$Q$46</f>
        <v>0.62</v>
      </c>
      <c r="R49" s="641" t="str">
        <f t="shared" si="9"/>
        <v/>
      </c>
      <c r="S49" s="514">
        <f>IF(L49="",0,(O49*12*L49*(1+tab!$D$55)*IF(I49&gt;8,tab!$F$57,tab!$F$59)))</f>
        <v>0</v>
      </c>
      <c r="T49" s="1131">
        <f t="shared" si="10"/>
        <v>0</v>
      </c>
      <c r="U49" s="219">
        <f t="shared" ref="U49:U67" si="14">IF(G49&lt;25,0,IF(G49=25,25,IF(G49&lt;40,0,IF(G49=40,40,IF(G49&gt;=40,0)))))</f>
        <v>0</v>
      </c>
      <c r="V49" s="1145">
        <f t="shared" si="11"/>
        <v>0</v>
      </c>
      <c r="W49" s="692"/>
      <c r="X49" s="91"/>
      <c r="AA49" s="552"/>
      <c r="AJ49" s="552"/>
    </row>
    <row r="50" spans="2:36" x14ac:dyDescent="0.2">
      <c r="B50" s="87"/>
      <c r="C50" s="108"/>
      <c r="D50" s="115" t="str">
        <f>IF(obp!D18="","",obp!D18)</f>
        <v/>
      </c>
      <c r="E50" s="115" t="str">
        <f>IF(obp!E18=0,"",obp!E18)</f>
        <v/>
      </c>
      <c r="F50" s="115" t="str">
        <f>IF(obp!F18=0,"",obp!F18)</f>
        <v/>
      </c>
      <c r="G50" s="132" t="str">
        <f>IF(obp!G18="","",obp!G18+1)</f>
        <v/>
      </c>
      <c r="H50" s="508" t="str">
        <f>IF(obp!H18="","",obp!H18)</f>
        <v/>
      </c>
      <c r="I50" s="132" t="str">
        <f>IF(obp!I18=0,"",obp!I18)</f>
        <v/>
      </c>
      <c r="J50" s="150" t="str">
        <f>IF(E50="","",(IF(obp!J18+1&gt;LOOKUP(I50,schaal2011,regels2011),obp!J18,obp!J18+1)))</f>
        <v/>
      </c>
      <c r="K50" s="509" t="str">
        <f>IF(obp!K18="","",obp!K18)</f>
        <v/>
      </c>
      <c r="L50" s="510" t="str">
        <f>IF(obp!L18="","",obp!L18)</f>
        <v/>
      </c>
      <c r="M50" s="511" t="str">
        <f t="shared" si="12"/>
        <v/>
      </c>
      <c r="N50" s="533"/>
      <c r="O50" s="513" t="str">
        <f>IF(I50="","",VLOOKUP(I50,tab!$A$68:$V$110,J50+2,FALSE))</f>
        <v/>
      </c>
      <c r="P50" s="514" t="str">
        <f t="shared" si="8"/>
        <v/>
      </c>
      <c r="Q50" s="1173">
        <f t="shared" si="13"/>
        <v>0.62</v>
      </c>
      <c r="R50" s="641" t="str">
        <f t="shared" si="9"/>
        <v/>
      </c>
      <c r="S50" s="514">
        <f>IF(L50="",0,(O50*12*L50*(1+tab!$D$55)*IF(I50&gt;8,tab!$F$57,tab!$F$59)))</f>
        <v>0</v>
      </c>
      <c r="T50" s="1131">
        <f t="shared" si="10"/>
        <v>0</v>
      </c>
      <c r="U50" s="219">
        <f t="shared" si="14"/>
        <v>0</v>
      </c>
      <c r="V50" s="1145">
        <f t="shared" si="11"/>
        <v>0</v>
      </c>
      <c r="W50" s="692"/>
      <c r="X50" s="91"/>
      <c r="AA50" s="552"/>
      <c r="AJ50" s="552"/>
    </row>
    <row r="51" spans="2:36" x14ac:dyDescent="0.2">
      <c r="B51" s="87"/>
      <c r="C51" s="108"/>
      <c r="D51" s="115" t="str">
        <f>IF(obp!D19="","",obp!D19)</f>
        <v/>
      </c>
      <c r="E51" s="115" t="str">
        <f>IF(obp!E19=0,"",obp!E19)</f>
        <v/>
      </c>
      <c r="F51" s="115" t="str">
        <f>IF(obp!F19=0,"",obp!F19)</f>
        <v/>
      </c>
      <c r="G51" s="132" t="str">
        <f>IF(obp!G19="","",obp!G19+1)</f>
        <v/>
      </c>
      <c r="H51" s="508" t="str">
        <f>IF(obp!H19="","",obp!H19)</f>
        <v/>
      </c>
      <c r="I51" s="132" t="str">
        <f>IF(obp!I19=0,"",obp!I19)</f>
        <v/>
      </c>
      <c r="J51" s="150" t="str">
        <f>IF(E51="","",(IF(obp!J19+1&gt;LOOKUP(I51,schaal2011,regels2011),obp!J19,obp!J19+1)))</f>
        <v/>
      </c>
      <c r="K51" s="509" t="str">
        <f>IF(obp!K19="","",obp!K19)</f>
        <v/>
      </c>
      <c r="L51" s="510" t="str">
        <f>IF(obp!L19="","",obp!L19)</f>
        <v/>
      </c>
      <c r="M51" s="511" t="str">
        <f t="shared" si="12"/>
        <v/>
      </c>
      <c r="N51" s="533"/>
      <c r="O51" s="513" t="str">
        <f>IF(I51="","",VLOOKUP(I51,tab!$A$68:$V$110,J51+2,FALSE))</f>
        <v/>
      </c>
      <c r="P51" s="514" t="str">
        <f t="shared" si="8"/>
        <v/>
      </c>
      <c r="Q51" s="1173">
        <f t="shared" si="13"/>
        <v>0.62</v>
      </c>
      <c r="R51" s="641" t="str">
        <f t="shared" si="9"/>
        <v/>
      </c>
      <c r="S51" s="514">
        <f>IF(L51="",0,(O51*12*L51*(1+tab!$D$55)*IF(I51&gt;8,tab!$F$57,tab!$F$59)))</f>
        <v>0</v>
      </c>
      <c r="T51" s="1131">
        <f t="shared" si="10"/>
        <v>0</v>
      </c>
      <c r="U51" s="219">
        <f t="shared" si="14"/>
        <v>0</v>
      </c>
      <c r="V51" s="1145">
        <f t="shared" si="11"/>
        <v>0</v>
      </c>
      <c r="W51" s="692"/>
      <c r="X51" s="91"/>
      <c r="AA51" s="552"/>
      <c r="AJ51" s="552"/>
    </row>
    <row r="52" spans="2:36" x14ac:dyDescent="0.2">
      <c r="B52" s="87"/>
      <c r="C52" s="108"/>
      <c r="D52" s="115" t="str">
        <f>IF(obp!D20="","",obp!D20)</f>
        <v/>
      </c>
      <c r="E52" s="115" t="str">
        <f>IF(obp!E20=0,"",obp!E20)</f>
        <v/>
      </c>
      <c r="F52" s="115" t="str">
        <f>IF(obp!F20=0,"",obp!F20)</f>
        <v/>
      </c>
      <c r="G52" s="132" t="str">
        <f>IF(obp!G20="","",obp!G20+1)</f>
        <v/>
      </c>
      <c r="H52" s="508" t="str">
        <f>IF(obp!H20="","",obp!H20)</f>
        <v/>
      </c>
      <c r="I52" s="132" t="str">
        <f>IF(obp!I20=0,"",obp!I20)</f>
        <v/>
      </c>
      <c r="J52" s="150" t="str">
        <f>IF(E52="","",(IF(obp!J20+1&gt;LOOKUP(I52,schaal2011,regels2011),obp!J20,obp!J20+1)))</f>
        <v/>
      </c>
      <c r="K52" s="509" t="str">
        <f>IF(obp!K20="","",obp!K20)</f>
        <v/>
      </c>
      <c r="L52" s="510" t="str">
        <f>IF(obp!L20="","",obp!L20)</f>
        <v/>
      </c>
      <c r="M52" s="511" t="str">
        <f t="shared" si="12"/>
        <v/>
      </c>
      <c r="N52" s="533"/>
      <c r="O52" s="513" t="str">
        <f>IF(I52="","",VLOOKUP(I52,tab!$A$68:$V$110,J52+2,FALSE))</f>
        <v/>
      </c>
      <c r="P52" s="514" t="str">
        <f t="shared" si="8"/>
        <v/>
      </c>
      <c r="Q52" s="1173">
        <f t="shared" si="13"/>
        <v>0.62</v>
      </c>
      <c r="R52" s="641" t="str">
        <f t="shared" si="9"/>
        <v/>
      </c>
      <c r="S52" s="514">
        <f>IF(L52="",0,(O52*12*L52*(1+tab!$D$55)*IF(I52&gt;8,tab!$F$57,tab!$F$59)))</f>
        <v>0</v>
      </c>
      <c r="T52" s="1131">
        <f t="shared" si="10"/>
        <v>0</v>
      </c>
      <c r="U52" s="219">
        <f t="shared" si="14"/>
        <v>0</v>
      </c>
      <c r="V52" s="1145">
        <f t="shared" si="11"/>
        <v>0</v>
      </c>
      <c r="W52" s="692"/>
      <c r="X52" s="91"/>
      <c r="AA52" s="552"/>
      <c r="AJ52" s="552"/>
    </row>
    <row r="53" spans="2:36" x14ac:dyDescent="0.2">
      <c r="B53" s="87"/>
      <c r="C53" s="108"/>
      <c r="D53" s="115" t="str">
        <f>IF(obp!D21="","",obp!D21)</f>
        <v/>
      </c>
      <c r="E53" s="115" t="str">
        <f>IF(obp!E21=0,"",obp!E21)</f>
        <v/>
      </c>
      <c r="F53" s="115" t="str">
        <f>IF(obp!F21=0,"",obp!F21)</f>
        <v/>
      </c>
      <c r="G53" s="132" t="str">
        <f>IF(obp!G21="","",obp!G21+1)</f>
        <v/>
      </c>
      <c r="H53" s="508" t="str">
        <f>IF(obp!H21="","",obp!H21)</f>
        <v/>
      </c>
      <c r="I53" s="132" t="str">
        <f>IF(obp!I21=0,"",obp!I21)</f>
        <v/>
      </c>
      <c r="J53" s="150" t="str">
        <f>IF(E53="","",(IF(obp!J21+1&gt;LOOKUP(I53,schaal2011,regels2011),obp!J21,obp!J21+1)))</f>
        <v/>
      </c>
      <c r="K53" s="509" t="str">
        <f>IF(obp!K21="","",obp!K21)</f>
        <v/>
      </c>
      <c r="L53" s="510" t="str">
        <f>IF(obp!L21="","",obp!L21)</f>
        <v/>
      </c>
      <c r="M53" s="511" t="str">
        <f t="shared" si="12"/>
        <v/>
      </c>
      <c r="N53" s="533"/>
      <c r="O53" s="513" t="str">
        <f>IF(I53="","",VLOOKUP(I53,tab!$A$68:$V$110,J53+2,FALSE))</f>
        <v/>
      </c>
      <c r="P53" s="514" t="str">
        <f t="shared" si="8"/>
        <v/>
      </c>
      <c r="Q53" s="1173">
        <f t="shared" si="13"/>
        <v>0.62</v>
      </c>
      <c r="R53" s="641" t="str">
        <f t="shared" si="9"/>
        <v/>
      </c>
      <c r="S53" s="514">
        <f>IF(L53="",0,(O53*12*L53*(1+tab!$D$55)*IF(I53&gt;8,tab!$F$57,tab!$F$59)))</f>
        <v>0</v>
      </c>
      <c r="T53" s="1131">
        <f t="shared" si="10"/>
        <v>0</v>
      </c>
      <c r="U53" s="219">
        <f t="shared" si="14"/>
        <v>0</v>
      </c>
      <c r="V53" s="1145">
        <f t="shared" si="11"/>
        <v>0</v>
      </c>
      <c r="W53" s="692"/>
      <c r="X53" s="91"/>
      <c r="AA53" s="552"/>
      <c r="AJ53" s="552"/>
    </row>
    <row r="54" spans="2:36" x14ac:dyDescent="0.2">
      <c r="B54" s="87"/>
      <c r="C54" s="108"/>
      <c r="D54" s="115" t="str">
        <f>IF(obp!D22="","",obp!D22)</f>
        <v/>
      </c>
      <c r="E54" s="115" t="str">
        <f>IF(obp!E22=0,"",obp!E22)</f>
        <v/>
      </c>
      <c r="F54" s="115" t="str">
        <f>IF(obp!F22=0,"",obp!F22)</f>
        <v/>
      </c>
      <c r="G54" s="132" t="str">
        <f>IF(obp!G22="","",obp!G22+1)</f>
        <v/>
      </c>
      <c r="H54" s="508" t="str">
        <f>IF(obp!H22="","",obp!H22)</f>
        <v/>
      </c>
      <c r="I54" s="132" t="str">
        <f>IF(obp!I22=0,"",obp!I22)</f>
        <v/>
      </c>
      <c r="J54" s="150" t="str">
        <f>IF(E54="","",(IF(obp!J22+1&gt;LOOKUP(I54,schaal2011,regels2011),obp!J22,obp!J22+1)))</f>
        <v/>
      </c>
      <c r="K54" s="509" t="str">
        <f>IF(obp!K22="","",obp!K22)</f>
        <v/>
      </c>
      <c r="L54" s="510" t="str">
        <f>IF(obp!L22="","",obp!L22)</f>
        <v/>
      </c>
      <c r="M54" s="511" t="str">
        <f t="shared" si="12"/>
        <v/>
      </c>
      <c r="N54" s="533"/>
      <c r="O54" s="513" t="str">
        <f>IF(I54="","",VLOOKUP(I54,tab!$A$68:$V$110,J54+2,FALSE))</f>
        <v/>
      </c>
      <c r="P54" s="514" t="str">
        <f t="shared" si="8"/>
        <v/>
      </c>
      <c r="Q54" s="1173">
        <f t="shared" si="13"/>
        <v>0.62</v>
      </c>
      <c r="R54" s="641" t="str">
        <f t="shared" si="9"/>
        <v/>
      </c>
      <c r="S54" s="514">
        <f>IF(L54="",0,(O54*12*L54*(1+tab!$D$55)*IF(I54&gt;8,tab!$F$57,tab!$F$59)))</f>
        <v>0</v>
      </c>
      <c r="T54" s="1131">
        <f t="shared" si="10"/>
        <v>0</v>
      </c>
      <c r="U54" s="219">
        <f t="shared" si="14"/>
        <v>0</v>
      </c>
      <c r="V54" s="1145">
        <f t="shared" si="11"/>
        <v>0</v>
      </c>
      <c r="W54" s="692"/>
      <c r="X54" s="91"/>
      <c r="AA54" s="552"/>
      <c r="AJ54" s="552"/>
    </row>
    <row r="55" spans="2:36" x14ac:dyDescent="0.2">
      <c r="B55" s="87"/>
      <c r="C55" s="108"/>
      <c r="D55" s="115" t="str">
        <f>IF(obp!D23="","",obp!D23)</f>
        <v/>
      </c>
      <c r="E55" s="115" t="str">
        <f>IF(obp!E23=0,"",obp!E23)</f>
        <v/>
      </c>
      <c r="F55" s="115" t="str">
        <f>IF(obp!F23=0,"",obp!F23)</f>
        <v/>
      </c>
      <c r="G55" s="132" t="str">
        <f>IF(obp!G23="","",obp!G23+1)</f>
        <v/>
      </c>
      <c r="H55" s="508" t="str">
        <f>IF(obp!H23="","",obp!H23)</f>
        <v/>
      </c>
      <c r="I55" s="132" t="str">
        <f>IF(obp!I23=0,"",obp!I23)</f>
        <v/>
      </c>
      <c r="J55" s="150" t="str">
        <f>IF(E55="","",(IF(obp!J23+1&gt;LOOKUP(I55,schaal2011,regels2011),obp!J23,obp!J23+1)))</f>
        <v/>
      </c>
      <c r="K55" s="509" t="str">
        <f>IF(obp!K23="","",obp!K23)</f>
        <v/>
      </c>
      <c r="L55" s="510" t="str">
        <f>IF(obp!L23="","",obp!L23)</f>
        <v/>
      </c>
      <c r="M55" s="511" t="str">
        <f t="shared" si="12"/>
        <v/>
      </c>
      <c r="N55" s="533"/>
      <c r="O55" s="513" t="str">
        <f>IF(I55="","",VLOOKUP(I55,tab!$A$68:$V$110,J55+2,FALSE))</f>
        <v/>
      </c>
      <c r="P55" s="514" t="str">
        <f t="shared" si="8"/>
        <v/>
      </c>
      <c r="Q55" s="1173">
        <f t="shared" si="13"/>
        <v>0.62</v>
      </c>
      <c r="R55" s="641" t="str">
        <f t="shared" si="9"/>
        <v/>
      </c>
      <c r="S55" s="514">
        <f>IF(L55="",0,(O55*12*L55*(1+tab!$D$55)*IF(I55&gt;8,tab!$F$57,tab!$F$59)))</f>
        <v>0</v>
      </c>
      <c r="T55" s="1131">
        <f t="shared" si="10"/>
        <v>0</v>
      </c>
      <c r="U55" s="219">
        <f t="shared" si="14"/>
        <v>0</v>
      </c>
      <c r="V55" s="1145">
        <f t="shared" si="11"/>
        <v>0</v>
      </c>
      <c r="W55" s="692"/>
      <c r="X55" s="91"/>
      <c r="AA55" s="552"/>
      <c r="AJ55" s="552"/>
    </row>
    <row r="56" spans="2:36" x14ac:dyDescent="0.2">
      <c r="B56" s="87"/>
      <c r="C56" s="108"/>
      <c r="D56" s="115" t="str">
        <f>IF(obp!D24="","",obp!D24)</f>
        <v/>
      </c>
      <c r="E56" s="115" t="str">
        <f>IF(obp!E24=0,"",obp!E24)</f>
        <v/>
      </c>
      <c r="F56" s="115" t="str">
        <f>IF(obp!F24=0,"",obp!F24)</f>
        <v/>
      </c>
      <c r="G56" s="132" t="str">
        <f>IF(obp!G24="","",obp!G24+1)</f>
        <v/>
      </c>
      <c r="H56" s="508" t="str">
        <f>IF(obp!H24="","",obp!H24)</f>
        <v/>
      </c>
      <c r="I56" s="132" t="str">
        <f>IF(obp!I24=0,"",obp!I24)</f>
        <v/>
      </c>
      <c r="J56" s="150" t="str">
        <f>IF(E56="","",(IF(obp!J24+1&gt;LOOKUP(I56,schaal2011,regels2011),obp!J24,obp!J24+1)))</f>
        <v/>
      </c>
      <c r="K56" s="509" t="str">
        <f>IF(obp!K24="","",obp!K24)</f>
        <v/>
      </c>
      <c r="L56" s="510" t="str">
        <f>IF(obp!L24="","",obp!L24)</f>
        <v/>
      </c>
      <c r="M56" s="511" t="str">
        <f t="shared" si="12"/>
        <v/>
      </c>
      <c r="N56" s="533"/>
      <c r="O56" s="513" t="str">
        <f>IF(I56="","",VLOOKUP(I56,tab!$A$68:$V$110,J56+2,FALSE))</f>
        <v/>
      </c>
      <c r="P56" s="514" t="str">
        <f t="shared" si="8"/>
        <v/>
      </c>
      <c r="Q56" s="1173">
        <f t="shared" si="13"/>
        <v>0.62</v>
      </c>
      <c r="R56" s="641" t="str">
        <f t="shared" si="9"/>
        <v/>
      </c>
      <c r="S56" s="514">
        <f>IF(L56="",0,(O56*12*L56*(1+tab!$D$55)*IF(I56&gt;8,tab!$F$57,tab!$F$59)))</f>
        <v>0</v>
      </c>
      <c r="T56" s="1131">
        <f t="shared" si="10"/>
        <v>0</v>
      </c>
      <c r="U56" s="219">
        <f t="shared" si="14"/>
        <v>0</v>
      </c>
      <c r="V56" s="1145">
        <f t="shared" si="11"/>
        <v>0</v>
      </c>
      <c r="W56" s="692"/>
      <c r="X56" s="91"/>
      <c r="AA56" s="552"/>
      <c r="AJ56" s="552"/>
    </row>
    <row r="57" spans="2:36" x14ac:dyDescent="0.2">
      <c r="B57" s="87"/>
      <c r="C57" s="108"/>
      <c r="D57" s="115" t="str">
        <f>IF(obp!D25="","",obp!D25)</f>
        <v/>
      </c>
      <c r="E57" s="115" t="str">
        <f>IF(obp!E25=0,"",obp!E25)</f>
        <v/>
      </c>
      <c r="F57" s="115" t="str">
        <f>IF(obp!F25=0,"",obp!F25)</f>
        <v/>
      </c>
      <c r="G57" s="132" t="str">
        <f>IF(obp!G25="","",obp!G25+1)</f>
        <v/>
      </c>
      <c r="H57" s="508" t="str">
        <f>IF(obp!H25="","",obp!H25)</f>
        <v/>
      </c>
      <c r="I57" s="132" t="str">
        <f>IF(obp!I25=0,"",obp!I25)</f>
        <v/>
      </c>
      <c r="J57" s="150" t="str">
        <f>IF(E57="","",(IF(obp!J25+1&gt;LOOKUP(I57,schaal2011,regels2011),obp!J25,obp!J25+1)))</f>
        <v/>
      </c>
      <c r="K57" s="509" t="str">
        <f>IF(obp!K25="","",obp!K25)</f>
        <v/>
      </c>
      <c r="L57" s="510" t="str">
        <f>IF(obp!L25="","",obp!L25)</f>
        <v/>
      </c>
      <c r="M57" s="511" t="str">
        <f t="shared" si="12"/>
        <v/>
      </c>
      <c r="N57" s="533"/>
      <c r="O57" s="513" t="str">
        <f>IF(I57="","",VLOOKUP(I57,tab!$A$68:$V$110,J57+2,FALSE))</f>
        <v/>
      </c>
      <c r="P57" s="514" t="str">
        <f t="shared" si="8"/>
        <v/>
      </c>
      <c r="Q57" s="1173">
        <f t="shared" si="13"/>
        <v>0.62</v>
      </c>
      <c r="R57" s="641" t="str">
        <f t="shared" si="9"/>
        <v/>
      </c>
      <c r="S57" s="514">
        <f>IF(L57="",0,(O57*12*L57*(1+tab!$D$55)*IF(I57&gt;8,tab!$F$57,tab!$F$59)))</f>
        <v>0</v>
      </c>
      <c r="T57" s="1131">
        <f t="shared" si="10"/>
        <v>0</v>
      </c>
      <c r="U57" s="219">
        <f t="shared" si="14"/>
        <v>0</v>
      </c>
      <c r="V57" s="1145">
        <f t="shared" si="11"/>
        <v>0</v>
      </c>
      <c r="W57" s="692"/>
      <c r="X57" s="91"/>
      <c r="AA57" s="552"/>
      <c r="AJ57" s="552"/>
    </row>
    <row r="58" spans="2:36" x14ac:dyDescent="0.2">
      <c r="B58" s="87"/>
      <c r="C58" s="108"/>
      <c r="D58" s="115" t="str">
        <f>IF(obp!D26="","",obp!D26)</f>
        <v/>
      </c>
      <c r="E58" s="115" t="str">
        <f>IF(obp!E26=0,"",obp!E26)</f>
        <v/>
      </c>
      <c r="F58" s="115" t="str">
        <f>IF(obp!F26=0,"",obp!F26)</f>
        <v/>
      </c>
      <c r="G58" s="132" t="str">
        <f>IF(obp!G26="","",obp!G26+1)</f>
        <v/>
      </c>
      <c r="H58" s="508" t="str">
        <f>IF(obp!H26="","",obp!H26)</f>
        <v/>
      </c>
      <c r="I58" s="132" t="str">
        <f>IF(obp!I26=0,"",obp!I26)</f>
        <v/>
      </c>
      <c r="J58" s="150" t="str">
        <f>IF(E58="","",(IF(obp!J26+1&gt;LOOKUP(I58,schaal2011,regels2011),obp!J26,obp!J26+1)))</f>
        <v/>
      </c>
      <c r="K58" s="509" t="str">
        <f>IF(obp!K26="","",obp!K26)</f>
        <v/>
      </c>
      <c r="L58" s="510" t="str">
        <f>IF(obp!L26="","",obp!L26)</f>
        <v/>
      </c>
      <c r="M58" s="511" t="str">
        <f t="shared" si="12"/>
        <v/>
      </c>
      <c r="N58" s="533"/>
      <c r="O58" s="513" t="str">
        <f>IF(I58="","",VLOOKUP(I58,tab!$A$68:$V$110,J58+2,FALSE))</f>
        <v/>
      </c>
      <c r="P58" s="514" t="str">
        <f t="shared" si="8"/>
        <v/>
      </c>
      <c r="Q58" s="1173">
        <f t="shared" si="13"/>
        <v>0.62</v>
      </c>
      <c r="R58" s="641" t="str">
        <f t="shared" si="9"/>
        <v/>
      </c>
      <c r="S58" s="514">
        <f>IF(L58="",0,(O58*12*L58*(1+tab!$D$55)*IF(I58&gt;8,tab!$F$57,tab!$F$59)))</f>
        <v>0</v>
      </c>
      <c r="T58" s="1131">
        <f t="shared" si="10"/>
        <v>0</v>
      </c>
      <c r="U58" s="219">
        <f t="shared" si="14"/>
        <v>0</v>
      </c>
      <c r="V58" s="1145">
        <f t="shared" si="11"/>
        <v>0</v>
      </c>
      <c r="W58" s="692"/>
      <c r="X58" s="91"/>
      <c r="AA58" s="552"/>
      <c r="AJ58" s="552"/>
    </row>
    <row r="59" spans="2:36" x14ac:dyDescent="0.2">
      <c r="B59" s="87"/>
      <c r="C59" s="108"/>
      <c r="D59" s="115" t="str">
        <f>IF(obp!D27="","",obp!D27)</f>
        <v/>
      </c>
      <c r="E59" s="115" t="str">
        <f>IF(obp!E27=0,"",obp!E27)</f>
        <v/>
      </c>
      <c r="F59" s="115" t="str">
        <f>IF(obp!F27=0,"",obp!F27)</f>
        <v/>
      </c>
      <c r="G59" s="132" t="str">
        <f>IF(obp!G27="","",obp!G27+1)</f>
        <v/>
      </c>
      <c r="H59" s="508" t="str">
        <f>IF(obp!H27="","",obp!H27)</f>
        <v/>
      </c>
      <c r="I59" s="132" t="str">
        <f>IF(obp!I27=0,"",obp!I27)</f>
        <v/>
      </c>
      <c r="J59" s="150" t="str">
        <f>IF(E59="","",(IF(obp!J27+1&gt;LOOKUP(I59,schaal2011,regels2011),obp!J27,obp!J27+1)))</f>
        <v/>
      </c>
      <c r="K59" s="509" t="str">
        <f>IF(obp!K27="","",obp!K27)</f>
        <v/>
      </c>
      <c r="L59" s="510" t="str">
        <f>IF(obp!L27="","",obp!L27)</f>
        <v/>
      </c>
      <c r="M59" s="511" t="str">
        <f t="shared" si="12"/>
        <v/>
      </c>
      <c r="N59" s="533"/>
      <c r="O59" s="513" t="str">
        <f>IF(I59="","",VLOOKUP(I59,tab!$A$68:$V$110,J59+2,FALSE))</f>
        <v/>
      </c>
      <c r="P59" s="514" t="str">
        <f t="shared" si="8"/>
        <v/>
      </c>
      <c r="Q59" s="1173">
        <f t="shared" si="13"/>
        <v>0.62</v>
      </c>
      <c r="R59" s="641" t="str">
        <f t="shared" si="9"/>
        <v/>
      </c>
      <c r="S59" s="514">
        <f>IF(L59="",0,(O59*12*L59*(1+tab!$D$55)*IF(I59&gt;8,tab!$F$57,tab!$F$59)))</f>
        <v>0</v>
      </c>
      <c r="T59" s="1131">
        <f t="shared" si="10"/>
        <v>0</v>
      </c>
      <c r="U59" s="219">
        <f t="shared" si="14"/>
        <v>0</v>
      </c>
      <c r="V59" s="1145">
        <f t="shared" si="11"/>
        <v>0</v>
      </c>
      <c r="W59" s="692"/>
      <c r="X59" s="91"/>
      <c r="AA59" s="552"/>
      <c r="AJ59" s="552"/>
    </row>
    <row r="60" spans="2:36" x14ac:dyDescent="0.2">
      <c r="B60" s="87"/>
      <c r="C60" s="108"/>
      <c r="D60" s="115" t="str">
        <f>IF(obp!D28="","",obp!D28)</f>
        <v/>
      </c>
      <c r="E60" s="115" t="str">
        <f>IF(obp!E28=0,"",obp!E28)</f>
        <v/>
      </c>
      <c r="F60" s="115" t="str">
        <f>IF(obp!F28=0,"",obp!F28)</f>
        <v/>
      </c>
      <c r="G60" s="132" t="str">
        <f>IF(obp!G28="","",obp!G28+1)</f>
        <v/>
      </c>
      <c r="H60" s="508" t="str">
        <f>IF(obp!H28="","",obp!H28)</f>
        <v/>
      </c>
      <c r="I60" s="132" t="str">
        <f>IF(obp!I28=0,"",obp!I28)</f>
        <v/>
      </c>
      <c r="J60" s="150" t="str">
        <f>IF(E60="","",(IF(obp!J28+1&gt;LOOKUP(I60,schaal2011,regels2011),obp!J28,obp!J28+1)))</f>
        <v/>
      </c>
      <c r="K60" s="509" t="str">
        <f>IF(obp!K28="","",obp!K28)</f>
        <v/>
      </c>
      <c r="L60" s="510" t="str">
        <f>IF(obp!L28="","",obp!L28)</f>
        <v/>
      </c>
      <c r="M60" s="511" t="str">
        <f t="shared" si="12"/>
        <v/>
      </c>
      <c r="N60" s="533"/>
      <c r="O60" s="513" t="str">
        <f>IF(I60="","",VLOOKUP(I60,tab!$A$68:$V$110,J60+2,FALSE))</f>
        <v/>
      </c>
      <c r="P60" s="514" t="str">
        <f t="shared" si="8"/>
        <v/>
      </c>
      <c r="Q60" s="1173">
        <f t="shared" si="13"/>
        <v>0.62</v>
      </c>
      <c r="R60" s="641" t="str">
        <f t="shared" si="9"/>
        <v/>
      </c>
      <c r="S60" s="514">
        <f>IF(L60="",0,(O60*12*L60*(1+tab!$D$55)*IF(I60&gt;8,tab!$F$57,tab!$F$59)))</f>
        <v>0</v>
      </c>
      <c r="T60" s="1131">
        <f t="shared" si="10"/>
        <v>0</v>
      </c>
      <c r="U60" s="219">
        <f t="shared" si="14"/>
        <v>0</v>
      </c>
      <c r="V60" s="1145">
        <f t="shared" si="11"/>
        <v>0</v>
      </c>
      <c r="W60" s="692"/>
      <c r="X60" s="91"/>
      <c r="AA60" s="552"/>
      <c r="AJ60" s="552"/>
    </row>
    <row r="61" spans="2:36" x14ac:dyDescent="0.2">
      <c r="B61" s="87"/>
      <c r="C61" s="108"/>
      <c r="D61" s="115" t="str">
        <f>IF(obp!D29="","",obp!D29)</f>
        <v/>
      </c>
      <c r="E61" s="115" t="str">
        <f>IF(obp!E29=0,"",obp!E29)</f>
        <v/>
      </c>
      <c r="F61" s="115" t="str">
        <f>IF(obp!F29=0,"",obp!F29)</f>
        <v/>
      </c>
      <c r="G61" s="132" t="str">
        <f>IF(obp!G29="","",obp!G29+1)</f>
        <v/>
      </c>
      <c r="H61" s="508" t="str">
        <f>IF(obp!H29="","",obp!H29)</f>
        <v/>
      </c>
      <c r="I61" s="132" t="str">
        <f>IF(obp!I29=0,"",obp!I29)</f>
        <v/>
      </c>
      <c r="J61" s="150" t="str">
        <f>IF(E61="","",(IF(obp!J29+1&gt;LOOKUP(I61,schaal2011,regels2011),obp!J29,obp!J29+1)))</f>
        <v/>
      </c>
      <c r="K61" s="509" t="str">
        <f>IF(obp!K29="","",obp!K29)</f>
        <v/>
      </c>
      <c r="L61" s="510" t="str">
        <f>IF(obp!L29="","",obp!L29)</f>
        <v/>
      </c>
      <c r="M61" s="511" t="str">
        <f t="shared" si="12"/>
        <v/>
      </c>
      <c r="N61" s="533"/>
      <c r="O61" s="513" t="str">
        <f>IF(I61="","",VLOOKUP(I61,tab!$A$68:$V$110,J61+2,FALSE))</f>
        <v/>
      </c>
      <c r="P61" s="514" t="str">
        <f t="shared" si="8"/>
        <v/>
      </c>
      <c r="Q61" s="1173">
        <f t="shared" si="13"/>
        <v>0.62</v>
      </c>
      <c r="R61" s="641" t="str">
        <f t="shared" si="9"/>
        <v/>
      </c>
      <c r="S61" s="514">
        <f>IF(L61="",0,(O61*12*L61*(1+tab!$D$55)*IF(I61&gt;8,tab!$F$57,tab!$F$59)))</f>
        <v>0</v>
      </c>
      <c r="T61" s="1131">
        <f t="shared" si="10"/>
        <v>0</v>
      </c>
      <c r="U61" s="219">
        <f t="shared" si="14"/>
        <v>0</v>
      </c>
      <c r="V61" s="1145">
        <f t="shared" si="11"/>
        <v>0</v>
      </c>
      <c r="W61" s="692"/>
      <c r="X61" s="91"/>
      <c r="AA61" s="552"/>
      <c r="AJ61" s="552"/>
    </row>
    <row r="62" spans="2:36" x14ac:dyDescent="0.2">
      <c r="B62" s="87"/>
      <c r="C62" s="108"/>
      <c r="D62" s="115" t="str">
        <f>IF(obp!D30="","",obp!D30)</f>
        <v/>
      </c>
      <c r="E62" s="115" t="str">
        <f>IF(obp!E30=0,"",obp!E30)</f>
        <v/>
      </c>
      <c r="F62" s="115" t="str">
        <f>IF(obp!F30=0,"",obp!F30)</f>
        <v/>
      </c>
      <c r="G62" s="132" t="str">
        <f>IF(obp!G30="","",obp!G30+1)</f>
        <v/>
      </c>
      <c r="H62" s="508" t="str">
        <f>IF(obp!H30="","",obp!H30)</f>
        <v/>
      </c>
      <c r="I62" s="132" t="str">
        <f>IF(obp!I30=0,"",obp!I30)</f>
        <v/>
      </c>
      <c r="J62" s="150" t="str">
        <f>IF(E62="","",(IF(obp!J30+1&gt;LOOKUP(I62,schaal2011,regels2011),obp!J30,obp!J30+1)))</f>
        <v/>
      </c>
      <c r="K62" s="509" t="str">
        <f>IF(obp!K30="","",obp!K30)</f>
        <v/>
      </c>
      <c r="L62" s="510" t="str">
        <f>IF(obp!L30="","",obp!L30)</f>
        <v/>
      </c>
      <c r="M62" s="511" t="str">
        <f t="shared" si="12"/>
        <v/>
      </c>
      <c r="N62" s="533"/>
      <c r="O62" s="513" t="str">
        <f>IF(I62="","",VLOOKUP(I62,tab!$A$68:$V$110,J62+2,FALSE))</f>
        <v/>
      </c>
      <c r="P62" s="514" t="str">
        <f t="shared" si="8"/>
        <v/>
      </c>
      <c r="Q62" s="1173">
        <f t="shared" si="13"/>
        <v>0.62</v>
      </c>
      <c r="R62" s="641" t="str">
        <f t="shared" si="9"/>
        <v/>
      </c>
      <c r="S62" s="514">
        <f>IF(L62="",0,(O62*12*L62*(1+tab!$D$55)*IF(I62&gt;8,tab!$F$57,tab!$F$59)))</f>
        <v>0</v>
      </c>
      <c r="T62" s="1131">
        <f t="shared" si="10"/>
        <v>0</v>
      </c>
      <c r="U62" s="219">
        <f t="shared" si="14"/>
        <v>0</v>
      </c>
      <c r="V62" s="1145">
        <f t="shared" si="11"/>
        <v>0</v>
      </c>
      <c r="W62" s="692"/>
      <c r="X62" s="91"/>
      <c r="AA62" s="552"/>
      <c r="AJ62" s="552"/>
    </row>
    <row r="63" spans="2:36" x14ac:dyDescent="0.2">
      <c r="B63" s="87"/>
      <c r="C63" s="108"/>
      <c r="D63" s="115" t="str">
        <f>IF(obp!D31="","",obp!D31)</f>
        <v/>
      </c>
      <c r="E63" s="115" t="str">
        <f>IF(obp!E31=0,"",obp!E31)</f>
        <v/>
      </c>
      <c r="F63" s="115" t="str">
        <f>IF(obp!F31=0,"",obp!F31)</f>
        <v/>
      </c>
      <c r="G63" s="132" t="str">
        <f>IF(obp!G31="","",obp!G31+1)</f>
        <v/>
      </c>
      <c r="H63" s="508" t="str">
        <f>IF(obp!H31="","",obp!H31)</f>
        <v/>
      </c>
      <c r="I63" s="132" t="str">
        <f>IF(obp!I31=0,"",obp!I31)</f>
        <v/>
      </c>
      <c r="J63" s="150" t="str">
        <f>IF(E63="","",(IF(obp!J31+1&gt;LOOKUP(I63,schaal2011,regels2011),obp!J31,obp!J31+1)))</f>
        <v/>
      </c>
      <c r="K63" s="509" t="str">
        <f>IF(obp!K31="","",obp!K31)</f>
        <v/>
      </c>
      <c r="L63" s="510" t="str">
        <f>IF(obp!L31="","",obp!L31)</f>
        <v/>
      </c>
      <c r="M63" s="511" t="str">
        <f t="shared" si="12"/>
        <v/>
      </c>
      <c r="N63" s="533"/>
      <c r="O63" s="513" t="str">
        <f>IF(I63="","",VLOOKUP(I63,tab!$A$68:$V$110,J63+2,FALSE))</f>
        <v/>
      </c>
      <c r="P63" s="514" t="str">
        <f t="shared" si="8"/>
        <v/>
      </c>
      <c r="Q63" s="1173">
        <f t="shared" si="13"/>
        <v>0.62</v>
      </c>
      <c r="R63" s="641" t="str">
        <f t="shared" si="9"/>
        <v/>
      </c>
      <c r="S63" s="514">
        <f>IF(L63="",0,(O63*12*L63*(1+tab!$D$55)*IF(I63&gt;8,tab!$F$57,tab!$F$59)))</f>
        <v>0</v>
      </c>
      <c r="T63" s="1131">
        <f t="shared" si="10"/>
        <v>0</v>
      </c>
      <c r="U63" s="219">
        <f t="shared" si="14"/>
        <v>0</v>
      </c>
      <c r="V63" s="1145">
        <f t="shared" si="11"/>
        <v>0</v>
      </c>
      <c r="W63" s="692"/>
      <c r="X63" s="91"/>
      <c r="AA63" s="552"/>
      <c r="AJ63" s="552"/>
    </row>
    <row r="64" spans="2:36" x14ac:dyDescent="0.2">
      <c r="B64" s="87"/>
      <c r="C64" s="108"/>
      <c r="D64" s="115" t="str">
        <f>IF(obp!D32="","",obp!D32)</f>
        <v/>
      </c>
      <c r="E64" s="115" t="str">
        <f>IF(obp!E32=0,"",obp!E32)</f>
        <v/>
      </c>
      <c r="F64" s="115" t="str">
        <f>IF(obp!F32=0,"",obp!F32)</f>
        <v/>
      </c>
      <c r="G64" s="132" t="str">
        <f>IF(obp!G32="","",obp!G32+1)</f>
        <v/>
      </c>
      <c r="H64" s="508" t="str">
        <f>IF(obp!H32="","",obp!H32)</f>
        <v/>
      </c>
      <c r="I64" s="132" t="str">
        <f>IF(obp!I32=0,"",obp!I32)</f>
        <v/>
      </c>
      <c r="J64" s="150" t="str">
        <f>IF(E64="","",(IF(obp!J32+1&gt;LOOKUP(I64,schaal2011,regels2011),obp!J32,obp!J32+1)))</f>
        <v/>
      </c>
      <c r="K64" s="509" t="str">
        <f>IF(obp!K32="","",obp!K32)</f>
        <v/>
      </c>
      <c r="L64" s="510" t="str">
        <f>IF(obp!L32="","",obp!L32)</f>
        <v/>
      </c>
      <c r="M64" s="511" t="str">
        <f t="shared" si="12"/>
        <v/>
      </c>
      <c r="N64" s="533"/>
      <c r="O64" s="513" t="str">
        <f>IF(I64="","",VLOOKUP(I64,tab!$A$68:$V$110,J64+2,FALSE))</f>
        <v/>
      </c>
      <c r="P64" s="514" t="str">
        <f t="shared" si="8"/>
        <v/>
      </c>
      <c r="Q64" s="1173">
        <f t="shared" si="13"/>
        <v>0.62</v>
      </c>
      <c r="R64" s="641" t="str">
        <f t="shared" si="9"/>
        <v/>
      </c>
      <c r="S64" s="514">
        <f>IF(L64="",0,(O64*12*L64*(1+tab!$D$55)*IF(I64&gt;8,tab!$F$57,tab!$F$59)))</f>
        <v>0</v>
      </c>
      <c r="T64" s="1131">
        <f t="shared" si="10"/>
        <v>0</v>
      </c>
      <c r="U64" s="219">
        <f t="shared" si="14"/>
        <v>0</v>
      </c>
      <c r="V64" s="1145">
        <f t="shared" si="11"/>
        <v>0</v>
      </c>
      <c r="W64" s="692"/>
      <c r="X64" s="91"/>
      <c r="AA64" s="552"/>
      <c r="AJ64" s="552"/>
    </row>
    <row r="65" spans="2:41" x14ac:dyDescent="0.2">
      <c r="B65" s="87"/>
      <c r="C65" s="108"/>
      <c r="D65" s="115" t="str">
        <f>IF(obp!D33="","",obp!D33)</f>
        <v/>
      </c>
      <c r="E65" s="115" t="str">
        <f>IF(obp!E33=0,"",obp!E33)</f>
        <v/>
      </c>
      <c r="F65" s="115" t="str">
        <f>IF(obp!F33=0,"",obp!F33)</f>
        <v/>
      </c>
      <c r="G65" s="132" t="str">
        <f>IF(obp!G33="","",obp!G33+1)</f>
        <v/>
      </c>
      <c r="H65" s="508" t="str">
        <f>IF(obp!H33="","",obp!H33)</f>
        <v/>
      </c>
      <c r="I65" s="132" t="str">
        <f>IF(obp!I33=0,"",obp!I33)</f>
        <v/>
      </c>
      <c r="J65" s="150" t="str">
        <f>IF(E65="","",(IF(obp!J33+1&gt;LOOKUP(I65,schaal2011,regels2011),obp!J33,obp!J33+1)))</f>
        <v/>
      </c>
      <c r="K65" s="509" t="str">
        <f>IF(obp!K33="","",obp!K33)</f>
        <v/>
      </c>
      <c r="L65" s="510" t="str">
        <f>IF(obp!L33="","",obp!L33)</f>
        <v/>
      </c>
      <c r="M65" s="511" t="str">
        <f t="shared" si="12"/>
        <v/>
      </c>
      <c r="N65" s="533"/>
      <c r="O65" s="513" t="str">
        <f>IF(I65="","",VLOOKUP(I65,tab!$A$68:$V$110,J65+2,FALSE))</f>
        <v/>
      </c>
      <c r="P65" s="514" t="str">
        <f t="shared" si="8"/>
        <v/>
      </c>
      <c r="Q65" s="1173">
        <f t="shared" si="13"/>
        <v>0.62</v>
      </c>
      <c r="R65" s="641" t="str">
        <f t="shared" si="9"/>
        <v/>
      </c>
      <c r="S65" s="514">
        <f>IF(L65="",0,(O65*12*L65*(1+tab!$D$55)*IF(I65&gt;8,tab!$F$57,tab!$F$59)))</f>
        <v>0</v>
      </c>
      <c r="T65" s="1131">
        <f t="shared" si="10"/>
        <v>0</v>
      </c>
      <c r="U65" s="219">
        <f t="shared" si="14"/>
        <v>0</v>
      </c>
      <c r="V65" s="1145">
        <f t="shared" si="11"/>
        <v>0</v>
      </c>
      <c r="W65" s="692"/>
      <c r="X65" s="91"/>
      <c r="AA65" s="552"/>
      <c r="AJ65" s="552"/>
    </row>
    <row r="66" spans="2:41" x14ac:dyDescent="0.2">
      <c r="B66" s="87"/>
      <c r="C66" s="108"/>
      <c r="D66" s="115" t="str">
        <f>IF(obp!D34="","",obp!D34)</f>
        <v/>
      </c>
      <c r="E66" s="115" t="str">
        <f>IF(obp!E34=0,"",obp!E34)</f>
        <v/>
      </c>
      <c r="F66" s="115" t="str">
        <f>IF(obp!F34=0,"",obp!F34)</f>
        <v/>
      </c>
      <c r="G66" s="132" t="str">
        <f>IF(obp!G34="","",obp!G34+1)</f>
        <v/>
      </c>
      <c r="H66" s="508" t="str">
        <f>IF(obp!H34="","",obp!H34)</f>
        <v/>
      </c>
      <c r="I66" s="132" t="str">
        <f>IF(obp!I34=0,"",obp!I34)</f>
        <v/>
      </c>
      <c r="J66" s="150" t="str">
        <f>IF(E66="","",(IF(obp!J34+1&gt;LOOKUP(I66,schaal2011,regels2011),obp!J34,obp!J34+1)))</f>
        <v/>
      </c>
      <c r="K66" s="509" t="str">
        <f>IF(obp!K34="","",obp!K34)</f>
        <v/>
      </c>
      <c r="L66" s="510" t="str">
        <f>IF(obp!L34="","",obp!L34)</f>
        <v/>
      </c>
      <c r="M66" s="511" t="str">
        <f t="shared" si="12"/>
        <v/>
      </c>
      <c r="N66" s="533"/>
      <c r="O66" s="513" t="str">
        <f>IF(I66="","",VLOOKUP(I66,tab!$A$68:$V$110,J66+2,FALSE))</f>
        <v/>
      </c>
      <c r="P66" s="514" t="str">
        <f t="shared" si="8"/>
        <v/>
      </c>
      <c r="Q66" s="1173">
        <f t="shared" si="13"/>
        <v>0.62</v>
      </c>
      <c r="R66" s="641" t="str">
        <f t="shared" si="9"/>
        <v/>
      </c>
      <c r="S66" s="514">
        <f>IF(L66="",0,(O66*12*L66*(1+tab!$D$55)*IF(I66&gt;8,tab!$F$57,tab!$F$59)))</f>
        <v>0</v>
      </c>
      <c r="T66" s="1131">
        <f t="shared" si="10"/>
        <v>0</v>
      </c>
      <c r="U66" s="219">
        <f t="shared" si="14"/>
        <v>0</v>
      </c>
      <c r="V66" s="1145">
        <f t="shared" si="11"/>
        <v>0</v>
      </c>
      <c r="W66" s="692"/>
      <c r="X66" s="91"/>
      <c r="AA66" s="552"/>
      <c r="AJ66" s="552"/>
    </row>
    <row r="67" spans="2:41" x14ac:dyDescent="0.2">
      <c r="B67" s="87"/>
      <c r="C67" s="108"/>
      <c r="D67" s="115" t="str">
        <f>IF(obp!D35="","",obp!D35)</f>
        <v/>
      </c>
      <c r="E67" s="115" t="str">
        <f>IF(obp!E35=0,"",obp!E35)</f>
        <v/>
      </c>
      <c r="F67" s="115" t="str">
        <f>IF(obp!F35=0,"",obp!F35)</f>
        <v/>
      </c>
      <c r="G67" s="132" t="str">
        <f>IF(obp!G35="","",obp!G35+1)</f>
        <v/>
      </c>
      <c r="H67" s="508" t="str">
        <f>IF(obp!H35="","",obp!H35)</f>
        <v/>
      </c>
      <c r="I67" s="132" t="str">
        <f>IF(obp!I35=0,"",obp!I35)</f>
        <v/>
      </c>
      <c r="J67" s="150" t="str">
        <f>IF(E67="","",(IF(obp!J35+1&gt;LOOKUP(I67,schaal2011,regels2011),obp!J35,obp!J35+1)))</f>
        <v/>
      </c>
      <c r="K67" s="509" t="str">
        <f>IF(obp!K35="","",obp!K35)</f>
        <v/>
      </c>
      <c r="L67" s="510" t="str">
        <f>IF(obp!L35="","",obp!L35)</f>
        <v/>
      </c>
      <c r="M67" s="511" t="str">
        <f t="shared" si="12"/>
        <v/>
      </c>
      <c r="N67" s="533"/>
      <c r="O67" s="513" t="str">
        <f>IF(I67="","",VLOOKUP(I67,tab!$A$68:$V$110,J67+2,FALSE))</f>
        <v/>
      </c>
      <c r="P67" s="514" t="str">
        <f t="shared" si="8"/>
        <v/>
      </c>
      <c r="Q67" s="1173">
        <f>$Q$46</f>
        <v>0.62</v>
      </c>
      <c r="R67" s="641" t="str">
        <f>IF(E67="","",(P67)*Q67)</f>
        <v/>
      </c>
      <c r="S67" s="514">
        <f>IF(L67="",0,(O67*12*L67*(1+tab!$D$55)*IF(I67&gt;8,tab!$F$57,tab!$F$59)))</f>
        <v>0</v>
      </c>
      <c r="T67" s="1131">
        <f t="shared" si="10"/>
        <v>0</v>
      </c>
      <c r="U67" s="219">
        <f t="shared" si="14"/>
        <v>0</v>
      </c>
      <c r="V67" s="1145">
        <f t="shared" si="11"/>
        <v>0</v>
      </c>
      <c r="W67" s="692"/>
      <c r="X67" s="91"/>
      <c r="AA67" s="552"/>
      <c r="AJ67" s="552"/>
    </row>
    <row r="68" spans="2:41" x14ac:dyDescent="0.2">
      <c r="B68" s="87"/>
      <c r="C68" s="108"/>
      <c r="D68" s="134"/>
      <c r="E68" s="134"/>
      <c r="F68" s="134"/>
      <c r="G68" s="149"/>
      <c r="H68" s="524"/>
      <c r="I68" s="149"/>
      <c r="J68" s="693"/>
      <c r="K68" s="525">
        <f>SUM(K48:K67)</f>
        <v>1</v>
      </c>
      <c r="L68" s="525">
        <f>SUM(L48:L67)</f>
        <v>0</v>
      </c>
      <c r="M68" s="525">
        <f>SUM(M48:M67)</f>
        <v>1</v>
      </c>
      <c r="N68" s="512"/>
      <c r="O68" s="526">
        <f t="shared" ref="O68:V68" si="15">SUM(O48:O67)</f>
        <v>6314</v>
      </c>
      <c r="P68" s="526">
        <f t="shared" si="15"/>
        <v>75768</v>
      </c>
      <c r="Q68" s="694"/>
      <c r="R68" s="526">
        <f t="shared" si="15"/>
        <v>46976.159999999996</v>
      </c>
      <c r="S68" s="526">
        <f t="shared" si="15"/>
        <v>0</v>
      </c>
      <c r="T68" s="526">
        <f t="shared" si="15"/>
        <v>122744.16</v>
      </c>
      <c r="U68" s="695">
        <f t="shared" si="15"/>
        <v>0</v>
      </c>
      <c r="V68" s="1146">
        <f t="shared" si="15"/>
        <v>0</v>
      </c>
      <c r="W68" s="167"/>
      <c r="X68" s="91"/>
    </row>
    <row r="69" spans="2:41" x14ac:dyDescent="0.2">
      <c r="B69" s="87"/>
      <c r="C69" s="116"/>
      <c r="D69" s="168"/>
      <c r="E69" s="168"/>
      <c r="F69" s="168"/>
      <c r="G69" s="235"/>
      <c r="H69" s="532"/>
      <c r="I69" s="235"/>
      <c r="J69" s="533"/>
      <c r="K69" s="534"/>
      <c r="L69" s="533"/>
      <c r="M69" s="534"/>
      <c r="N69" s="533"/>
      <c r="O69" s="533"/>
      <c r="P69" s="527"/>
      <c r="Q69" s="650"/>
      <c r="R69" s="696"/>
      <c r="S69" s="527"/>
      <c r="T69" s="527"/>
      <c r="U69" s="697"/>
      <c r="V69" s="1147"/>
      <c r="W69" s="698"/>
      <c r="X69" s="91"/>
    </row>
    <row r="70" spans="2:41" ht="12.75" customHeight="1" x14ac:dyDescent="0.2">
      <c r="B70" s="199"/>
      <c r="C70" s="200"/>
      <c r="D70" s="554"/>
      <c r="E70" s="554"/>
      <c r="F70" s="554"/>
      <c r="G70" s="555"/>
      <c r="H70" s="556"/>
      <c r="I70" s="555"/>
      <c r="J70" s="557"/>
      <c r="K70" s="558"/>
      <c r="L70" s="559"/>
      <c r="M70" s="559"/>
      <c r="N70" s="200"/>
      <c r="O70" s="560"/>
      <c r="P70" s="561"/>
      <c r="Q70" s="656"/>
      <c r="R70" s="707"/>
      <c r="S70" s="561"/>
      <c r="T70" s="1132"/>
      <c r="U70" s="562"/>
      <c r="V70" s="1149"/>
      <c r="W70" s="200"/>
      <c r="X70" s="201"/>
    </row>
    <row r="71" spans="2:41" ht="12.75" customHeight="1" x14ac:dyDescent="0.2">
      <c r="I71" s="202"/>
      <c r="K71" s="517"/>
      <c r="L71" s="366"/>
      <c r="M71" s="366"/>
      <c r="O71" s="564"/>
      <c r="P71" s="506"/>
      <c r="Q71" s="708"/>
      <c r="R71" s="709"/>
      <c r="S71" s="506"/>
      <c r="T71" s="1133"/>
      <c r="U71" s="370"/>
      <c r="V71" s="1150"/>
    </row>
    <row r="72" spans="2:41" ht="12.75" customHeight="1" x14ac:dyDescent="0.2">
      <c r="I72" s="202"/>
      <c r="K72" s="517"/>
      <c r="L72" s="366"/>
      <c r="M72" s="366"/>
      <c r="O72" s="564"/>
      <c r="P72" s="506"/>
      <c r="Q72" s="708"/>
      <c r="R72" s="709"/>
      <c r="S72" s="506"/>
      <c r="T72" s="1133"/>
      <c r="U72" s="370"/>
      <c r="V72" s="1150"/>
    </row>
    <row r="73" spans="2:41" ht="12.75" customHeight="1" x14ac:dyDescent="0.2">
      <c r="C73" s="86" t="s">
        <v>290</v>
      </c>
      <c r="E73" s="567" t="str">
        <f>dir!E53</f>
        <v>2015/16</v>
      </c>
      <c r="I73" s="202"/>
      <c r="K73" s="517"/>
      <c r="L73" s="366"/>
      <c r="M73" s="366"/>
      <c r="O73" s="564"/>
      <c r="P73" s="506"/>
      <c r="Q73" s="708"/>
      <c r="R73" s="709"/>
      <c r="S73" s="506"/>
      <c r="T73" s="1133"/>
      <c r="U73" s="370"/>
      <c r="V73" s="1150"/>
    </row>
    <row r="74" spans="2:41" ht="12.75" customHeight="1" x14ac:dyDescent="0.2">
      <c r="C74" s="86" t="s">
        <v>314</v>
      </c>
      <c r="E74" s="567">
        <f>dir!E54</f>
        <v>42278</v>
      </c>
      <c r="I74" s="202"/>
      <c r="K74" s="517"/>
      <c r="L74" s="366"/>
      <c r="M74" s="366"/>
      <c r="O74" s="564"/>
      <c r="P74" s="506"/>
      <c r="Q74" s="708"/>
      <c r="R74" s="709"/>
      <c r="S74" s="506"/>
      <c r="T74" s="1133"/>
      <c r="U74" s="370"/>
      <c r="V74" s="1150"/>
    </row>
    <row r="75" spans="2:41" ht="12.75" customHeight="1" x14ac:dyDescent="0.2">
      <c r="I75" s="202"/>
      <c r="K75" s="517"/>
      <c r="L75" s="366"/>
      <c r="M75" s="366"/>
      <c r="O75" s="564"/>
      <c r="P75" s="506"/>
      <c r="Q75" s="708"/>
      <c r="R75" s="709"/>
      <c r="S75" s="506"/>
      <c r="T75" s="1133"/>
      <c r="U75" s="370"/>
      <c r="V75" s="1150"/>
    </row>
    <row r="76" spans="2:41" ht="12.75" customHeight="1" x14ac:dyDescent="0.2">
      <c r="C76" s="104"/>
      <c r="D76" s="155"/>
      <c r="E76" s="460"/>
      <c r="F76" s="155"/>
      <c r="G76" s="210"/>
      <c r="H76" s="461"/>
      <c r="I76" s="462"/>
      <c r="J76" s="462"/>
      <c r="K76" s="463"/>
      <c r="L76" s="462"/>
      <c r="M76" s="464"/>
      <c r="N76" s="105"/>
      <c r="O76" s="465"/>
      <c r="P76" s="105"/>
      <c r="Q76" s="210"/>
      <c r="R76" s="689"/>
      <c r="S76" s="105"/>
      <c r="T76" s="1129"/>
      <c r="U76" s="690"/>
      <c r="V76" s="1144"/>
      <c r="W76" s="186"/>
      <c r="AC76" s="433"/>
      <c r="AD76" s="371"/>
      <c r="AE76" s="433"/>
      <c r="AF76" s="433"/>
      <c r="AG76" s="433"/>
      <c r="AH76" s="433"/>
      <c r="AI76" s="366"/>
      <c r="AJ76" s="365"/>
      <c r="AK76" s="367"/>
      <c r="AL76" s="434"/>
      <c r="AM76" s="366"/>
    </row>
    <row r="77" spans="2:41" ht="12.75" customHeight="1" x14ac:dyDescent="0.2">
      <c r="C77" s="214"/>
      <c r="D77" s="1277" t="s">
        <v>458</v>
      </c>
      <c r="E77" s="1278"/>
      <c r="F77" s="1278"/>
      <c r="G77" s="1278"/>
      <c r="H77" s="1278"/>
      <c r="I77" s="1279"/>
      <c r="J77" s="1279"/>
      <c r="K77" s="1279"/>
      <c r="L77" s="1279"/>
      <c r="M77" s="1279"/>
      <c r="N77" s="472"/>
      <c r="O77" s="1277" t="s">
        <v>298</v>
      </c>
      <c r="P77" s="1279"/>
      <c r="Q77" s="1279"/>
      <c r="R77" s="1279"/>
      <c r="S77" s="1279"/>
      <c r="T77" s="1279"/>
      <c r="U77" s="473"/>
      <c r="V77" s="216"/>
      <c r="W77" s="474"/>
      <c r="X77" s="701"/>
      <c r="Y77" s="701"/>
      <c r="Z77" s="366"/>
      <c r="AA77" s="702"/>
      <c r="AB77" s="366"/>
      <c r="AC77" s="86"/>
      <c r="AD77" s="86"/>
      <c r="AL77" s="86"/>
      <c r="AM77" s="86"/>
      <c r="AN77" s="701"/>
      <c r="AO77" s="701"/>
    </row>
    <row r="78" spans="2:41" ht="12.75" customHeight="1" x14ac:dyDescent="0.2">
      <c r="C78" s="214"/>
      <c r="D78" s="165" t="s">
        <v>152</v>
      </c>
      <c r="E78" s="165" t="s">
        <v>296</v>
      </c>
      <c r="F78" s="165" t="s">
        <v>275</v>
      </c>
      <c r="G78" s="480" t="s">
        <v>235</v>
      </c>
      <c r="H78" s="481" t="s">
        <v>439</v>
      </c>
      <c r="I78" s="480" t="s">
        <v>333</v>
      </c>
      <c r="J78" s="480" t="s">
        <v>368</v>
      </c>
      <c r="K78" s="482" t="s">
        <v>238</v>
      </c>
      <c r="L78" s="483" t="s">
        <v>334</v>
      </c>
      <c r="M78" s="482" t="s">
        <v>238</v>
      </c>
      <c r="N78" s="259"/>
      <c r="O78" s="584" t="s">
        <v>502</v>
      </c>
      <c r="P78" s="484" t="s">
        <v>638</v>
      </c>
      <c r="Q78" s="584" t="s">
        <v>0</v>
      </c>
      <c r="R78" s="485"/>
      <c r="S78" s="487" t="s">
        <v>334</v>
      </c>
      <c r="T78" s="1130" t="s">
        <v>313</v>
      </c>
      <c r="U78" s="486" t="s">
        <v>467</v>
      </c>
      <c r="V78" s="216" t="s">
        <v>668</v>
      </c>
      <c r="W78" s="488"/>
      <c r="X78" s="704"/>
      <c r="Y78" s="704"/>
      <c r="Z78" s="705"/>
      <c r="AA78" s="706"/>
      <c r="AB78" s="705"/>
      <c r="AC78" s="86"/>
      <c r="AD78" s="86"/>
      <c r="AL78" s="86"/>
      <c r="AM78" s="86"/>
      <c r="AN78" s="701"/>
      <c r="AO78" s="704"/>
    </row>
    <row r="79" spans="2:41" ht="12.75" customHeight="1" x14ac:dyDescent="0.2">
      <c r="C79" s="214"/>
      <c r="D79" s="633"/>
      <c r="E79" s="165"/>
      <c r="F79" s="494"/>
      <c r="G79" s="480" t="s">
        <v>236</v>
      </c>
      <c r="H79" s="481" t="s">
        <v>440</v>
      </c>
      <c r="I79" s="480"/>
      <c r="J79" s="480"/>
      <c r="K79" s="482" t="s">
        <v>753</v>
      </c>
      <c r="L79" s="483"/>
      <c r="M79" s="482" t="s">
        <v>337</v>
      </c>
      <c r="N79" s="259"/>
      <c r="O79" s="584" t="s">
        <v>321</v>
      </c>
      <c r="P79" s="484" t="s">
        <v>636</v>
      </c>
      <c r="Q79" s="1176">
        <f>tab!$E$55</f>
        <v>0.62</v>
      </c>
      <c r="R79" s="485" t="s">
        <v>1</v>
      </c>
      <c r="S79" s="487" t="s">
        <v>367</v>
      </c>
      <c r="T79" s="1130" t="s">
        <v>434</v>
      </c>
      <c r="U79" s="486"/>
      <c r="V79" s="487" t="s">
        <v>367</v>
      </c>
      <c r="W79" s="331"/>
      <c r="AC79" s="86"/>
      <c r="AD79" s="86"/>
      <c r="AL79" s="86"/>
      <c r="AM79" s="86"/>
      <c r="AO79" s="506"/>
    </row>
    <row r="80" spans="2:41" ht="12.75" customHeight="1" x14ac:dyDescent="0.2">
      <c r="C80" s="108"/>
      <c r="D80" s="109"/>
      <c r="E80" s="109"/>
      <c r="F80" s="109"/>
      <c r="G80" s="113"/>
      <c r="H80" s="499"/>
      <c r="I80" s="500"/>
      <c r="J80" s="500"/>
      <c r="K80" s="501"/>
      <c r="L80" s="498"/>
      <c r="M80" s="501"/>
      <c r="N80" s="505"/>
      <c r="O80" s="502"/>
      <c r="P80" s="503"/>
      <c r="Q80" s="503"/>
      <c r="R80" s="691"/>
      <c r="S80" s="503"/>
      <c r="T80" s="694"/>
      <c r="U80" s="138"/>
      <c r="V80" s="504"/>
      <c r="W80" s="640"/>
      <c r="AC80" s="86"/>
      <c r="AD80" s="86"/>
      <c r="AL80" s="86"/>
      <c r="AM80" s="86"/>
      <c r="AO80" s="506"/>
    </row>
    <row r="81" spans="3:36" ht="12.75" customHeight="1" x14ac:dyDescent="0.2">
      <c r="C81" s="108"/>
      <c r="D81" s="115" t="str">
        <f>IF(obp!D48="","",obp!D48)</f>
        <v/>
      </c>
      <c r="E81" s="115" t="str">
        <f>IF(obp!E48=0,"",obp!E48)</f>
        <v>piet</v>
      </c>
      <c r="F81" s="115" t="str">
        <f>IF(obp!F48=0,"",obp!F48)</f>
        <v/>
      </c>
      <c r="G81" s="132" t="str">
        <f>IF(obp!G48="","",obp!G48+1)</f>
        <v/>
      </c>
      <c r="H81" s="508" t="str">
        <f>IF(obp!H48="","",obp!H48)</f>
        <v/>
      </c>
      <c r="I81" s="132">
        <f>IF(obp!I48=0,"",obp!I48)</f>
        <v>15</v>
      </c>
      <c r="J81" s="150">
        <f>IF(E81="","",(IF(obp!J48+1&gt;LOOKUP(I81,schaal2011,regels2011),obp!J48,obp!J48+1)))</f>
        <v>12</v>
      </c>
      <c r="K81" s="509">
        <f>IF(obp!K48="","",obp!K48)</f>
        <v>1</v>
      </c>
      <c r="L81" s="510" t="str">
        <f>IF(obp!L48="","",obp!L48)</f>
        <v/>
      </c>
      <c r="M81" s="511">
        <f t="shared" ref="M81:M100" si="16">(IF(L81="",(K81),(K81)-L81))</f>
        <v>1</v>
      </c>
      <c r="N81" s="533"/>
      <c r="O81" s="513">
        <f>IF(I81="","",VLOOKUP(I81,tab!$A$68:$V$110,J81+2,FALSE))</f>
        <v>6314</v>
      </c>
      <c r="P81" s="514">
        <f t="shared" ref="P81:P100" si="17">IF(E81="","",(O81*M81*12))</f>
        <v>75768</v>
      </c>
      <c r="Q81" s="1173">
        <f>$Q$79</f>
        <v>0.62</v>
      </c>
      <c r="R81" s="641">
        <f>IF(E81="","",(P81)*Q81)</f>
        <v>46976.159999999996</v>
      </c>
      <c r="S81" s="514">
        <f>IF(L81="",0,(O81*12*L81*(1+tab!$D$55)*IF(I81&gt;8,tab!$F$57,tab!$F$59)))</f>
        <v>0</v>
      </c>
      <c r="T81" s="1131">
        <f t="shared" ref="T81:T100" si="18">IF(E81="",0,(P81+R81+S81))</f>
        <v>122744.16</v>
      </c>
      <c r="U81" s="219">
        <f t="shared" ref="U81:U100" si="19">IF(G81&lt;25,0,IF(G81=25,25,IF(G81&lt;40,0,IF(G81=40,40,IF(G81&gt;=40,0)))))</f>
        <v>0</v>
      </c>
      <c r="V81" s="1145">
        <f t="shared" ref="V81:V100" si="20">IF(U81=25,(O81*1.08*(K81)/2),IF(U81=40,(O81*1.08*(K81)),IF(U81=0,0)))</f>
        <v>0</v>
      </c>
      <c r="W81" s="692"/>
      <c r="AA81" s="552"/>
      <c r="AJ81" s="552"/>
    </row>
    <row r="82" spans="3:36" ht="12.75" customHeight="1" x14ac:dyDescent="0.2">
      <c r="C82" s="108"/>
      <c r="D82" s="115" t="str">
        <f>IF(obp!D49="","",obp!D49)</f>
        <v/>
      </c>
      <c r="E82" s="115" t="str">
        <f>IF(obp!E49=0,"",obp!E49)</f>
        <v/>
      </c>
      <c r="F82" s="115" t="str">
        <f>IF(obp!F49=0,"",obp!F49)</f>
        <v/>
      </c>
      <c r="G82" s="132" t="str">
        <f>IF(obp!G49="","",obp!G49+1)</f>
        <v/>
      </c>
      <c r="H82" s="508" t="str">
        <f>IF(obp!H49="","",obp!H49)</f>
        <v/>
      </c>
      <c r="I82" s="132" t="str">
        <f>IF(obp!I49=0,"",obp!I49)</f>
        <v/>
      </c>
      <c r="J82" s="150" t="str">
        <f>IF(E82="","",(IF(obp!J49+1&gt;LOOKUP(I82,schaal2011,regels2011),obp!J49,obp!J49+1)))</f>
        <v/>
      </c>
      <c r="K82" s="509" t="str">
        <f>IF(obp!K49="","",obp!K49)</f>
        <v/>
      </c>
      <c r="L82" s="510" t="str">
        <f>IF(obp!L49="","",obp!L49)</f>
        <v/>
      </c>
      <c r="M82" s="511" t="str">
        <f t="shared" si="16"/>
        <v/>
      </c>
      <c r="N82" s="533"/>
      <c r="O82" s="513" t="str">
        <f>IF(I82="","",VLOOKUP(I82,tab!$A$68:$V$110,J82+2,FALSE))</f>
        <v/>
      </c>
      <c r="P82" s="514" t="str">
        <f t="shared" si="17"/>
        <v/>
      </c>
      <c r="Q82" s="1173">
        <f t="shared" ref="Q82:Q100" si="21">$Q$79</f>
        <v>0.62</v>
      </c>
      <c r="R82" s="641" t="str">
        <f t="shared" ref="R82:R100" si="22">IF(E82="","",(P82)*Q82)</f>
        <v/>
      </c>
      <c r="S82" s="514">
        <f>IF(L82="",0,(O82*12*L82*(1+tab!$D$55)*IF(I82&gt;8,tab!$F$57,tab!$F$59)))</f>
        <v>0</v>
      </c>
      <c r="T82" s="1131">
        <f t="shared" si="18"/>
        <v>0</v>
      </c>
      <c r="U82" s="219">
        <f t="shared" si="19"/>
        <v>0</v>
      </c>
      <c r="V82" s="1145">
        <f t="shared" si="20"/>
        <v>0</v>
      </c>
      <c r="W82" s="692"/>
      <c r="AA82" s="552"/>
      <c r="AJ82" s="552"/>
    </row>
    <row r="83" spans="3:36" ht="12.75" customHeight="1" x14ac:dyDescent="0.2">
      <c r="C83" s="108"/>
      <c r="D83" s="115" t="str">
        <f>IF(obp!D50="","",obp!D50)</f>
        <v/>
      </c>
      <c r="E83" s="115" t="str">
        <f>IF(obp!E50=0,"",obp!E50)</f>
        <v/>
      </c>
      <c r="F83" s="115" t="str">
        <f>IF(obp!F50=0,"",obp!F50)</f>
        <v/>
      </c>
      <c r="G83" s="132" t="str">
        <f>IF(obp!G50="","",obp!G50+1)</f>
        <v/>
      </c>
      <c r="H83" s="508" t="str">
        <f>IF(obp!H50="","",obp!H50)</f>
        <v/>
      </c>
      <c r="I83" s="132" t="str">
        <f>IF(obp!I50=0,"",obp!I50)</f>
        <v/>
      </c>
      <c r="J83" s="150" t="str">
        <f>IF(E83="","",(IF(obp!J50+1&gt;LOOKUP(I83,schaal2011,regels2011),obp!J50,obp!J50+1)))</f>
        <v/>
      </c>
      <c r="K83" s="509" t="str">
        <f>IF(obp!K50="","",obp!K50)</f>
        <v/>
      </c>
      <c r="L83" s="510" t="str">
        <f>IF(obp!L50="","",obp!L50)</f>
        <v/>
      </c>
      <c r="M83" s="511" t="str">
        <f t="shared" si="16"/>
        <v/>
      </c>
      <c r="N83" s="533"/>
      <c r="O83" s="513" t="str">
        <f>IF(I83="","",VLOOKUP(I83,tab!$A$68:$V$110,J83+2,FALSE))</f>
        <v/>
      </c>
      <c r="P83" s="514" t="str">
        <f t="shared" si="17"/>
        <v/>
      </c>
      <c r="Q83" s="1173">
        <f t="shared" si="21"/>
        <v>0.62</v>
      </c>
      <c r="R83" s="641" t="str">
        <f t="shared" si="22"/>
        <v/>
      </c>
      <c r="S83" s="514">
        <f>IF(L83="",0,(O83*12*L83*(1+tab!$D$55)*IF(I83&gt;8,tab!$F$57,tab!$F$59)))</f>
        <v>0</v>
      </c>
      <c r="T83" s="1131">
        <f t="shared" si="18"/>
        <v>0</v>
      </c>
      <c r="U83" s="219">
        <f t="shared" si="19"/>
        <v>0</v>
      </c>
      <c r="V83" s="1145">
        <f t="shared" si="20"/>
        <v>0</v>
      </c>
      <c r="W83" s="692"/>
      <c r="AA83" s="552"/>
      <c r="AJ83" s="552"/>
    </row>
    <row r="84" spans="3:36" ht="12.75" customHeight="1" x14ac:dyDescent="0.2">
      <c r="C84" s="108"/>
      <c r="D84" s="115" t="str">
        <f>IF(obp!D51="","",obp!D51)</f>
        <v/>
      </c>
      <c r="E84" s="115" t="str">
        <f>IF(obp!E51=0,"",obp!E51)</f>
        <v/>
      </c>
      <c r="F84" s="115" t="str">
        <f>IF(obp!F51=0,"",obp!F51)</f>
        <v/>
      </c>
      <c r="G84" s="132" t="str">
        <f>IF(obp!G51="","",obp!G51+1)</f>
        <v/>
      </c>
      <c r="H84" s="508" t="str">
        <f>IF(obp!H51="","",obp!H51)</f>
        <v/>
      </c>
      <c r="I84" s="132" t="str">
        <f>IF(obp!I51=0,"",obp!I51)</f>
        <v/>
      </c>
      <c r="J84" s="150" t="str">
        <f>IF(E84="","",(IF(obp!J51+1&gt;LOOKUP(I84,schaal2011,regels2011),obp!J51,obp!J51+1)))</f>
        <v/>
      </c>
      <c r="K84" s="509" t="str">
        <f>IF(obp!K51="","",obp!K51)</f>
        <v/>
      </c>
      <c r="L84" s="510" t="str">
        <f>IF(obp!L51="","",obp!L51)</f>
        <v/>
      </c>
      <c r="M84" s="511" t="str">
        <f t="shared" si="16"/>
        <v/>
      </c>
      <c r="N84" s="533"/>
      <c r="O84" s="513" t="str">
        <f>IF(I84="","",VLOOKUP(I84,tab!$A$68:$V$110,J84+2,FALSE))</f>
        <v/>
      </c>
      <c r="P84" s="514" t="str">
        <f t="shared" si="17"/>
        <v/>
      </c>
      <c r="Q84" s="1173">
        <f t="shared" si="21"/>
        <v>0.62</v>
      </c>
      <c r="R84" s="641" t="str">
        <f t="shared" si="22"/>
        <v/>
      </c>
      <c r="S84" s="514">
        <f>IF(L84="",0,(O84*12*L84*(1+tab!$D$55)*IF(I84&gt;8,tab!$F$57,tab!$F$59)))</f>
        <v>0</v>
      </c>
      <c r="T84" s="1131">
        <f t="shared" si="18"/>
        <v>0</v>
      </c>
      <c r="U84" s="219">
        <f t="shared" si="19"/>
        <v>0</v>
      </c>
      <c r="V84" s="1145">
        <f t="shared" si="20"/>
        <v>0</v>
      </c>
      <c r="W84" s="692"/>
      <c r="AA84" s="552"/>
      <c r="AJ84" s="552"/>
    </row>
    <row r="85" spans="3:36" ht="12.75" customHeight="1" x14ac:dyDescent="0.2">
      <c r="C85" s="108"/>
      <c r="D85" s="115" t="str">
        <f>IF(obp!D52="","",obp!D52)</f>
        <v/>
      </c>
      <c r="E85" s="115" t="str">
        <f>IF(obp!E52=0,"",obp!E52)</f>
        <v/>
      </c>
      <c r="F85" s="115" t="str">
        <f>IF(obp!F52=0,"",obp!F52)</f>
        <v/>
      </c>
      <c r="G85" s="132" t="str">
        <f>IF(obp!G52="","",obp!G52+1)</f>
        <v/>
      </c>
      <c r="H85" s="508" t="str">
        <f>IF(obp!H52="","",obp!H52)</f>
        <v/>
      </c>
      <c r="I85" s="132" t="str">
        <f>IF(obp!I52=0,"",obp!I52)</f>
        <v/>
      </c>
      <c r="J85" s="150" t="str">
        <f>IF(E85="","",(IF(obp!J52+1&gt;LOOKUP(I85,schaal2011,regels2011),obp!J52,obp!J52+1)))</f>
        <v/>
      </c>
      <c r="K85" s="509" t="str">
        <f>IF(obp!K52="","",obp!K52)</f>
        <v/>
      </c>
      <c r="L85" s="510" t="str">
        <f>IF(obp!L52="","",obp!L52)</f>
        <v/>
      </c>
      <c r="M85" s="511" t="str">
        <f t="shared" si="16"/>
        <v/>
      </c>
      <c r="N85" s="533"/>
      <c r="O85" s="513" t="str">
        <f>IF(I85="","",VLOOKUP(I85,tab!$A$68:$V$110,J85+2,FALSE))</f>
        <v/>
      </c>
      <c r="P85" s="514" t="str">
        <f t="shared" si="17"/>
        <v/>
      </c>
      <c r="Q85" s="1173">
        <f t="shared" si="21"/>
        <v>0.62</v>
      </c>
      <c r="R85" s="641" t="str">
        <f t="shared" si="22"/>
        <v/>
      </c>
      <c r="S85" s="514">
        <f>IF(L85="",0,(O85*12*L85*(1+tab!$D$55)*IF(I85&gt;8,tab!$F$57,tab!$F$59)))</f>
        <v>0</v>
      </c>
      <c r="T85" s="1131">
        <f t="shared" si="18"/>
        <v>0</v>
      </c>
      <c r="U85" s="219">
        <f t="shared" si="19"/>
        <v>0</v>
      </c>
      <c r="V85" s="1145">
        <f t="shared" si="20"/>
        <v>0</v>
      </c>
      <c r="W85" s="692"/>
      <c r="AA85" s="552"/>
      <c r="AJ85" s="552"/>
    </row>
    <row r="86" spans="3:36" ht="12.75" customHeight="1" x14ac:dyDescent="0.2">
      <c r="C86" s="108"/>
      <c r="D86" s="115" t="str">
        <f>IF(obp!D53="","",obp!D53)</f>
        <v/>
      </c>
      <c r="E86" s="115" t="str">
        <f>IF(obp!E53=0,"",obp!E53)</f>
        <v/>
      </c>
      <c r="F86" s="115" t="str">
        <f>IF(obp!F53=0,"",obp!F53)</f>
        <v/>
      </c>
      <c r="G86" s="132" t="str">
        <f>IF(obp!G53="","",obp!G53+1)</f>
        <v/>
      </c>
      <c r="H86" s="508" t="str">
        <f>IF(obp!H53="","",obp!H53)</f>
        <v/>
      </c>
      <c r="I86" s="132" t="str">
        <f>IF(obp!I53=0,"",obp!I53)</f>
        <v/>
      </c>
      <c r="J86" s="150" t="str">
        <f>IF(E86="","",(IF(obp!J53+1&gt;LOOKUP(I86,schaal2011,regels2011),obp!J53,obp!J53+1)))</f>
        <v/>
      </c>
      <c r="K86" s="509" t="str">
        <f>IF(obp!K53="","",obp!K53)</f>
        <v/>
      </c>
      <c r="L86" s="510" t="str">
        <f>IF(obp!L53="","",obp!L53)</f>
        <v/>
      </c>
      <c r="M86" s="511" t="str">
        <f t="shared" si="16"/>
        <v/>
      </c>
      <c r="N86" s="533"/>
      <c r="O86" s="513" t="str">
        <f>IF(I86="","",VLOOKUP(I86,tab!$A$68:$V$110,J86+2,FALSE))</f>
        <v/>
      </c>
      <c r="P86" s="514" t="str">
        <f t="shared" si="17"/>
        <v/>
      </c>
      <c r="Q86" s="1173">
        <f t="shared" si="21"/>
        <v>0.62</v>
      </c>
      <c r="R86" s="641" t="str">
        <f t="shared" si="22"/>
        <v/>
      </c>
      <c r="S86" s="514">
        <f>IF(L86="",0,(O86*12*L86*(1+tab!$D$55)*IF(I86&gt;8,tab!$F$57,tab!$F$59)))</f>
        <v>0</v>
      </c>
      <c r="T86" s="1131">
        <f t="shared" si="18"/>
        <v>0</v>
      </c>
      <c r="U86" s="219">
        <f t="shared" si="19"/>
        <v>0</v>
      </c>
      <c r="V86" s="1145">
        <f t="shared" si="20"/>
        <v>0</v>
      </c>
      <c r="W86" s="692"/>
      <c r="AA86" s="552"/>
      <c r="AJ86" s="552"/>
    </row>
    <row r="87" spans="3:36" ht="12.75" customHeight="1" x14ac:dyDescent="0.2">
      <c r="C87" s="108"/>
      <c r="D87" s="115" t="str">
        <f>IF(obp!D54="","",obp!D54)</f>
        <v/>
      </c>
      <c r="E87" s="115" t="str">
        <f>IF(obp!E54=0,"",obp!E54)</f>
        <v/>
      </c>
      <c r="F87" s="115" t="str">
        <f>IF(obp!F54=0,"",obp!F54)</f>
        <v/>
      </c>
      <c r="G87" s="132" t="str">
        <f>IF(obp!G54="","",obp!G54+1)</f>
        <v/>
      </c>
      <c r="H87" s="508" t="str">
        <f>IF(obp!H54="","",obp!H54)</f>
        <v/>
      </c>
      <c r="I87" s="132" t="str">
        <f>IF(obp!I54=0,"",obp!I54)</f>
        <v/>
      </c>
      <c r="J87" s="150" t="str">
        <f>IF(E87="","",(IF(obp!J54+1&gt;LOOKUP(I87,schaal2011,regels2011),obp!J54,obp!J54+1)))</f>
        <v/>
      </c>
      <c r="K87" s="509" t="str">
        <f>IF(obp!K54="","",obp!K54)</f>
        <v/>
      </c>
      <c r="L87" s="510" t="str">
        <f>IF(obp!L54="","",obp!L54)</f>
        <v/>
      </c>
      <c r="M87" s="511" t="str">
        <f t="shared" si="16"/>
        <v/>
      </c>
      <c r="N87" s="533"/>
      <c r="O87" s="513" t="str">
        <f>IF(I87="","",VLOOKUP(I87,tab!$A$68:$V$110,J87+2,FALSE))</f>
        <v/>
      </c>
      <c r="P87" s="514" t="str">
        <f t="shared" si="17"/>
        <v/>
      </c>
      <c r="Q87" s="1173">
        <f t="shared" si="21"/>
        <v>0.62</v>
      </c>
      <c r="R87" s="641" t="str">
        <f t="shared" si="22"/>
        <v/>
      </c>
      <c r="S87" s="514">
        <f>IF(L87="",0,(O87*12*L87*(1+tab!$D$55)*IF(I87&gt;8,tab!$F$57,tab!$F$59)))</f>
        <v>0</v>
      </c>
      <c r="T87" s="1131">
        <f t="shared" si="18"/>
        <v>0</v>
      </c>
      <c r="U87" s="219">
        <f t="shared" si="19"/>
        <v>0</v>
      </c>
      <c r="V87" s="1145">
        <f t="shared" si="20"/>
        <v>0</v>
      </c>
      <c r="W87" s="692"/>
      <c r="AA87" s="552"/>
      <c r="AJ87" s="552"/>
    </row>
    <row r="88" spans="3:36" ht="12.75" customHeight="1" x14ac:dyDescent="0.2">
      <c r="C88" s="108"/>
      <c r="D88" s="115" t="str">
        <f>IF(obp!D55="","",obp!D55)</f>
        <v/>
      </c>
      <c r="E88" s="115" t="str">
        <f>IF(obp!E55=0,"",obp!E55)</f>
        <v/>
      </c>
      <c r="F88" s="115" t="str">
        <f>IF(obp!F55=0,"",obp!F55)</f>
        <v/>
      </c>
      <c r="G88" s="132" t="str">
        <f>IF(obp!G55="","",obp!G55+1)</f>
        <v/>
      </c>
      <c r="H88" s="508" t="str">
        <f>IF(obp!H55="","",obp!H55)</f>
        <v/>
      </c>
      <c r="I88" s="132" t="str">
        <f>IF(obp!I55=0,"",obp!I55)</f>
        <v/>
      </c>
      <c r="J88" s="150" t="str">
        <f>IF(E88="","",(IF(obp!J55+1&gt;LOOKUP(I88,schaal2011,regels2011),obp!J55,obp!J55+1)))</f>
        <v/>
      </c>
      <c r="K88" s="509" t="str">
        <f>IF(obp!K55="","",obp!K55)</f>
        <v/>
      </c>
      <c r="L88" s="510" t="str">
        <f>IF(obp!L55="","",obp!L55)</f>
        <v/>
      </c>
      <c r="M88" s="511" t="str">
        <f t="shared" si="16"/>
        <v/>
      </c>
      <c r="N88" s="533"/>
      <c r="O88" s="513" t="str">
        <f>IF(I88="","",VLOOKUP(I88,tab!$A$68:$V$110,J88+2,FALSE))</f>
        <v/>
      </c>
      <c r="P88" s="514" t="str">
        <f t="shared" si="17"/>
        <v/>
      </c>
      <c r="Q88" s="1173">
        <f t="shared" si="21"/>
        <v>0.62</v>
      </c>
      <c r="R88" s="641" t="str">
        <f t="shared" si="22"/>
        <v/>
      </c>
      <c r="S88" s="514">
        <f>IF(L88="",0,(O88*12*L88*(1+tab!$D$55)*IF(I88&gt;8,tab!$F$57,tab!$F$59)))</f>
        <v>0</v>
      </c>
      <c r="T88" s="1131">
        <f t="shared" si="18"/>
        <v>0</v>
      </c>
      <c r="U88" s="219">
        <f t="shared" si="19"/>
        <v>0</v>
      </c>
      <c r="V88" s="1145">
        <f t="shared" si="20"/>
        <v>0</v>
      </c>
      <c r="W88" s="692"/>
      <c r="AA88" s="552"/>
      <c r="AJ88" s="552"/>
    </row>
    <row r="89" spans="3:36" ht="12.75" customHeight="1" x14ac:dyDescent="0.2">
      <c r="C89" s="108"/>
      <c r="D89" s="115" t="str">
        <f>IF(obp!D56="","",obp!D56)</f>
        <v/>
      </c>
      <c r="E89" s="115" t="str">
        <f>IF(obp!E56=0,"",obp!E56)</f>
        <v/>
      </c>
      <c r="F89" s="115" t="str">
        <f>IF(obp!F56=0,"",obp!F56)</f>
        <v/>
      </c>
      <c r="G89" s="132" t="str">
        <f>IF(obp!G56="","",obp!G56+1)</f>
        <v/>
      </c>
      <c r="H89" s="508" t="str">
        <f>IF(obp!H56="","",obp!H56)</f>
        <v/>
      </c>
      <c r="I89" s="132" t="str">
        <f>IF(obp!I56=0,"",obp!I56)</f>
        <v/>
      </c>
      <c r="J89" s="150" t="str">
        <f>IF(E89="","",(IF(obp!J56+1&gt;LOOKUP(I89,schaal2011,regels2011),obp!J56,obp!J56+1)))</f>
        <v/>
      </c>
      <c r="K89" s="509" t="str">
        <f>IF(obp!K56="","",obp!K56)</f>
        <v/>
      </c>
      <c r="L89" s="510" t="str">
        <f>IF(obp!L56="","",obp!L56)</f>
        <v/>
      </c>
      <c r="M89" s="511" t="str">
        <f t="shared" si="16"/>
        <v/>
      </c>
      <c r="N89" s="533"/>
      <c r="O89" s="513" t="str">
        <f>IF(I89="","",VLOOKUP(I89,tab!$A$68:$V$110,J89+2,FALSE))</f>
        <v/>
      </c>
      <c r="P89" s="514" t="str">
        <f t="shared" si="17"/>
        <v/>
      </c>
      <c r="Q89" s="1173">
        <f t="shared" si="21"/>
        <v>0.62</v>
      </c>
      <c r="R89" s="641" t="str">
        <f t="shared" si="22"/>
        <v/>
      </c>
      <c r="S89" s="514">
        <f>IF(L89="",0,(O89*12*L89*(1+tab!$D$55)*IF(I89&gt;8,tab!$F$57,tab!$F$59)))</f>
        <v>0</v>
      </c>
      <c r="T89" s="1131">
        <f t="shared" si="18"/>
        <v>0</v>
      </c>
      <c r="U89" s="219">
        <f t="shared" si="19"/>
        <v>0</v>
      </c>
      <c r="V89" s="1145">
        <f t="shared" si="20"/>
        <v>0</v>
      </c>
      <c r="W89" s="692"/>
      <c r="AA89" s="552"/>
      <c r="AJ89" s="552"/>
    </row>
    <row r="90" spans="3:36" ht="12.75" customHeight="1" x14ac:dyDescent="0.2">
      <c r="C90" s="108"/>
      <c r="D90" s="115" t="str">
        <f>IF(obp!D57="","",obp!D57)</f>
        <v/>
      </c>
      <c r="E90" s="115" t="str">
        <f>IF(obp!E57=0,"",obp!E57)</f>
        <v/>
      </c>
      <c r="F90" s="115" t="str">
        <f>IF(obp!F57=0,"",obp!F57)</f>
        <v/>
      </c>
      <c r="G90" s="132" t="str">
        <f>IF(obp!G57="","",obp!G57+1)</f>
        <v/>
      </c>
      <c r="H90" s="508" t="str">
        <f>IF(obp!H57="","",obp!H57)</f>
        <v/>
      </c>
      <c r="I90" s="132" t="str">
        <f>IF(obp!I57=0,"",obp!I57)</f>
        <v/>
      </c>
      <c r="J90" s="150" t="str">
        <f>IF(E90="","",(IF(obp!J57+1&gt;LOOKUP(I90,schaal2011,regels2011),obp!J57,obp!J57+1)))</f>
        <v/>
      </c>
      <c r="K90" s="509" t="str">
        <f>IF(obp!K57="","",obp!K57)</f>
        <v/>
      </c>
      <c r="L90" s="510" t="str">
        <f>IF(obp!L57="","",obp!L57)</f>
        <v/>
      </c>
      <c r="M90" s="511" t="str">
        <f t="shared" si="16"/>
        <v/>
      </c>
      <c r="N90" s="533"/>
      <c r="O90" s="513" t="str">
        <f>IF(I90="","",VLOOKUP(I90,tab!$A$68:$V$110,J90+2,FALSE))</f>
        <v/>
      </c>
      <c r="P90" s="514" t="str">
        <f t="shared" si="17"/>
        <v/>
      </c>
      <c r="Q90" s="1173">
        <f t="shared" si="21"/>
        <v>0.62</v>
      </c>
      <c r="R90" s="641" t="str">
        <f t="shared" si="22"/>
        <v/>
      </c>
      <c r="S90" s="514">
        <f>IF(L90="",0,(O90*12*L90*(1+tab!$D$55)*IF(I90&gt;8,tab!$F$57,tab!$F$59)))</f>
        <v>0</v>
      </c>
      <c r="T90" s="1131">
        <f t="shared" si="18"/>
        <v>0</v>
      </c>
      <c r="U90" s="219">
        <f t="shared" si="19"/>
        <v>0</v>
      </c>
      <c r="V90" s="1145">
        <f t="shared" si="20"/>
        <v>0</v>
      </c>
      <c r="W90" s="692"/>
      <c r="AA90" s="552"/>
      <c r="AJ90" s="552"/>
    </row>
    <row r="91" spans="3:36" ht="12.75" customHeight="1" x14ac:dyDescent="0.2">
      <c r="C91" s="108"/>
      <c r="D91" s="115" t="str">
        <f>IF(obp!D58="","",obp!D58)</f>
        <v/>
      </c>
      <c r="E91" s="115" t="str">
        <f>IF(obp!E58=0,"",obp!E58)</f>
        <v/>
      </c>
      <c r="F91" s="115" t="str">
        <f>IF(obp!F58=0,"",obp!F58)</f>
        <v/>
      </c>
      <c r="G91" s="132" t="str">
        <f>IF(obp!G58="","",obp!G58+1)</f>
        <v/>
      </c>
      <c r="H91" s="508" t="str">
        <f>IF(obp!H58="","",obp!H58)</f>
        <v/>
      </c>
      <c r="I91" s="132" t="str">
        <f>IF(obp!I58=0,"",obp!I58)</f>
        <v/>
      </c>
      <c r="J91" s="150" t="str">
        <f>IF(E91="","",(IF(obp!J58+1&gt;LOOKUP(I91,schaal2011,regels2011),obp!J58,obp!J58+1)))</f>
        <v/>
      </c>
      <c r="K91" s="509" t="str">
        <f>IF(obp!K58="","",obp!K58)</f>
        <v/>
      </c>
      <c r="L91" s="510" t="str">
        <f>IF(obp!L58="","",obp!L58)</f>
        <v/>
      </c>
      <c r="M91" s="511" t="str">
        <f t="shared" si="16"/>
        <v/>
      </c>
      <c r="N91" s="533"/>
      <c r="O91" s="513" t="str">
        <f>IF(I91="","",VLOOKUP(I91,tab!$A$68:$V$110,J91+2,FALSE))</f>
        <v/>
      </c>
      <c r="P91" s="514" t="str">
        <f t="shared" si="17"/>
        <v/>
      </c>
      <c r="Q91" s="1173">
        <f t="shared" si="21"/>
        <v>0.62</v>
      </c>
      <c r="R91" s="641" t="str">
        <f t="shared" si="22"/>
        <v/>
      </c>
      <c r="S91" s="514">
        <f>IF(L91="",0,(O91*12*L91*(1+tab!$D$55)*IF(I91&gt;8,tab!$F$57,tab!$F$59)))</f>
        <v>0</v>
      </c>
      <c r="T91" s="1131">
        <f t="shared" si="18"/>
        <v>0</v>
      </c>
      <c r="U91" s="219">
        <f t="shared" si="19"/>
        <v>0</v>
      </c>
      <c r="V91" s="1145">
        <f t="shared" si="20"/>
        <v>0</v>
      </c>
      <c r="W91" s="692"/>
      <c r="AA91" s="552"/>
      <c r="AJ91" s="552"/>
    </row>
    <row r="92" spans="3:36" ht="12.75" customHeight="1" x14ac:dyDescent="0.2">
      <c r="C92" s="108"/>
      <c r="D92" s="115" t="str">
        <f>IF(obp!D59="","",obp!D59)</f>
        <v/>
      </c>
      <c r="E92" s="115" t="str">
        <f>IF(obp!E59=0,"",obp!E59)</f>
        <v/>
      </c>
      <c r="F92" s="115" t="str">
        <f>IF(obp!F59=0,"",obp!F59)</f>
        <v/>
      </c>
      <c r="G92" s="132" t="str">
        <f>IF(obp!G59="","",obp!G59+1)</f>
        <v/>
      </c>
      <c r="H92" s="508" t="str">
        <f>IF(obp!H59="","",obp!H59)</f>
        <v/>
      </c>
      <c r="I92" s="132" t="str">
        <f>IF(obp!I59=0,"",obp!I59)</f>
        <v/>
      </c>
      <c r="J92" s="150" t="str">
        <f>IF(E92="","",(IF(obp!J59+1&gt;LOOKUP(I92,schaal2011,regels2011),obp!J59,obp!J59+1)))</f>
        <v/>
      </c>
      <c r="K92" s="509" t="str">
        <f>IF(obp!K59="","",obp!K59)</f>
        <v/>
      </c>
      <c r="L92" s="510" t="str">
        <f>IF(obp!L59="","",obp!L59)</f>
        <v/>
      </c>
      <c r="M92" s="511" t="str">
        <f t="shared" si="16"/>
        <v/>
      </c>
      <c r="N92" s="533"/>
      <c r="O92" s="513" t="str">
        <f>IF(I92="","",VLOOKUP(I92,tab!$A$68:$V$110,J92+2,FALSE))</f>
        <v/>
      </c>
      <c r="P92" s="514" t="str">
        <f t="shared" si="17"/>
        <v/>
      </c>
      <c r="Q92" s="1173">
        <f t="shared" si="21"/>
        <v>0.62</v>
      </c>
      <c r="R92" s="641" t="str">
        <f t="shared" si="22"/>
        <v/>
      </c>
      <c r="S92" s="514">
        <f>IF(L92="",0,(O92*12*L92*(1+tab!$D$55)*IF(I92&gt;8,tab!$F$57,tab!$F$59)))</f>
        <v>0</v>
      </c>
      <c r="T92" s="1131">
        <f t="shared" si="18"/>
        <v>0</v>
      </c>
      <c r="U92" s="219">
        <f t="shared" si="19"/>
        <v>0</v>
      </c>
      <c r="V92" s="1145">
        <f t="shared" si="20"/>
        <v>0</v>
      </c>
      <c r="W92" s="692"/>
      <c r="AA92" s="552"/>
      <c r="AJ92" s="552"/>
    </row>
    <row r="93" spans="3:36" ht="12.75" customHeight="1" x14ac:dyDescent="0.2">
      <c r="C93" s="108"/>
      <c r="D93" s="115" t="str">
        <f>IF(obp!D60="","",obp!D60)</f>
        <v/>
      </c>
      <c r="E93" s="115" t="str">
        <f>IF(obp!E60=0,"",obp!E60)</f>
        <v/>
      </c>
      <c r="F93" s="115" t="str">
        <f>IF(obp!F60=0,"",obp!F60)</f>
        <v/>
      </c>
      <c r="G93" s="132" t="str">
        <f>IF(obp!G60="","",obp!G60+1)</f>
        <v/>
      </c>
      <c r="H93" s="508" t="str">
        <f>IF(obp!H60="","",obp!H60)</f>
        <v/>
      </c>
      <c r="I93" s="132" t="str">
        <f>IF(obp!I60=0,"",obp!I60)</f>
        <v/>
      </c>
      <c r="J93" s="150" t="str">
        <f>IF(E93="","",(IF(obp!J60+1&gt;LOOKUP(I93,schaal2011,regels2011),obp!J60,obp!J60+1)))</f>
        <v/>
      </c>
      <c r="K93" s="509" t="str">
        <f>IF(obp!K60="","",obp!K60)</f>
        <v/>
      </c>
      <c r="L93" s="510" t="str">
        <f>IF(obp!L60="","",obp!L60)</f>
        <v/>
      </c>
      <c r="M93" s="511" t="str">
        <f t="shared" si="16"/>
        <v/>
      </c>
      <c r="N93" s="533"/>
      <c r="O93" s="513" t="str">
        <f>IF(I93="","",VLOOKUP(I93,tab!$A$68:$V$110,J93+2,FALSE))</f>
        <v/>
      </c>
      <c r="P93" s="514" t="str">
        <f t="shared" si="17"/>
        <v/>
      </c>
      <c r="Q93" s="1173">
        <f t="shared" si="21"/>
        <v>0.62</v>
      </c>
      <c r="R93" s="641" t="str">
        <f t="shared" si="22"/>
        <v/>
      </c>
      <c r="S93" s="514">
        <f>IF(L93="",0,(O93*12*L93*(1+tab!$D$55)*IF(I93&gt;8,tab!$F$57,tab!$F$59)))</f>
        <v>0</v>
      </c>
      <c r="T93" s="1131">
        <f t="shared" si="18"/>
        <v>0</v>
      </c>
      <c r="U93" s="219">
        <f t="shared" si="19"/>
        <v>0</v>
      </c>
      <c r="V93" s="1145">
        <f t="shared" si="20"/>
        <v>0</v>
      </c>
      <c r="W93" s="692"/>
      <c r="AA93" s="552"/>
      <c r="AJ93" s="552"/>
    </row>
    <row r="94" spans="3:36" ht="12.75" customHeight="1" x14ac:dyDescent="0.2">
      <c r="C94" s="108"/>
      <c r="D94" s="115" t="str">
        <f>IF(obp!D61="","",obp!D61)</f>
        <v/>
      </c>
      <c r="E94" s="115" t="str">
        <f>IF(obp!E61=0,"",obp!E61)</f>
        <v/>
      </c>
      <c r="F94" s="115" t="str">
        <f>IF(obp!F61=0,"",obp!F61)</f>
        <v/>
      </c>
      <c r="G94" s="132" t="str">
        <f>IF(obp!G61="","",obp!G61+1)</f>
        <v/>
      </c>
      <c r="H94" s="508" t="str">
        <f>IF(obp!H61="","",obp!H61)</f>
        <v/>
      </c>
      <c r="I94" s="132" t="str">
        <f>IF(obp!I61=0,"",obp!I61)</f>
        <v/>
      </c>
      <c r="J94" s="150" t="str">
        <f>IF(E94="","",(IF(obp!J61+1&gt;LOOKUP(I94,schaal2011,regels2011),obp!J61,obp!J61+1)))</f>
        <v/>
      </c>
      <c r="K94" s="509" t="str">
        <f>IF(obp!K61="","",obp!K61)</f>
        <v/>
      </c>
      <c r="L94" s="510" t="str">
        <f>IF(obp!L61="","",obp!L61)</f>
        <v/>
      </c>
      <c r="M94" s="511" t="str">
        <f t="shared" si="16"/>
        <v/>
      </c>
      <c r="N94" s="533"/>
      <c r="O94" s="513" t="str">
        <f>IF(I94="","",VLOOKUP(I94,tab!$A$68:$V$110,J94+2,FALSE))</f>
        <v/>
      </c>
      <c r="P94" s="514" t="str">
        <f t="shared" si="17"/>
        <v/>
      </c>
      <c r="Q94" s="1173">
        <f t="shared" si="21"/>
        <v>0.62</v>
      </c>
      <c r="R94" s="641" t="str">
        <f t="shared" si="22"/>
        <v/>
      </c>
      <c r="S94" s="514">
        <f>IF(L94="",0,(O94*12*L94*(1+tab!$D$55)*IF(I94&gt;8,tab!$F$57,tab!$F$59)))</f>
        <v>0</v>
      </c>
      <c r="T94" s="1131">
        <f t="shared" si="18"/>
        <v>0</v>
      </c>
      <c r="U94" s="219">
        <f t="shared" si="19"/>
        <v>0</v>
      </c>
      <c r="V94" s="1145">
        <f t="shared" si="20"/>
        <v>0</v>
      </c>
      <c r="W94" s="692"/>
      <c r="AA94" s="552"/>
      <c r="AJ94" s="552"/>
    </row>
    <row r="95" spans="3:36" ht="12.75" customHeight="1" x14ac:dyDescent="0.2">
      <c r="C95" s="108"/>
      <c r="D95" s="115" t="str">
        <f>IF(obp!D62="","",obp!D62)</f>
        <v/>
      </c>
      <c r="E95" s="115" t="str">
        <f>IF(obp!E62=0,"",obp!E62)</f>
        <v/>
      </c>
      <c r="F95" s="115" t="str">
        <f>IF(obp!F62=0,"",obp!F62)</f>
        <v/>
      </c>
      <c r="G95" s="132" t="str">
        <f>IF(obp!G62="","",obp!G62+1)</f>
        <v/>
      </c>
      <c r="H95" s="508" t="str">
        <f>IF(obp!H62="","",obp!H62)</f>
        <v/>
      </c>
      <c r="I95" s="132" t="str">
        <f>IF(obp!I62=0,"",obp!I62)</f>
        <v/>
      </c>
      <c r="J95" s="150" t="str">
        <f>IF(E95="","",(IF(obp!J62+1&gt;LOOKUP(I95,schaal2011,regels2011),obp!J62,obp!J62+1)))</f>
        <v/>
      </c>
      <c r="K95" s="509" t="str">
        <f>IF(obp!K62="","",obp!K62)</f>
        <v/>
      </c>
      <c r="L95" s="510" t="str">
        <f>IF(obp!L62="","",obp!L62)</f>
        <v/>
      </c>
      <c r="M95" s="511" t="str">
        <f t="shared" si="16"/>
        <v/>
      </c>
      <c r="N95" s="533"/>
      <c r="O95" s="513" t="str">
        <f>IF(I95="","",VLOOKUP(I95,tab!$A$68:$V$110,J95+2,FALSE))</f>
        <v/>
      </c>
      <c r="P95" s="514" t="str">
        <f t="shared" si="17"/>
        <v/>
      </c>
      <c r="Q95" s="1173">
        <f t="shared" si="21"/>
        <v>0.62</v>
      </c>
      <c r="R95" s="641" t="str">
        <f t="shared" si="22"/>
        <v/>
      </c>
      <c r="S95" s="514">
        <f>IF(L95="",0,(O95*12*L95*(1+tab!$D$55)*IF(I95&gt;8,tab!$F$57,tab!$F$59)))</f>
        <v>0</v>
      </c>
      <c r="T95" s="1131">
        <f t="shared" si="18"/>
        <v>0</v>
      </c>
      <c r="U95" s="219">
        <f t="shared" si="19"/>
        <v>0</v>
      </c>
      <c r="V95" s="1145">
        <f t="shared" si="20"/>
        <v>0</v>
      </c>
      <c r="W95" s="692"/>
      <c r="AA95" s="552"/>
      <c r="AJ95" s="552"/>
    </row>
    <row r="96" spans="3:36" ht="12.75" customHeight="1" x14ac:dyDescent="0.2">
      <c r="C96" s="108"/>
      <c r="D96" s="115" t="str">
        <f>IF(obp!D63="","",obp!D63)</f>
        <v/>
      </c>
      <c r="E96" s="115" t="str">
        <f>IF(obp!E63=0,"",obp!E63)</f>
        <v/>
      </c>
      <c r="F96" s="115" t="str">
        <f>IF(obp!F63=0,"",obp!F63)</f>
        <v/>
      </c>
      <c r="G96" s="132" t="str">
        <f>IF(obp!G63="","",obp!G63+1)</f>
        <v/>
      </c>
      <c r="H96" s="508" t="str">
        <f>IF(obp!H63="","",obp!H63)</f>
        <v/>
      </c>
      <c r="I96" s="132" t="str">
        <f>IF(obp!I63=0,"",obp!I63)</f>
        <v/>
      </c>
      <c r="J96" s="150" t="str">
        <f>IF(E96="","",(IF(obp!J63+1&gt;LOOKUP(I96,schaal2011,regels2011),obp!J63,obp!J63+1)))</f>
        <v/>
      </c>
      <c r="K96" s="509" t="str">
        <f>IF(obp!K63="","",obp!K63)</f>
        <v/>
      </c>
      <c r="L96" s="510" t="str">
        <f>IF(obp!L63="","",obp!L63)</f>
        <v/>
      </c>
      <c r="M96" s="511" t="str">
        <f t="shared" si="16"/>
        <v/>
      </c>
      <c r="N96" s="533"/>
      <c r="O96" s="513" t="str">
        <f>IF(I96="","",VLOOKUP(I96,tab!$A$68:$V$110,J96+2,FALSE))</f>
        <v/>
      </c>
      <c r="P96" s="514" t="str">
        <f t="shared" si="17"/>
        <v/>
      </c>
      <c r="Q96" s="1173">
        <f t="shared" si="21"/>
        <v>0.62</v>
      </c>
      <c r="R96" s="641" t="str">
        <f t="shared" si="22"/>
        <v/>
      </c>
      <c r="S96" s="514">
        <f>IF(L96="",0,(O96*12*L96*(1+tab!$D$55)*IF(I96&gt;8,tab!$F$57,tab!$F$59)))</f>
        <v>0</v>
      </c>
      <c r="T96" s="1131">
        <f t="shared" si="18"/>
        <v>0</v>
      </c>
      <c r="U96" s="219">
        <f t="shared" si="19"/>
        <v>0</v>
      </c>
      <c r="V96" s="1145">
        <f t="shared" si="20"/>
        <v>0</v>
      </c>
      <c r="W96" s="692"/>
      <c r="AA96" s="552"/>
      <c r="AJ96" s="552"/>
    </row>
    <row r="97" spans="3:41" ht="12.75" customHeight="1" x14ac:dyDescent="0.2">
      <c r="C97" s="108"/>
      <c r="D97" s="115" t="str">
        <f>IF(obp!D64="","",obp!D64)</f>
        <v/>
      </c>
      <c r="E97" s="115" t="str">
        <f>IF(obp!E64=0,"",obp!E64)</f>
        <v/>
      </c>
      <c r="F97" s="115" t="str">
        <f>IF(obp!F64=0,"",obp!F64)</f>
        <v/>
      </c>
      <c r="G97" s="132" t="str">
        <f>IF(obp!G64="","",obp!G64+1)</f>
        <v/>
      </c>
      <c r="H97" s="508" t="str">
        <f>IF(obp!H64="","",obp!H64)</f>
        <v/>
      </c>
      <c r="I97" s="132" t="str">
        <f>IF(obp!I64=0,"",obp!I64)</f>
        <v/>
      </c>
      <c r="J97" s="150" t="str">
        <f>IF(E97="","",(IF(obp!J64+1&gt;LOOKUP(I97,schaal2011,regels2011),obp!J64,obp!J64+1)))</f>
        <v/>
      </c>
      <c r="K97" s="509" t="str">
        <f>IF(obp!K64="","",obp!K64)</f>
        <v/>
      </c>
      <c r="L97" s="510" t="str">
        <f>IF(obp!L64="","",obp!L64)</f>
        <v/>
      </c>
      <c r="M97" s="511" t="str">
        <f t="shared" si="16"/>
        <v/>
      </c>
      <c r="N97" s="533"/>
      <c r="O97" s="513" t="str">
        <f>IF(I97="","",VLOOKUP(I97,tab!$A$68:$V$110,J97+2,FALSE))</f>
        <v/>
      </c>
      <c r="P97" s="514" t="str">
        <f t="shared" si="17"/>
        <v/>
      </c>
      <c r="Q97" s="1173">
        <f t="shared" si="21"/>
        <v>0.62</v>
      </c>
      <c r="R97" s="641" t="str">
        <f t="shared" si="22"/>
        <v/>
      </c>
      <c r="S97" s="514">
        <f>IF(L97="",0,(O97*12*L97*(1+tab!$D$55)*IF(I97&gt;8,tab!$F$57,tab!$F$59)))</f>
        <v>0</v>
      </c>
      <c r="T97" s="1131">
        <f t="shared" si="18"/>
        <v>0</v>
      </c>
      <c r="U97" s="219">
        <f t="shared" si="19"/>
        <v>0</v>
      </c>
      <c r="V97" s="1145">
        <f t="shared" si="20"/>
        <v>0</v>
      </c>
      <c r="W97" s="692"/>
      <c r="AA97" s="552"/>
      <c r="AJ97" s="552"/>
    </row>
    <row r="98" spans="3:41" ht="12.75" customHeight="1" x14ac:dyDescent="0.2">
      <c r="C98" s="108"/>
      <c r="D98" s="115" t="str">
        <f>IF(obp!D65="","",obp!D65)</f>
        <v/>
      </c>
      <c r="E98" s="115" t="str">
        <f>IF(obp!E65=0,"",obp!E65)</f>
        <v/>
      </c>
      <c r="F98" s="115" t="str">
        <f>IF(obp!F65=0,"",obp!F65)</f>
        <v/>
      </c>
      <c r="G98" s="132" t="str">
        <f>IF(obp!G65="","",obp!G65+1)</f>
        <v/>
      </c>
      <c r="H98" s="508" t="str">
        <f>IF(obp!H65="","",obp!H65)</f>
        <v/>
      </c>
      <c r="I98" s="132" t="str">
        <f>IF(obp!I65=0,"",obp!I65)</f>
        <v/>
      </c>
      <c r="J98" s="150" t="str">
        <f>IF(E98="","",(IF(obp!J65+1&gt;LOOKUP(I98,schaal2011,regels2011),obp!J65,obp!J65+1)))</f>
        <v/>
      </c>
      <c r="K98" s="509" t="str">
        <f>IF(obp!K65="","",obp!K65)</f>
        <v/>
      </c>
      <c r="L98" s="510" t="str">
        <f>IF(obp!L65="","",obp!L65)</f>
        <v/>
      </c>
      <c r="M98" s="511" t="str">
        <f t="shared" si="16"/>
        <v/>
      </c>
      <c r="N98" s="533"/>
      <c r="O98" s="513" t="str">
        <f>IF(I98="","",VLOOKUP(I98,tab!$A$68:$V$110,J98+2,FALSE))</f>
        <v/>
      </c>
      <c r="P98" s="514" t="str">
        <f t="shared" si="17"/>
        <v/>
      </c>
      <c r="Q98" s="1173">
        <f t="shared" si="21"/>
        <v>0.62</v>
      </c>
      <c r="R98" s="641" t="str">
        <f t="shared" si="22"/>
        <v/>
      </c>
      <c r="S98" s="514">
        <f>IF(L98="",0,(O98*12*L98*(1+tab!$D$55)*IF(I98&gt;8,tab!$F$57,tab!$F$59)))</f>
        <v>0</v>
      </c>
      <c r="T98" s="1131">
        <f t="shared" si="18"/>
        <v>0</v>
      </c>
      <c r="U98" s="219">
        <f t="shared" si="19"/>
        <v>0</v>
      </c>
      <c r="V98" s="1145">
        <f t="shared" si="20"/>
        <v>0</v>
      </c>
      <c r="W98" s="692"/>
      <c r="AA98" s="552"/>
      <c r="AJ98" s="552"/>
    </row>
    <row r="99" spans="3:41" ht="12.75" customHeight="1" x14ac:dyDescent="0.2">
      <c r="C99" s="108"/>
      <c r="D99" s="115" t="str">
        <f>IF(obp!D66="","",obp!D66)</f>
        <v/>
      </c>
      <c r="E99" s="115" t="str">
        <f>IF(obp!E66=0,"",obp!E66)</f>
        <v/>
      </c>
      <c r="F99" s="115" t="str">
        <f>IF(obp!F66=0,"",obp!F66)</f>
        <v/>
      </c>
      <c r="G99" s="132" t="str">
        <f>IF(obp!G66="","",obp!G66+1)</f>
        <v/>
      </c>
      <c r="H99" s="508" t="str">
        <f>IF(obp!H66="","",obp!H66)</f>
        <v/>
      </c>
      <c r="I99" s="132" t="str">
        <f>IF(obp!I66=0,"",obp!I66)</f>
        <v/>
      </c>
      <c r="J99" s="150" t="str">
        <f>IF(E99="","",(IF(obp!J66+1&gt;LOOKUP(I99,schaal2011,regels2011),obp!J66,obp!J66+1)))</f>
        <v/>
      </c>
      <c r="K99" s="509" t="str">
        <f>IF(obp!K66="","",obp!K66)</f>
        <v/>
      </c>
      <c r="L99" s="510" t="str">
        <f>IF(obp!L66="","",obp!L66)</f>
        <v/>
      </c>
      <c r="M99" s="511" t="str">
        <f t="shared" si="16"/>
        <v/>
      </c>
      <c r="N99" s="533"/>
      <c r="O99" s="513" t="str">
        <f>IF(I99="","",VLOOKUP(I99,tab!$A$68:$V$110,J99+2,FALSE))</f>
        <v/>
      </c>
      <c r="P99" s="514" t="str">
        <f t="shared" si="17"/>
        <v/>
      </c>
      <c r="Q99" s="1173">
        <f t="shared" si="21"/>
        <v>0.62</v>
      </c>
      <c r="R99" s="641" t="str">
        <f t="shared" si="22"/>
        <v/>
      </c>
      <c r="S99" s="514">
        <f>IF(L99="",0,(O99*12*L99*(1+tab!$D$55)*IF(I99&gt;8,tab!$F$57,tab!$F$59)))</f>
        <v>0</v>
      </c>
      <c r="T99" s="1131">
        <f t="shared" si="18"/>
        <v>0</v>
      </c>
      <c r="U99" s="219">
        <f t="shared" si="19"/>
        <v>0</v>
      </c>
      <c r="V99" s="1145">
        <f t="shared" si="20"/>
        <v>0</v>
      </c>
      <c r="W99" s="692"/>
      <c r="AA99" s="552"/>
      <c r="AJ99" s="552"/>
    </row>
    <row r="100" spans="3:41" ht="12.75" customHeight="1" x14ac:dyDescent="0.2">
      <c r="C100" s="108"/>
      <c r="D100" s="115" t="str">
        <f>IF(obp!D67="","",obp!D67)</f>
        <v/>
      </c>
      <c r="E100" s="115" t="str">
        <f>IF(obp!E67=0,"",obp!E67)</f>
        <v/>
      </c>
      <c r="F100" s="115" t="str">
        <f>IF(obp!F67=0,"",obp!F67)</f>
        <v/>
      </c>
      <c r="G100" s="132" t="str">
        <f>IF(obp!G67="","",obp!G67+1)</f>
        <v/>
      </c>
      <c r="H100" s="508" t="str">
        <f>IF(obp!H67="","",obp!H67)</f>
        <v/>
      </c>
      <c r="I100" s="132" t="str">
        <f>IF(obp!I67=0,"",obp!I67)</f>
        <v/>
      </c>
      <c r="J100" s="150" t="str">
        <f>IF(E100="","",(IF(obp!J67+1&gt;LOOKUP(I100,schaal2011,regels2011),obp!J67,obp!J67+1)))</f>
        <v/>
      </c>
      <c r="K100" s="509" t="str">
        <f>IF(obp!K67="","",obp!K67)</f>
        <v/>
      </c>
      <c r="L100" s="510" t="str">
        <f>IF(obp!L67="","",obp!L67)</f>
        <v/>
      </c>
      <c r="M100" s="511" t="str">
        <f t="shared" si="16"/>
        <v/>
      </c>
      <c r="N100" s="533"/>
      <c r="O100" s="513" t="str">
        <f>IF(I100="","",VLOOKUP(I100,tab!$A$68:$V$110,J100+2,FALSE))</f>
        <v/>
      </c>
      <c r="P100" s="514" t="str">
        <f t="shared" si="17"/>
        <v/>
      </c>
      <c r="Q100" s="1173">
        <f t="shared" si="21"/>
        <v>0.62</v>
      </c>
      <c r="R100" s="641" t="str">
        <f t="shared" si="22"/>
        <v/>
      </c>
      <c r="S100" s="514">
        <f>IF(L100="",0,(O100*12*L100*(1+tab!$D$55)*IF(I100&gt;8,tab!$F$57,tab!$F$59)))</f>
        <v>0</v>
      </c>
      <c r="T100" s="1131">
        <f t="shared" si="18"/>
        <v>0</v>
      </c>
      <c r="U100" s="219">
        <f t="shared" si="19"/>
        <v>0</v>
      </c>
      <c r="V100" s="1145">
        <f t="shared" si="20"/>
        <v>0</v>
      </c>
      <c r="W100" s="692"/>
      <c r="AA100" s="552"/>
      <c r="AJ100" s="552"/>
    </row>
    <row r="101" spans="3:41" x14ac:dyDescent="0.2">
      <c r="C101" s="108"/>
      <c r="D101" s="134"/>
      <c r="E101" s="134"/>
      <c r="F101" s="134"/>
      <c r="G101" s="149"/>
      <c r="H101" s="524"/>
      <c r="I101" s="149"/>
      <c r="J101" s="693"/>
      <c r="K101" s="525">
        <f>SUM(K81:K100)</f>
        <v>1</v>
      </c>
      <c r="L101" s="525">
        <f>SUM(L81:L100)</f>
        <v>0</v>
      </c>
      <c r="M101" s="525">
        <f>SUM(M81:M100)</f>
        <v>1</v>
      </c>
      <c r="N101" s="512"/>
      <c r="O101" s="526">
        <f t="shared" ref="O101:V101" si="23">SUM(O81:O100)</f>
        <v>6314</v>
      </c>
      <c r="P101" s="526">
        <f t="shared" si="23"/>
        <v>75768</v>
      </c>
      <c r="Q101" s="694"/>
      <c r="R101" s="526">
        <f t="shared" si="23"/>
        <v>46976.159999999996</v>
      </c>
      <c r="S101" s="526">
        <f t="shared" si="23"/>
        <v>0</v>
      </c>
      <c r="T101" s="526">
        <f t="shared" si="23"/>
        <v>122744.16</v>
      </c>
      <c r="U101" s="695">
        <f t="shared" si="23"/>
        <v>0</v>
      </c>
      <c r="V101" s="1146">
        <f t="shared" si="23"/>
        <v>0</v>
      </c>
      <c r="W101" s="167"/>
    </row>
    <row r="102" spans="3:41" x14ac:dyDescent="0.2">
      <c r="C102" s="116"/>
      <c r="D102" s="168"/>
      <c r="E102" s="168"/>
      <c r="F102" s="168"/>
      <c r="G102" s="235"/>
      <c r="H102" s="532"/>
      <c r="I102" s="235"/>
      <c r="J102" s="533"/>
      <c r="K102" s="534"/>
      <c r="L102" s="533"/>
      <c r="M102" s="534"/>
      <c r="N102" s="533"/>
      <c r="O102" s="533"/>
      <c r="P102" s="527"/>
      <c r="Q102" s="650"/>
      <c r="R102" s="696"/>
      <c r="S102" s="527"/>
      <c r="T102" s="527"/>
      <c r="U102" s="697"/>
      <c r="V102" s="1147"/>
      <c r="W102" s="698"/>
    </row>
    <row r="103" spans="3:41" ht="12.75" customHeight="1" x14ac:dyDescent="0.2">
      <c r="I103" s="202"/>
      <c r="K103" s="517"/>
      <c r="M103" s="366"/>
      <c r="O103" s="564"/>
      <c r="P103" s="506"/>
      <c r="Q103" s="708"/>
      <c r="R103" s="709"/>
      <c r="S103" s="506"/>
      <c r="T103" s="1133"/>
      <c r="U103" s="370"/>
      <c r="V103" s="1150"/>
    </row>
    <row r="104" spans="3:41" ht="12.75" customHeight="1" x14ac:dyDescent="0.2">
      <c r="I104" s="202"/>
      <c r="K104" s="517"/>
      <c r="M104" s="366"/>
      <c r="O104" s="564"/>
      <c r="P104" s="506"/>
      <c r="Q104" s="708"/>
      <c r="R104" s="709"/>
      <c r="S104" s="506"/>
      <c r="T104" s="1133"/>
      <c r="U104" s="370"/>
      <c r="V104" s="1150"/>
    </row>
    <row r="105" spans="3:41" ht="12.75" customHeight="1" x14ac:dyDescent="0.2">
      <c r="C105" s="86" t="s">
        <v>290</v>
      </c>
      <c r="E105" s="567" t="str">
        <f>dir!E75</f>
        <v>2016/17</v>
      </c>
      <c r="I105" s="202"/>
      <c r="K105" s="517"/>
      <c r="M105" s="366"/>
      <c r="O105" s="564"/>
      <c r="P105" s="506"/>
      <c r="Q105" s="708"/>
      <c r="R105" s="709"/>
      <c r="S105" s="506"/>
      <c r="T105" s="1133"/>
      <c r="U105" s="370"/>
      <c r="V105" s="1150"/>
    </row>
    <row r="106" spans="3:41" ht="12.75" customHeight="1" x14ac:dyDescent="0.2">
      <c r="C106" s="86" t="s">
        <v>314</v>
      </c>
      <c r="E106" s="567">
        <f>dir!E76</f>
        <v>42644</v>
      </c>
      <c r="I106" s="202"/>
      <c r="K106" s="517"/>
      <c r="M106" s="366"/>
      <c r="O106" s="564"/>
      <c r="P106" s="506"/>
      <c r="Q106" s="708"/>
      <c r="R106" s="709"/>
      <c r="S106" s="506"/>
      <c r="T106" s="1133"/>
      <c r="U106" s="370"/>
      <c r="V106" s="1150"/>
    </row>
    <row r="107" spans="3:41" ht="12.75" customHeight="1" x14ac:dyDescent="0.2">
      <c r="I107" s="202"/>
      <c r="K107" s="517"/>
      <c r="M107" s="366"/>
      <c r="O107" s="564"/>
      <c r="P107" s="506"/>
      <c r="Q107" s="708"/>
      <c r="R107" s="709"/>
      <c r="S107" s="506"/>
      <c r="T107" s="1133"/>
      <c r="U107" s="370"/>
      <c r="V107" s="1150"/>
    </row>
    <row r="108" spans="3:41" ht="12.75" customHeight="1" x14ac:dyDescent="0.2">
      <c r="C108" s="104"/>
      <c r="D108" s="155"/>
      <c r="E108" s="460"/>
      <c r="F108" s="155"/>
      <c r="G108" s="210"/>
      <c r="H108" s="461"/>
      <c r="I108" s="462"/>
      <c r="J108" s="462"/>
      <c r="K108" s="463"/>
      <c r="L108" s="462"/>
      <c r="M108" s="464"/>
      <c r="N108" s="105"/>
      <c r="O108" s="465"/>
      <c r="P108" s="105"/>
      <c r="Q108" s="210"/>
      <c r="R108" s="689"/>
      <c r="S108" s="105"/>
      <c r="T108" s="1129"/>
      <c r="U108" s="690"/>
      <c r="V108" s="1144"/>
      <c r="W108" s="186"/>
      <c r="AC108" s="433"/>
      <c r="AD108" s="371"/>
      <c r="AE108" s="433"/>
      <c r="AF108" s="433"/>
      <c r="AG108" s="433"/>
      <c r="AH108" s="433"/>
      <c r="AI108" s="366"/>
      <c r="AJ108" s="365"/>
      <c r="AK108" s="367"/>
      <c r="AL108" s="434"/>
      <c r="AM108" s="366"/>
    </row>
    <row r="109" spans="3:41" ht="12.75" customHeight="1" x14ac:dyDescent="0.2">
      <c r="C109" s="214"/>
      <c r="D109" s="1277" t="s">
        <v>458</v>
      </c>
      <c r="E109" s="1278"/>
      <c r="F109" s="1278"/>
      <c r="G109" s="1278"/>
      <c r="H109" s="1278"/>
      <c r="I109" s="1279"/>
      <c r="J109" s="1279"/>
      <c r="K109" s="1279"/>
      <c r="L109" s="1279"/>
      <c r="M109" s="1279"/>
      <c r="N109" s="472"/>
      <c r="O109" s="1277" t="s">
        <v>298</v>
      </c>
      <c r="P109" s="1279"/>
      <c r="Q109" s="1279"/>
      <c r="R109" s="1279"/>
      <c r="S109" s="1279"/>
      <c r="T109" s="1279"/>
      <c r="U109" s="473"/>
      <c r="V109" s="216"/>
      <c r="W109" s="474"/>
      <c r="X109" s="701"/>
      <c r="Y109" s="701"/>
      <c r="Z109" s="366"/>
      <c r="AA109" s="702"/>
      <c r="AB109" s="366"/>
      <c r="AC109" s="86"/>
      <c r="AD109" s="86"/>
      <c r="AL109" s="86"/>
      <c r="AM109" s="86"/>
      <c r="AN109" s="701"/>
      <c r="AO109" s="701"/>
    </row>
    <row r="110" spans="3:41" ht="12.75" customHeight="1" x14ac:dyDescent="0.2">
      <c r="C110" s="214"/>
      <c r="D110" s="165" t="s">
        <v>152</v>
      </c>
      <c r="E110" s="165" t="s">
        <v>296</v>
      </c>
      <c r="F110" s="165" t="s">
        <v>275</v>
      </c>
      <c r="G110" s="480" t="s">
        <v>235</v>
      </c>
      <c r="H110" s="481" t="s">
        <v>439</v>
      </c>
      <c r="I110" s="480" t="s">
        <v>333</v>
      </c>
      <c r="J110" s="480" t="s">
        <v>368</v>
      </c>
      <c r="K110" s="482" t="s">
        <v>238</v>
      </c>
      <c r="L110" s="483" t="s">
        <v>334</v>
      </c>
      <c r="M110" s="482" t="s">
        <v>238</v>
      </c>
      <c r="N110" s="259"/>
      <c r="O110" s="584" t="s">
        <v>502</v>
      </c>
      <c r="P110" s="484" t="s">
        <v>638</v>
      </c>
      <c r="Q110" s="584" t="s">
        <v>0</v>
      </c>
      <c r="R110" s="485"/>
      <c r="S110" s="487" t="s">
        <v>334</v>
      </c>
      <c r="T110" s="1130" t="s">
        <v>313</v>
      </c>
      <c r="U110" s="486" t="s">
        <v>467</v>
      </c>
      <c r="V110" s="216" t="s">
        <v>668</v>
      </c>
      <c r="W110" s="488"/>
      <c r="X110" s="704"/>
      <c r="Y110" s="704"/>
      <c r="Z110" s="705"/>
      <c r="AA110" s="706"/>
      <c r="AB110" s="705"/>
      <c r="AC110" s="86"/>
      <c r="AD110" s="86"/>
      <c r="AL110" s="86"/>
      <c r="AM110" s="86"/>
      <c r="AN110" s="701"/>
      <c r="AO110" s="704"/>
    </row>
    <row r="111" spans="3:41" ht="12.75" customHeight="1" x14ac:dyDescent="0.2">
      <c r="C111" s="214"/>
      <c r="D111" s="633"/>
      <c r="E111" s="165"/>
      <c r="F111" s="494"/>
      <c r="G111" s="480" t="s">
        <v>236</v>
      </c>
      <c r="H111" s="481" t="s">
        <v>440</v>
      </c>
      <c r="I111" s="480"/>
      <c r="J111" s="480"/>
      <c r="K111" s="482" t="s">
        <v>753</v>
      </c>
      <c r="L111" s="483"/>
      <c r="M111" s="482" t="s">
        <v>337</v>
      </c>
      <c r="N111" s="259"/>
      <c r="O111" s="584" t="s">
        <v>321</v>
      </c>
      <c r="P111" s="484" t="s">
        <v>636</v>
      </c>
      <c r="Q111" s="1176">
        <f>tab!$E$55</f>
        <v>0.62</v>
      </c>
      <c r="R111" s="485" t="s">
        <v>1</v>
      </c>
      <c r="S111" s="487" t="s">
        <v>367</v>
      </c>
      <c r="T111" s="1130" t="s">
        <v>434</v>
      </c>
      <c r="U111" s="486"/>
      <c r="V111" s="487" t="s">
        <v>367</v>
      </c>
      <c r="W111" s="331"/>
      <c r="AC111" s="86"/>
      <c r="AD111" s="86"/>
      <c r="AL111" s="86"/>
      <c r="AM111" s="86"/>
      <c r="AO111" s="506"/>
    </row>
    <row r="112" spans="3:41" ht="12.75" customHeight="1" x14ac:dyDescent="0.2">
      <c r="C112" s="108"/>
      <c r="D112" s="109"/>
      <c r="E112" s="109"/>
      <c r="F112" s="109"/>
      <c r="G112" s="113"/>
      <c r="H112" s="499"/>
      <c r="I112" s="500"/>
      <c r="J112" s="500"/>
      <c r="K112" s="501"/>
      <c r="L112" s="498"/>
      <c r="M112" s="501"/>
      <c r="N112" s="505"/>
      <c r="O112" s="502"/>
      <c r="P112" s="503"/>
      <c r="Q112" s="503"/>
      <c r="R112" s="691"/>
      <c r="S112" s="503"/>
      <c r="T112" s="694"/>
      <c r="U112" s="138"/>
      <c r="V112" s="504"/>
      <c r="W112" s="640"/>
      <c r="AC112" s="86"/>
      <c r="AD112" s="86"/>
      <c r="AL112" s="86"/>
      <c r="AM112" s="86"/>
      <c r="AO112" s="506"/>
    </row>
    <row r="113" spans="3:36" ht="12.75" customHeight="1" x14ac:dyDescent="0.2">
      <c r="C113" s="108"/>
      <c r="D113" s="115" t="str">
        <f>IF(obp!D81=0,"",obp!D81)</f>
        <v/>
      </c>
      <c r="E113" s="115" t="str">
        <f>IF(obp!E81=0,"",obp!E81)</f>
        <v>piet</v>
      </c>
      <c r="F113" s="115" t="str">
        <f>IF(obp!F81=0,"",obp!F81)</f>
        <v/>
      </c>
      <c r="G113" s="132" t="str">
        <f>IF(obp!G81="","",obp!G81+1)</f>
        <v/>
      </c>
      <c r="H113" s="508" t="str">
        <f>IF(obp!H81="","",obp!H81)</f>
        <v/>
      </c>
      <c r="I113" s="132">
        <f>IF(obp!I81=0,"",obp!I81)</f>
        <v>15</v>
      </c>
      <c r="J113" s="150">
        <f>IF(E113="","",(IF(obp!J81+1&gt;LOOKUP(I113,schaal2011,regels2011),obp!J81,obp!J81+1)))</f>
        <v>12</v>
      </c>
      <c r="K113" s="509">
        <f>IF(obp!K81="","",obp!K81)</f>
        <v>1</v>
      </c>
      <c r="L113" s="510" t="str">
        <f>IF(obp!L81="","",obp!L81)</f>
        <v/>
      </c>
      <c r="M113" s="511">
        <f t="shared" ref="M113:M132" si="24">(IF(L113="",(K113),(K113)-L113))</f>
        <v>1</v>
      </c>
      <c r="N113" s="533"/>
      <c r="O113" s="513">
        <f>IF(I113="","",VLOOKUP(I113,tab!$A$68:$V$110,J113+2,FALSE))</f>
        <v>6314</v>
      </c>
      <c r="P113" s="514">
        <f t="shared" ref="P113:P132" si="25">IF(E113="","",(O113*M113*12))</f>
        <v>75768</v>
      </c>
      <c r="Q113" s="1173">
        <f>$Q$111</f>
        <v>0.62</v>
      </c>
      <c r="R113" s="641">
        <f t="shared" ref="R113:R130" si="26">IF(E113="","",(P113)*Q113)</f>
        <v>46976.159999999996</v>
      </c>
      <c r="S113" s="514">
        <f>IF(L113="",0,(O113*12*L113*(1+tab!$D$55)*IF(I113&gt;8,tab!$F$57,tab!$F$59)))</f>
        <v>0</v>
      </c>
      <c r="T113" s="1131">
        <f t="shared" ref="T113:T132" si="27">IF(E113="",0,(P113+R113+S113))</f>
        <v>122744.16</v>
      </c>
      <c r="U113" s="219">
        <f t="shared" ref="U113:U132" si="28">IF(G113&lt;25,0,IF(G113=25,25,IF(G113&lt;40,0,IF(G113=40,40,IF(G113&gt;=40,0)))))</f>
        <v>0</v>
      </c>
      <c r="V113" s="1145">
        <f t="shared" ref="V113:V132" si="29">IF(U113=25,(O113*1.08*(K113)/2),IF(U113=40,(O113*1.08*(K113)),IF(U113=0,0)))</f>
        <v>0</v>
      </c>
      <c r="W113" s="692"/>
      <c r="AA113" s="552"/>
      <c r="AJ113" s="552"/>
    </row>
    <row r="114" spans="3:36" ht="12.75" customHeight="1" x14ac:dyDescent="0.2">
      <c r="C114" s="108"/>
      <c r="D114" s="115" t="str">
        <f>IF(obp!D82=0,"",obp!D82)</f>
        <v/>
      </c>
      <c r="E114" s="115" t="str">
        <f>IF(obp!E82=0,"",obp!E82)</f>
        <v/>
      </c>
      <c r="F114" s="115" t="str">
        <f>IF(obp!F82=0,"",obp!F82)</f>
        <v/>
      </c>
      <c r="G114" s="132" t="str">
        <f>IF(obp!G82="","",obp!G82+1)</f>
        <v/>
      </c>
      <c r="H114" s="508" t="str">
        <f>IF(obp!H82="","",obp!H82)</f>
        <v/>
      </c>
      <c r="I114" s="132" t="str">
        <f>IF(obp!I82=0,"",obp!I82)</f>
        <v/>
      </c>
      <c r="J114" s="150" t="str">
        <f>IF(E114="","",(IF(obp!J82+1&gt;LOOKUP(I114,schaal2011,regels2011),obp!J82,obp!J82+1)))</f>
        <v/>
      </c>
      <c r="K114" s="509" t="str">
        <f>IF(obp!K82="","",obp!K82)</f>
        <v/>
      </c>
      <c r="L114" s="510" t="str">
        <f>IF(obp!L82="","",obp!L82)</f>
        <v/>
      </c>
      <c r="M114" s="511" t="str">
        <f t="shared" si="24"/>
        <v/>
      </c>
      <c r="N114" s="533"/>
      <c r="O114" s="513" t="str">
        <f>IF(I114="","",VLOOKUP(I114,tab!$A$68:$V$110,J114+2,FALSE))</f>
        <v/>
      </c>
      <c r="P114" s="514" t="str">
        <f t="shared" si="25"/>
        <v/>
      </c>
      <c r="Q114" s="1173">
        <f t="shared" ref="Q114:Q132" si="30">$Q$111</f>
        <v>0.62</v>
      </c>
      <c r="R114" s="641" t="str">
        <f t="shared" si="26"/>
        <v/>
      </c>
      <c r="S114" s="514">
        <f>IF(L114="",0,(O114*12*L114*(1+tab!$D$55)*IF(I114&gt;8,tab!$F$57,tab!$F$59)))</f>
        <v>0</v>
      </c>
      <c r="T114" s="1131">
        <f t="shared" si="27"/>
        <v>0</v>
      </c>
      <c r="U114" s="219">
        <f t="shared" si="28"/>
        <v>0</v>
      </c>
      <c r="V114" s="1145">
        <f t="shared" si="29"/>
        <v>0</v>
      </c>
      <c r="W114" s="692"/>
      <c r="AA114" s="552"/>
      <c r="AJ114" s="552"/>
    </row>
    <row r="115" spans="3:36" ht="12.75" customHeight="1" x14ac:dyDescent="0.2">
      <c r="C115" s="108"/>
      <c r="D115" s="115" t="str">
        <f>IF(obp!D83=0,"",obp!D83)</f>
        <v/>
      </c>
      <c r="E115" s="115" t="str">
        <f>IF(obp!E83=0,"",obp!E83)</f>
        <v/>
      </c>
      <c r="F115" s="115" t="str">
        <f>IF(obp!F83=0,"",obp!F83)</f>
        <v/>
      </c>
      <c r="G115" s="132" t="str">
        <f>IF(obp!G83="","",obp!G83+1)</f>
        <v/>
      </c>
      <c r="H115" s="508" t="str">
        <f>IF(obp!H83="","",obp!H83)</f>
        <v/>
      </c>
      <c r="I115" s="132" t="str">
        <f>IF(obp!I83=0,"",obp!I83)</f>
        <v/>
      </c>
      <c r="J115" s="150" t="str">
        <f>IF(E115="","",(IF(obp!J83+1&gt;LOOKUP(I115,schaal2011,regels2011),obp!J83,obp!J83+1)))</f>
        <v/>
      </c>
      <c r="K115" s="509" t="str">
        <f>IF(obp!K83="","",obp!K83)</f>
        <v/>
      </c>
      <c r="L115" s="510" t="str">
        <f>IF(obp!L83="","",obp!L83)</f>
        <v/>
      </c>
      <c r="M115" s="511" t="str">
        <f t="shared" si="24"/>
        <v/>
      </c>
      <c r="N115" s="533"/>
      <c r="O115" s="513" t="str">
        <f>IF(I115="","",VLOOKUP(I115,tab!$A$68:$V$110,J115+2,FALSE))</f>
        <v/>
      </c>
      <c r="P115" s="514" t="str">
        <f t="shared" si="25"/>
        <v/>
      </c>
      <c r="Q115" s="1173">
        <f t="shared" si="30"/>
        <v>0.62</v>
      </c>
      <c r="R115" s="641" t="str">
        <f t="shared" si="26"/>
        <v/>
      </c>
      <c r="S115" s="514">
        <f>IF(L115="",0,(O115*12*L115*(1+tab!$D$55)*IF(I115&gt;8,tab!$F$57,tab!$F$59)))</f>
        <v>0</v>
      </c>
      <c r="T115" s="1131">
        <f t="shared" si="27"/>
        <v>0</v>
      </c>
      <c r="U115" s="219">
        <f t="shared" si="28"/>
        <v>0</v>
      </c>
      <c r="V115" s="1145">
        <f t="shared" si="29"/>
        <v>0</v>
      </c>
      <c r="W115" s="692"/>
      <c r="AA115" s="552"/>
      <c r="AJ115" s="552"/>
    </row>
    <row r="116" spans="3:36" ht="12.75" customHeight="1" x14ac:dyDescent="0.2">
      <c r="C116" s="108"/>
      <c r="D116" s="115" t="str">
        <f>IF(obp!D84=0,"",obp!D84)</f>
        <v/>
      </c>
      <c r="E116" s="115" t="str">
        <f>IF(obp!E84=0,"",obp!E84)</f>
        <v/>
      </c>
      <c r="F116" s="115" t="str">
        <f>IF(obp!F84=0,"",obp!F84)</f>
        <v/>
      </c>
      <c r="G116" s="132" t="str">
        <f>IF(obp!G84="","",obp!G84+1)</f>
        <v/>
      </c>
      <c r="H116" s="508" t="str">
        <f>IF(obp!H84="","",obp!H84)</f>
        <v/>
      </c>
      <c r="I116" s="132" t="str">
        <f>IF(obp!I84=0,"",obp!I84)</f>
        <v/>
      </c>
      <c r="J116" s="150" t="str">
        <f>IF(E116="","",(IF(obp!J84+1&gt;LOOKUP(I116,schaal2011,regels2011),obp!J84,obp!J84+1)))</f>
        <v/>
      </c>
      <c r="K116" s="509" t="str">
        <f>IF(obp!K84="","",obp!K84)</f>
        <v/>
      </c>
      <c r="L116" s="510" t="str">
        <f>IF(obp!L84="","",obp!L84)</f>
        <v/>
      </c>
      <c r="M116" s="511" t="str">
        <f t="shared" si="24"/>
        <v/>
      </c>
      <c r="N116" s="533"/>
      <c r="O116" s="513" t="str">
        <f>IF(I116="","",VLOOKUP(I116,tab!$A$68:$V$110,J116+2,FALSE))</f>
        <v/>
      </c>
      <c r="P116" s="514" t="str">
        <f t="shared" si="25"/>
        <v/>
      </c>
      <c r="Q116" s="1173">
        <f t="shared" si="30"/>
        <v>0.62</v>
      </c>
      <c r="R116" s="641" t="str">
        <f t="shared" si="26"/>
        <v/>
      </c>
      <c r="S116" s="514">
        <f>IF(L116="",0,(O116*12*L116*(1+tab!$D$55)*IF(I116&gt;8,tab!$F$57,tab!$F$59)))</f>
        <v>0</v>
      </c>
      <c r="T116" s="1131">
        <f t="shared" si="27"/>
        <v>0</v>
      </c>
      <c r="U116" s="219">
        <f t="shared" si="28"/>
        <v>0</v>
      </c>
      <c r="V116" s="1145">
        <f t="shared" si="29"/>
        <v>0</v>
      </c>
      <c r="W116" s="692"/>
      <c r="AA116" s="552"/>
      <c r="AJ116" s="552"/>
    </row>
    <row r="117" spans="3:36" ht="12.75" customHeight="1" x14ac:dyDescent="0.2">
      <c r="C117" s="108"/>
      <c r="D117" s="115" t="str">
        <f>IF(obp!D85=0,"",obp!D85)</f>
        <v/>
      </c>
      <c r="E117" s="115" t="str">
        <f>IF(obp!E85=0,"",obp!E85)</f>
        <v/>
      </c>
      <c r="F117" s="115" t="str">
        <f>IF(obp!F85=0,"",obp!F85)</f>
        <v/>
      </c>
      <c r="G117" s="132" t="str">
        <f>IF(obp!G85="","",obp!G85+1)</f>
        <v/>
      </c>
      <c r="H117" s="508" t="str">
        <f>IF(obp!H85="","",obp!H85)</f>
        <v/>
      </c>
      <c r="I117" s="132" t="str">
        <f>IF(obp!I85=0,"",obp!I85)</f>
        <v/>
      </c>
      <c r="J117" s="150" t="str">
        <f>IF(E117="","",(IF(obp!J85+1&gt;LOOKUP(I117,schaal2011,regels2011),obp!J85,obp!J85+1)))</f>
        <v/>
      </c>
      <c r="K117" s="509" t="str">
        <f>IF(obp!K85="","",obp!K85)</f>
        <v/>
      </c>
      <c r="L117" s="510" t="str">
        <f>IF(obp!L85="","",obp!L85)</f>
        <v/>
      </c>
      <c r="M117" s="511" t="str">
        <f t="shared" si="24"/>
        <v/>
      </c>
      <c r="N117" s="533"/>
      <c r="O117" s="513" t="str">
        <f>IF(I117="","",VLOOKUP(I117,tab!$A$68:$V$110,J117+2,FALSE))</f>
        <v/>
      </c>
      <c r="P117" s="514" t="str">
        <f t="shared" si="25"/>
        <v/>
      </c>
      <c r="Q117" s="1173">
        <f t="shared" si="30"/>
        <v>0.62</v>
      </c>
      <c r="R117" s="641" t="str">
        <f t="shared" si="26"/>
        <v/>
      </c>
      <c r="S117" s="514">
        <f>IF(L117="",0,(O117*12*L117*(1+tab!$D$55)*IF(I117&gt;8,tab!$F$57,tab!$F$59)))</f>
        <v>0</v>
      </c>
      <c r="T117" s="1131">
        <f t="shared" si="27"/>
        <v>0</v>
      </c>
      <c r="U117" s="219">
        <f t="shared" si="28"/>
        <v>0</v>
      </c>
      <c r="V117" s="1145">
        <f t="shared" si="29"/>
        <v>0</v>
      </c>
      <c r="W117" s="692"/>
      <c r="AA117" s="552"/>
      <c r="AJ117" s="552"/>
    </row>
    <row r="118" spans="3:36" ht="12.75" customHeight="1" x14ac:dyDescent="0.2">
      <c r="C118" s="108"/>
      <c r="D118" s="115" t="str">
        <f>IF(obp!D86=0,"",obp!D86)</f>
        <v/>
      </c>
      <c r="E118" s="115" t="str">
        <f>IF(obp!E86=0,"",obp!E86)</f>
        <v/>
      </c>
      <c r="F118" s="115" t="str">
        <f>IF(obp!F86=0,"",obp!F86)</f>
        <v/>
      </c>
      <c r="G118" s="132" t="str">
        <f>IF(obp!G86="","",obp!G86+1)</f>
        <v/>
      </c>
      <c r="H118" s="508" t="str">
        <f>IF(obp!H86="","",obp!H86)</f>
        <v/>
      </c>
      <c r="I118" s="132" t="str">
        <f>IF(obp!I86=0,"",obp!I86)</f>
        <v/>
      </c>
      <c r="J118" s="150" t="str">
        <f>IF(E118="","",(IF(obp!J86+1&gt;LOOKUP(I118,schaal2011,regels2011),obp!J86,obp!J86+1)))</f>
        <v/>
      </c>
      <c r="K118" s="509" t="str">
        <f>IF(obp!K86="","",obp!K86)</f>
        <v/>
      </c>
      <c r="L118" s="510" t="str">
        <f>IF(obp!L86="","",obp!L86)</f>
        <v/>
      </c>
      <c r="M118" s="511" t="str">
        <f t="shared" si="24"/>
        <v/>
      </c>
      <c r="N118" s="533"/>
      <c r="O118" s="513" t="str">
        <f>IF(I118="","",VLOOKUP(I118,tab!$A$68:$V$110,J118+2,FALSE))</f>
        <v/>
      </c>
      <c r="P118" s="514" t="str">
        <f t="shared" si="25"/>
        <v/>
      </c>
      <c r="Q118" s="1173">
        <f t="shared" si="30"/>
        <v>0.62</v>
      </c>
      <c r="R118" s="641" t="str">
        <f t="shared" si="26"/>
        <v/>
      </c>
      <c r="S118" s="514">
        <f>IF(L118="",0,(O118*12*L118*(1+tab!$D$55)*IF(I118&gt;8,tab!$F$57,tab!$F$59)))</f>
        <v>0</v>
      </c>
      <c r="T118" s="1131">
        <f t="shared" si="27"/>
        <v>0</v>
      </c>
      <c r="U118" s="219">
        <f t="shared" si="28"/>
        <v>0</v>
      </c>
      <c r="V118" s="1145">
        <f t="shared" si="29"/>
        <v>0</v>
      </c>
      <c r="W118" s="692"/>
      <c r="AA118" s="552"/>
      <c r="AJ118" s="552"/>
    </row>
    <row r="119" spans="3:36" ht="12.75" customHeight="1" x14ac:dyDescent="0.2">
      <c r="C119" s="108"/>
      <c r="D119" s="115" t="str">
        <f>IF(obp!D87=0,"",obp!D87)</f>
        <v/>
      </c>
      <c r="E119" s="115" t="str">
        <f>IF(obp!E87=0,"",obp!E87)</f>
        <v/>
      </c>
      <c r="F119" s="115" t="str">
        <f>IF(obp!F87=0,"",obp!F87)</f>
        <v/>
      </c>
      <c r="G119" s="132" t="str">
        <f>IF(obp!G87="","",obp!G87+1)</f>
        <v/>
      </c>
      <c r="H119" s="508" t="str">
        <f>IF(obp!H87="","",obp!H87)</f>
        <v/>
      </c>
      <c r="I119" s="132" t="str">
        <f>IF(obp!I87=0,"",obp!I87)</f>
        <v/>
      </c>
      <c r="J119" s="150" t="str">
        <f>IF(E119="","",(IF(obp!J87+1&gt;LOOKUP(I119,schaal2011,regels2011),obp!J87,obp!J87+1)))</f>
        <v/>
      </c>
      <c r="K119" s="509" t="str">
        <f>IF(obp!K87="","",obp!K87)</f>
        <v/>
      </c>
      <c r="L119" s="510" t="str">
        <f>IF(obp!L87="","",obp!L87)</f>
        <v/>
      </c>
      <c r="M119" s="511" t="str">
        <f t="shared" si="24"/>
        <v/>
      </c>
      <c r="N119" s="533"/>
      <c r="O119" s="513" t="str">
        <f>IF(I119="","",VLOOKUP(I119,tab!$A$68:$V$110,J119+2,FALSE))</f>
        <v/>
      </c>
      <c r="P119" s="514" t="str">
        <f t="shared" si="25"/>
        <v/>
      </c>
      <c r="Q119" s="1173">
        <f t="shared" si="30"/>
        <v>0.62</v>
      </c>
      <c r="R119" s="641" t="str">
        <f t="shared" si="26"/>
        <v/>
      </c>
      <c r="S119" s="514">
        <f>IF(L119="",0,(O119*12*L119*(1+tab!$D$55)*IF(I119&gt;8,tab!$F$57,tab!$F$59)))</f>
        <v>0</v>
      </c>
      <c r="T119" s="1131">
        <f t="shared" si="27"/>
        <v>0</v>
      </c>
      <c r="U119" s="219">
        <f t="shared" si="28"/>
        <v>0</v>
      </c>
      <c r="V119" s="1145">
        <f t="shared" si="29"/>
        <v>0</v>
      </c>
      <c r="W119" s="692"/>
      <c r="AA119" s="552"/>
      <c r="AJ119" s="552"/>
    </row>
    <row r="120" spans="3:36" ht="12.75" customHeight="1" x14ac:dyDescent="0.2">
      <c r="C120" s="108"/>
      <c r="D120" s="115" t="str">
        <f>IF(obp!D88=0,"",obp!D88)</f>
        <v/>
      </c>
      <c r="E120" s="115" t="str">
        <f>IF(obp!E88=0,"",obp!E88)</f>
        <v/>
      </c>
      <c r="F120" s="115" t="str">
        <f>IF(obp!F88=0,"",obp!F88)</f>
        <v/>
      </c>
      <c r="G120" s="132" t="str">
        <f>IF(obp!G88="","",obp!G88+1)</f>
        <v/>
      </c>
      <c r="H120" s="508" t="str">
        <f>IF(obp!H88="","",obp!H88)</f>
        <v/>
      </c>
      <c r="I120" s="132" t="str">
        <f>IF(obp!I88=0,"",obp!I88)</f>
        <v/>
      </c>
      <c r="J120" s="150" t="str">
        <f>IF(E120="","",(IF(obp!J88+1&gt;LOOKUP(I120,schaal2011,regels2011),obp!J88,obp!J88+1)))</f>
        <v/>
      </c>
      <c r="K120" s="509" t="str">
        <f>IF(obp!K88="","",obp!K88)</f>
        <v/>
      </c>
      <c r="L120" s="510" t="str">
        <f>IF(obp!L88="","",obp!L88)</f>
        <v/>
      </c>
      <c r="M120" s="511" t="str">
        <f t="shared" si="24"/>
        <v/>
      </c>
      <c r="N120" s="533"/>
      <c r="O120" s="513" t="str">
        <f>IF(I120="","",VLOOKUP(I120,tab!$A$68:$V$110,J120+2,FALSE))</f>
        <v/>
      </c>
      <c r="P120" s="514" t="str">
        <f t="shared" si="25"/>
        <v/>
      </c>
      <c r="Q120" s="1173">
        <f t="shared" si="30"/>
        <v>0.62</v>
      </c>
      <c r="R120" s="641" t="str">
        <f t="shared" si="26"/>
        <v/>
      </c>
      <c r="S120" s="514">
        <f>IF(L120="",0,(O120*12*L120*(1+tab!$D$55)*IF(I120&gt;8,tab!$F$57,tab!$F$59)))</f>
        <v>0</v>
      </c>
      <c r="T120" s="1131">
        <f t="shared" si="27"/>
        <v>0</v>
      </c>
      <c r="U120" s="219">
        <f t="shared" si="28"/>
        <v>0</v>
      </c>
      <c r="V120" s="1145">
        <f t="shared" si="29"/>
        <v>0</v>
      </c>
      <c r="W120" s="692"/>
      <c r="AA120" s="552"/>
      <c r="AJ120" s="552"/>
    </row>
    <row r="121" spans="3:36" ht="12.75" customHeight="1" x14ac:dyDescent="0.2">
      <c r="C121" s="108"/>
      <c r="D121" s="115" t="str">
        <f>IF(obp!D89=0,"",obp!D89)</f>
        <v/>
      </c>
      <c r="E121" s="115" t="str">
        <f>IF(obp!E89=0,"",obp!E89)</f>
        <v/>
      </c>
      <c r="F121" s="115" t="str">
        <f>IF(obp!F89=0,"",obp!F89)</f>
        <v/>
      </c>
      <c r="G121" s="132" t="str">
        <f>IF(obp!G89="","",obp!G89+1)</f>
        <v/>
      </c>
      <c r="H121" s="508" t="str">
        <f>IF(obp!H89="","",obp!H89)</f>
        <v/>
      </c>
      <c r="I121" s="132" t="str">
        <f>IF(obp!I89=0,"",obp!I89)</f>
        <v/>
      </c>
      <c r="J121" s="150" t="str">
        <f>IF(E121="","",(IF(obp!J89+1&gt;LOOKUP(I121,schaal2011,regels2011),obp!J89,obp!J89+1)))</f>
        <v/>
      </c>
      <c r="K121" s="509" t="str">
        <f>IF(obp!K89="","",obp!K89)</f>
        <v/>
      </c>
      <c r="L121" s="510" t="str">
        <f>IF(obp!L89="","",obp!L89)</f>
        <v/>
      </c>
      <c r="M121" s="511" t="str">
        <f t="shared" si="24"/>
        <v/>
      </c>
      <c r="N121" s="533"/>
      <c r="O121" s="513" t="str">
        <f>IF(I121="","",VLOOKUP(I121,tab!$A$68:$V$110,J121+2,FALSE))</f>
        <v/>
      </c>
      <c r="P121" s="514" t="str">
        <f t="shared" si="25"/>
        <v/>
      </c>
      <c r="Q121" s="1173">
        <f t="shared" si="30"/>
        <v>0.62</v>
      </c>
      <c r="R121" s="641" t="str">
        <f t="shared" si="26"/>
        <v/>
      </c>
      <c r="S121" s="514">
        <f>IF(L121="",0,(O121*12*L121*(1+tab!$D$55)*IF(I121&gt;8,tab!$F$57,tab!$F$59)))</f>
        <v>0</v>
      </c>
      <c r="T121" s="1131">
        <f t="shared" si="27"/>
        <v>0</v>
      </c>
      <c r="U121" s="219">
        <f t="shared" si="28"/>
        <v>0</v>
      </c>
      <c r="V121" s="1145">
        <f t="shared" si="29"/>
        <v>0</v>
      </c>
      <c r="W121" s="692"/>
      <c r="AA121" s="552"/>
      <c r="AJ121" s="552"/>
    </row>
    <row r="122" spans="3:36" ht="12.75" customHeight="1" x14ac:dyDescent="0.2">
      <c r="C122" s="108"/>
      <c r="D122" s="115" t="str">
        <f>IF(obp!D90=0,"",obp!D90)</f>
        <v/>
      </c>
      <c r="E122" s="115" t="str">
        <f>IF(obp!E90=0,"",obp!E90)</f>
        <v/>
      </c>
      <c r="F122" s="115" t="str">
        <f>IF(obp!F90=0,"",obp!F90)</f>
        <v/>
      </c>
      <c r="G122" s="132" t="str">
        <f>IF(obp!G90="","",obp!G90+1)</f>
        <v/>
      </c>
      <c r="H122" s="508" t="str">
        <f>IF(obp!H90="","",obp!H90)</f>
        <v/>
      </c>
      <c r="I122" s="132" t="str">
        <f>IF(obp!I90=0,"",obp!I90)</f>
        <v/>
      </c>
      <c r="J122" s="150" t="str">
        <f>IF(E122="","",(IF(obp!J90+1&gt;LOOKUP(I122,schaal2011,regels2011),obp!J90,obp!J90+1)))</f>
        <v/>
      </c>
      <c r="K122" s="509" t="str">
        <f>IF(obp!K90="","",obp!K90)</f>
        <v/>
      </c>
      <c r="L122" s="510" t="str">
        <f>IF(obp!L90="","",obp!L90)</f>
        <v/>
      </c>
      <c r="M122" s="511" t="str">
        <f t="shared" si="24"/>
        <v/>
      </c>
      <c r="N122" s="533"/>
      <c r="O122" s="513" t="str">
        <f>IF(I122="","",VLOOKUP(I122,tab!$A$68:$V$110,J122+2,FALSE))</f>
        <v/>
      </c>
      <c r="P122" s="514" t="str">
        <f t="shared" si="25"/>
        <v/>
      </c>
      <c r="Q122" s="1173">
        <f t="shared" si="30"/>
        <v>0.62</v>
      </c>
      <c r="R122" s="641" t="str">
        <f t="shared" si="26"/>
        <v/>
      </c>
      <c r="S122" s="514">
        <f>IF(L122="",0,(O122*12*L122*(1+tab!$D$55)*IF(I122&gt;8,tab!$F$57,tab!$F$59)))</f>
        <v>0</v>
      </c>
      <c r="T122" s="1131">
        <f t="shared" si="27"/>
        <v>0</v>
      </c>
      <c r="U122" s="219">
        <f t="shared" si="28"/>
        <v>0</v>
      </c>
      <c r="V122" s="1145">
        <f t="shared" si="29"/>
        <v>0</v>
      </c>
      <c r="W122" s="692"/>
      <c r="AA122" s="552"/>
      <c r="AJ122" s="552"/>
    </row>
    <row r="123" spans="3:36" ht="12.75" customHeight="1" x14ac:dyDescent="0.2">
      <c r="C123" s="108"/>
      <c r="D123" s="115" t="str">
        <f>IF(obp!D91=0,"",obp!D91)</f>
        <v/>
      </c>
      <c r="E123" s="115" t="str">
        <f>IF(obp!E91=0,"",obp!E91)</f>
        <v/>
      </c>
      <c r="F123" s="115" t="str">
        <f>IF(obp!F91=0,"",obp!F91)</f>
        <v/>
      </c>
      <c r="G123" s="132" t="str">
        <f>IF(obp!G91="","",obp!G91+1)</f>
        <v/>
      </c>
      <c r="H123" s="508" t="str">
        <f>IF(obp!H91="","",obp!H91)</f>
        <v/>
      </c>
      <c r="I123" s="132" t="str">
        <f>IF(obp!I91=0,"",obp!I91)</f>
        <v/>
      </c>
      <c r="J123" s="150" t="str">
        <f>IF(E123="","",(IF(obp!J91+1&gt;LOOKUP(I123,schaal2011,regels2011),obp!J91,obp!J91+1)))</f>
        <v/>
      </c>
      <c r="K123" s="509" t="str">
        <f>IF(obp!K91="","",obp!K91)</f>
        <v/>
      </c>
      <c r="L123" s="510" t="str">
        <f>IF(obp!L91="","",obp!L91)</f>
        <v/>
      </c>
      <c r="M123" s="511" t="str">
        <f t="shared" si="24"/>
        <v/>
      </c>
      <c r="N123" s="533"/>
      <c r="O123" s="513" t="str">
        <f>IF(I123="","",VLOOKUP(I123,tab!$A$68:$V$110,J123+2,FALSE))</f>
        <v/>
      </c>
      <c r="P123" s="514" t="str">
        <f t="shared" si="25"/>
        <v/>
      </c>
      <c r="Q123" s="1173">
        <f t="shared" si="30"/>
        <v>0.62</v>
      </c>
      <c r="R123" s="641" t="str">
        <f t="shared" si="26"/>
        <v/>
      </c>
      <c r="S123" s="514">
        <f>IF(L123="",0,(O123*12*L123*(1+tab!$D$55)*IF(I123&gt;8,tab!$F$57,tab!$F$59)))</f>
        <v>0</v>
      </c>
      <c r="T123" s="1131">
        <f t="shared" si="27"/>
        <v>0</v>
      </c>
      <c r="U123" s="219">
        <f t="shared" si="28"/>
        <v>0</v>
      </c>
      <c r="V123" s="1145">
        <f t="shared" si="29"/>
        <v>0</v>
      </c>
      <c r="W123" s="692"/>
      <c r="AA123" s="552"/>
      <c r="AJ123" s="552"/>
    </row>
    <row r="124" spans="3:36" ht="12.75" customHeight="1" x14ac:dyDescent="0.2">
      <c r="C124" s="108"/>
      <c r="D124" s="115" t="str">
        <f>IF(obp!D92=0,"",obp!D92)</f>
        <v/>
      </c>
      <c r="E124" s="115" t="str">
        <f>IF(obp!E92=0,"",obp!E92)</f>
        <v/>
      </c>
      <c r="F124" s="115" t="str">
        <f>IF(obp!F92=0,"",obp!F92)</f>
        <v/>
      </c>
      <c r="G124" s="132" t="str">
        <f>IF(obp!G92="","",obp!G92+1)</f>
        <v/>
      </c>
      <c r="H124" s="508" t="str">
        <f>IF(obp!H92="","",obp!H92)</f>
        <v/>
      </c>
      <c r="I124" s="132" t="str">
        <f>IF(obp!I92=0,"",obp!I92)</f>
        <v/>
      </c>
      <c r="J124" s="150" t="str">
        <f>IF(E124="","",(IF(obp!J92+1&gt;LOOKUP(I124,schaal2011,regels2011),obp!J92,obp!J92+1)))</f>
        <v/>
      </c>
      <c r="K124" s="509" t="str">
        <f>IF(obp!K92="","",obp!K92)</f>
        <v/>
      </c>
      <c r="L124" s="510" t="str">
        <f>IF(obp!L92="","",obp!L92)</f>
        <v/>
      </c>
      <c r="M124" s="511" t="str">
        <f t="shared" si="24"/>
        <v/>
      </c>
      <c r="N124" s="533"/>
      <c r="O124" s="513" t="str">
        <f>IF(I124="","",VLOOKUP(I124,tab!$A$68:$V$110,J124+2,FALSE))</f>
        <v/>
      </c>
      <c r="P124" s="514" t="str">
        <f t="shared" si="25"/>
        <v/>
      </c>
      <c r="Q124" s="1173">
        <f t="shared" si="30"/>
        <v>0.62</v>
      </c>
      <c r="R124" s="641" t="str">
        <f t="shared" si="26"/>
        <v/>
      </c>
      <c r="S124" s="514">
        <f>IF(L124="",0,(O124*12*L124*(1+tab!$D$55)*IF(I124&gt;8,tab!$F$57,tab!$F$59)))</f>
        <v>0</v>
      </c>
      <c r="T124" s="1131">
        <f t="shared" si="27"/>
        <v>0</v>
      </c>
      <c r="U124" s="219">
        <f t="shared" si="28"/>
        <v>0</v>
      </c>
      <c r="V124" s="1145">
        <f t="shared" si="29"/>
        <v>0</v>
      </c>
      <c r="W124" s="692"/>
      <c r="AA124" s="552"/>
      <c r="AJ124" s="552"/>
    </row>
    <row r="125" spans="3:36" ht="12.75" customHeight="1" x14ac:dyDescent="0.2">
      <c r="C125" s="108"/>
      <c r="D125" s="115" t="str">
        <f>IF(obp!D93=0,"",obp!D93)</f>
        <v/>
      </c>
      <c r="E125" s="115" t="str">
        <f>IF(obp!E93=0,"",obp!E93)</f>
        <v/>
      </c>
      <c r="F125" s="115" t="str">
        <f>IF(obp!F93=0,"",obp!F93)</f>
        <v/>
      </c>
      <c r="G125" s="132" t="str">
        <f>IF(obp!G93="","",obp!G93+1)</f>
        <v/>
      </c>
      <c r="H125" s="508" t="str">
        <f>IF(obp!H93="","",obp!H93)</f>
        <v/>
      </c>
      <c r="I125" s="132" t="str">
        <f>IF(obp!I93=0,"",obp!I93)</f>
        <v/>
      </c>
      <c r="J125" s="150" t="str">
        <f>IF(E125="","",(IF(obp!J93+1&gt;LOOKUP(I125,schaal2011,regels2011),obp!J93,obp!J93+1)))</f>
        <v/>
      </c>
      <c r="K125" s="509" t="str">
        <f>IF(obp!K93="","",obp!K93)</f>
        <v/>
      </c>
      <c r="L125" s="510" t="str">
        <f>IF(obp!L93="","",obp!L93)</f>
        <v/>
      </c>
      <c r="M125" s="511" t="str">
        <f t="shared" si="24"/>
        <v/>
      </c>
      <c r="N125" s="533"/>
      <c r="O125" s="513" t="str">
        <f>IF(I125="","",VLOOKUP(I125,tab!$A$68:$V$110,J125+2,FALSE))</f>
        <v/>
      </c>
      <c r="P125" s="514" t="str">
        <f t="shared" si="25"/>
        <v/>
      </c>
      <c r="Q125" s="1173">
        <f t="shared" si="30"/>
        <v>0.62</v>
      </c>
      <c r="R125" s="641" t="str">
        <f t="shared" si="26"/>
        <v/>
      </c>
      <c r="S125" s="514">
        <f>IF(L125="",0,(O125*12*L125*(1+tab!$D$55)*IF(I125&gt;8,tab!$F$57,tab!$F$59)))</f>
        <v>0</v>
      </c>
      <c r="T125" s="1131">
        <f t="shared" si="27"/>
        <v>0</v>
      </c>
      <c r="U125" s="219">
        <f t="shared" si="28"/>
        <v>0</v>
      </c>
      <c r="V125" s="1145">
        <f t="shared" si="29"/>
        <v>0</v>
      </c>
      <c r="W125" s="692"/>
      <c r="AA125" s="552"/>
      <c r="AJ125" s="552"/>
    </row>
    <row r="126" spans="3:36" ht="12.75" customHeight="1" x14ac:dyDescent="0.2">
      <c r="C126" s="108"/>
      <c r="D126" s="115" t="str">
        <f>IF(obp!D94=0,"",obp!D94)</f>
        <v/>
      </c>
      <c r="E126" s="115" t="str">
        <f>IF(obp!E94=0,"",obp!E94)</f>
        <v/>
      </c>
      <c r="F126" s="115" t="str">
        <f>IF(obp!F94=0,"",obp!F94)</f>
        <v/>
      </c>
      <c r="G126" s="132" t="str">
        <f>IF(obp!G94="","",obp!G94+1)</f>
        <v/>
      </c>
      <c r="H126" s="508" t="str">
        <f>IF(obp!H94="","",obp!H94)</f>
        <v/>
      </c>
      <c r="I126" s="132" t="str">
        <f>IF(obp!I94=0,"",obp!I94)</f>
        <v/>
      </c>
      <c r="J126" s="150" t="str">
        <f>IF(E126="","",(IF(obp!J94+1&gt;LOOKUP(I126,schaal2011,regels2011),obp!J94,obp!J94+1)))</f>
        <v/>
      </c>
      <c r="K126" s="509" t="str">
        <f>IF(obp!K94="","",obp!K94)</f>
        <v/>
      </c>
      <c r="L126" s="510" t="str">
        <f>IF(obp!L94="","",obp!L94)</f>
        <v/>
      </c>
      <c r="M126" s="511" t="str">
        <f t="shared" si="24"/>
        <v/>
      </c>
      <c r="N126" s="533"/>
      <c r="O126" s="513" t="str">
        <f>IF(I126="","",VLOOKUP(I126,tab!$A$68:$V$110,J126+2,FALSE))</f>
        <v/>
      </c>
      <c r="P126" s="514" t="str">
        <f t="shared" si="25"/>
        <v/>
      </c>
      <c r="Q126" s="1173">
        <f t="shared" si="30"/>
        <v>0.62</v>
      </c>
      <c r="R126" s="641" t="str">
        <f t="shared" si="26"/>
        <v/>
      </c>
      <c r="S126" s="514">
        <f>IF(L126="",0,(O126*12*L126*(1+tab!$D$55)*IF(I126&gt;8,tab!$F$57,tab!$F$59)))</f>
        <v>0</v>
      </c>
      <c r="T126" s="1131">
        <f t="shared" si="27"/>
        <v>0</v>
      </c>
      <c r="U126" s="219">
        <f t="shared" si="28"/>
        <v>0</v>
      </c>
      <c r="V126" s="1145">
        <f t="shared" si="29"/>
        <v>0</v>
      </c>
      <c r="W126" s="692"/>
      <c r="AA126" s="552"/>
      <c r="AJ126" s="552"/>
    </row>
    <row r="127" spans="3:36" ht="12.75" customHeight="1" x14ac:dyDescent="0.2">
      <c r="C127" s="108"/>
      <c r="D127" s="115" t="str">
        <f>IF(obp!D95=0,"",obp!D95)</f>
        <v/>
      </c>
      <c r="E127" s="115" t="str">
        <f>IF(obp!E95=0,"",obp!E95)</f>
        <v/>
      </c>
      <c r="F127" s="115" t="str">
        <f>IF(obp!F95=0,"",obp!F95)</f>
        <v/>
      </c>
      <c r="G127" s="132" t="str">
        <f>IF(obp!G95="","",obp!G95+1)</f>
        <v/>
      </c>
      <c r="H127" s="508" t="str">
        <f>IF(obp!H95="","",obp!H95)</f>
        <v/>
      </c>
      <c r="I127" s="132" t="str">
        <f>IF(obp!I95=0,"",obp!I95)</f>
        <v/>
      </c>
      <c r="J127" s="150" t="str">
        <f>IF(E127="","",(IF(obp!J95+1&gt;LOOKUP(I127,schaal2011,regels2011),obp!J95,obp!J95+1)))</f>
        <v/>
      </c>
      <c r="K127" s="509" t="str">
        <f>IF(obp!K95="","",obp!K95)</f>
        <v/>
      </c>
      <c r="L127" s="510" t="str">
        <f>IF(obp!L95="","",obp!L95)</f>
        <v/>
      </c>
      <c r="M127" s="511" t="str">
        <f t="shared" si="24"/>
        <v/>
      </c>
      <c r="N127" s="533"/>
      <c r="O127" s="513" t="str">
        <f>IF(I127="","",VLOOKUP(I127,tab!$A$68:$V$110,J127+2,FALSE))</f>
        <v/>
      </c>
      <c r="P127" s="514" t="str">
        <f t="shared" si="25"/>
        <v/>
      </c>
      <c r="Q127" s="1173">
        <f t="shared" si="30"/>
        <v>0.62</v>
      </c>
      <c r="R127" s="641" t="str">
        <f t="shared" si="26"/>
        <v/>
      </c>
      <c r="S127" s="514">
        <f>IF(L127="",0,(O127*12*L127*(1+tab!$D$55)*IF(I127&gt;8,tab!$F$57,tab!$F$59)))</f>
        <v>0</v>
      </c>
      <c r="T127" s="1131">
        <f t="shared" si="27"/>
        <v>0</v>
      </c>
      <c r="U127" s="219">
        <f t="shared" si="28"/>
        <v>0</v>
      </c>
      <c r="V127" s="1145">
        <f t="shared" si="29"/>
        <v>0</v>
      </c>
      <c r="W127" s="692"/>
      <c r="AA127" s="552"/>
      <c r="AJ127" s="552"/>
    </row>
    <row r="128" spans="3:36" ht="12.75" customHeight="1" x14ac:dyDescent="0.2">
      <c r="C128" s="108"/>
      <c r="D128" s="115" t="str">
        <f>IF(obp!D96=0,"",obp!D96)</f>
        <v/>
      </c>
      <c r="E128" s="115" t="str">
        <f>IF(obp!E96=0,"",obp!E96)</f>
        <v/>
      </c>
      <c r="F128" s="115" t="str">
        <f>IF(obp!F96=0,"",obp!F96)</f>
        <v/>
      </c>
      <c r="G128" s="132" t="str">
        <f>IF(obp!G96="","",obp!G96+1)</f>
        <v/>
      </c>
      <c r="H128" s="508" t="str">
        <f>IF(obp!H96="","",obp!H96)</f>
        <v/>
      </c>
      <c r="I128" s="132" t="str">
        <f>IF(obp!I96=0,"",obp!I96)</f>
        <v/>
      </c>
      <c r="J128" s="150" t="str">
        <f>IF(E128="","",(IF(obp!J96+1&gt;LOOKUP(I128,schaal2011,regels2011),obp!J96,obp!J96+1)))</f>
        <v/>
      </c>
      <c r="K128" s="509" t="str">
        <f>IF(obp!K96="","",obp!K96)</f>
        <v/>
      </c>
      <c r="L128" s="510" t="str">
        <f>IF(obp!L96="","",obp!L96)</f>
        <v/>
      </c>
      <c r="M128" s="511" t="str">
        <f t="shared" si="24"/>
        <v/>
      </c>
      <c r="N128" s="533"/>
      <c r="O128" s="513" t="str">
        <f>IF(I128="","",VLOOKUP(I128,tab!$A$68:$V$110,J128+2,FALSE))</f>
        <v/>
      </c>
      <c r="P128" s="514" t="str">
        <f t="shared" si="25"/>
        <v/>
      </c>
      <c r="Q128" s="1173">
        <f t="shared" si="30"/>
        <v>0.62</v>
      </c>
      <c r="R128" s="641" t="str">
        <f t="shared" si="26"/>
        <v/>
      </c>
      <c r="S128" s="514">
        <f>IF(L128="",0,(O128*12*L128*(1+tab!$D$55)*IF(I128&gt;8,tab!$F$57,tab!$F$59)))</f>
        <v>0</v>
      </c>
      <c r="T128" s="1131">
        <f t="shared" si="27"/>
        <v>0</v>
      </c>
      <c r="U128" s="219">
        <f t="shared" si="28"/>
        <v>0</v>
      </c>
      <c r="V128" s="1145">
        <f t="shared" si="29"/>
        <v>0</v>
      </c>
      <c r="W128" s="692"/>
      <c r="AA128" s="552"/>
      <c r="AJ128" s="552"/>
    </row>
    <row r="129" spans="3:41" ht="12.75" customHeight="1" x14ac:dyDescent="0.2">
      <c r="C129" s="108"/>
      <c r="D129" s="115" t="str">
        <f>IF(obp!D97=0,"",obp!D97)</f>
        <v/>
      </c>
      <c r="E129" s="115" t="str">
        <f>IF(obp!E97=0,"",obp!E97)</f>
        <v/>
      </c>
      <c r="F129" s="115" t="str">
        <f>IF(obp!F97=0,"",obp!F97)</f>
        <v/>
      </c>
      <c r="G129" s="132" t="str">
        <f>IF(obp!G97="","",obp!G97+1)</f>
        <v/>
      </c>
      <c r="H129" s="508" t="str">
        <f>IF(obp!H97="","",obp!H97)</f>
        <v/>
      </c>
      <c r="I129" s="132" t="str">
        <f>IF(obp!I97=0,"",obp!I97)</f>
        <v/>
      </c>
      <c r="J129" s="150" t="str">
        <f>IF(E129="","",(IF(obp!J97+1&gt;LOOKUP(I129,schaal2011,regels2011),obp!J97,obp!J97+1)))</f>
        <v/>
      </c>
      <c r="K129" s="509" t="str">
        <f>IF(obp!K97="","",obp!K97)</f>
        <v/>
      </c>
      <c r="L129" s="510" t="str">
        <f>IF(obp!L97="","",obp!L97)</f>
        <v/>
      </c>
      <c r="M129" s="511" t="str">
        <f t="shared" si="24"/>
        <v/>
      </c>
      <c r="N129" s="533"/>
      <c r="O129" s="513" t="str">
        <f>IF(I129="","",VLOOKUP(I129,tab!$A$68:$V$110,J129+2,FALSE))</f>
        <v/>
      </c>
      <c r="P129" s="514" t="str">
        <f t="shared" si="25"/>
        <v/>
      </c>
      <c r="Q129" s="1173">
        <f t="shared" si="30"/>
        <v>0.62</v>
      </c>
      <c r="R129" s="641" t="str">
        <f t="shared" si="26"/>
        <v/>
      </c>
      <c r="S129" s="514">
        <f>IF(L129="",0,(O129*12*L129*(1+tab!$D$55)*IF(I129&gt;8,tab!$F$57,tab!$F$59)))</f>
        <v>0</v>
      </c>
      <c r="T129" s="1131">
        <f t="shared" si="27"/>
        <v>0</v>
      </c>
      <c r="U129" s="219">
        <f t="shared" si="28"/>
        <v>0</v>
      </c>
      <c r="V129" s="1145">
        <f t="shared" si="29"/>
        <v>0</v>
      </c>
      <c r="W129" s="692"/>
      <c r="AA129" s="552"/>
      <c r="AJ129" s="552"/>
    </row>
    <row r="130" spans="3:41" ht="12.75" customHeight="1" x14ac:dyDescent="0.2">
      <c r="C130" s="108"/>
      <c r="D130" s="115" t="str">
        <f>IF(obp!D98=0,"",obp!D98)</f>
        <v/>
      </c>
      <c r="E130" s="115" t="str">
        <f>IF(obp!E98=0,"",obp!E98)</f>
        <v/>
      </c>
      <c r="F130" s="115" t="str">
        <f>IF(obp!F98=0,"",obp!F98)</f>
        <v/>
      </c>
      <c r="G130" s="132" t="str">
        <f>IF(obp!G98="","",obp!G98+1)</f>
        <v/>
      </c>
      <c r="H130" s="508" t="str">
        <f>IF(obp!H98="","",obp!H98)</f>
        <v/>
      </c>
      <c r="I130" s="132" t="str">
        <f>IF(obp!I98=0,"",obp!I98)</f>
        <v/>
      </c>
      <c r="J130" s="150" t="str">
        <f>IF(E130="","",(IF(obp!J98+1&gt;LOOKUP(I130,schaal2011,regels2011),obp!J98,obp!J98+1)))</f>
        <v/>
      </c>
      <c r="K130" s="509" t="str">
        <f>IF(obp!K98="","",obp!K98)</f>
        <v/>
      </c>
      <c r="L130" s="510" t="str">
        <f>IF(obp!L98="","",obp!L98)</f>
        <v/>
      </c>
      <c r="M130" s="511" t="str">
        <f t="shared" si="24"/>
        <v/>
      </c>
      <c r="N130" s="533"/>
      <c r="O130" s="513" t="str">
        <f>IF(I130="","",VLOOKUP(I130,tab!$A$68:$V$110,J130+2,FALSE))</f>
        <v/>
      </c>
      <c r="P130" s="514" t="str">
        <f t="shared" si="25"/>
        <v/>
      </c>
      <c r="Q130" s="1173">
        <f t="shared" si="30"/>
        <v>0.62</v>
      </c>
      <c r="R130" s="641" t="str">
        <f t="shared" si="26"/>
        <v/>
      </c>
      <c r="S130" s="514">
        <f>IF(L130="",0,(O130*12*L130*(1+tab!$D$55)*IF(I130&gt;8,tab!$F$57,tab!$F$59)))</f>
        <v>0</v>
      </c>
      <c r="T130" s="1131">
        <f t="shared" si="27"/>
        <v>0</v>
      </c>
      <c r="U130" s="219">
        <f t="shared" si="28"/>
        <v>0</v>
      </c>
      <c r="V130" s="1145">
        <f t="shared" si="29"/>
        <v>0</v>
      </c>
      <c r="W130" s="692"/>
      <c r="AA130" s="552"/>
      <c r="AJ130" s="552"/>
    </row>
    <row r="131" spans="3:41" ht="12.75" customHeight="1" x14ac:dyDescent="0.2">
      <c r="C131" s="108"/>
      <c r="D131" s="115" t="str">
        <f>IF(obp!D99=0,"",obp!D99)</f>
        <v/>
      </c>
      <c r="E131" s="115" t="str">
        <f>IF(obp!E99=0,"",obp!E99)</f>
        <v/>
      </c>
      <c r="F131" s="115" t="str">
        <f>IF(obp!F99=0,"",obp!F99)</f>
        <v/>
      </c>
      <c r="G131" s="132" t="str">
        <f>IF(obp!G99="","",obp!G99+1)</f>
        <v/>
      </c>
      <c r="H131" s="508" t="str">
        <f>IF(obp!H99="","",obp!H99)</f>
        <v/>
      </c>
      <c r="I131" s="132" t="str">
        <f>IF(obp!I99=0,"",obp!I99)</f>
        <v/>
      </c>
      <c r="J131" s="150" t="str">
        <f>IF(E131="","",(IF(obp!J99+1&gt;LOOKUP(I131,schaal2011,regels2011),obp!J99,obp!J99+1)))</f>
        <v/>
      </c>
      <c r="K131" s="509" t="str">
        <f>IF(obp!K99="","",obp!K99)</f>
        <v/>
      </c>
      <c r="L131" s="510" t="str">
        <f>IF(obp!L99="","",obp!L99)</f>
        <v/>
      </c>
      <c r="M131" s="511" t="str">
        <f t="shared" si="24"/>
        <v/>
      </c>
      <c r="N131" s="533"/>
      <c r="O131" s="513" t="str">
        <f>IF(I131="","",VLOOKUP(I131,tab!$A$68:$V$110,J131+2,FALSE))</f>
        <v/>
      </c>
      <c r="P131" s="514" t="str">
        <f t="shared" si="25"/>
        <v/>
      </c>
      <c r="Q131" s="1173">
        <f t="shared" si="30"/>
        <v>0.62</v>
      </c>
      <c r="R131" s="641" t="str">
        <f>IF(E131="","",(P131)*Q131)</f>
        <v/>
      </c>
      <c r="S131" s="514">
        <f>IF(L131="",0,(O131*12*L131*(1+tab!$D$55)*IF(I131&gt;8,tab!$F$57,tab!$F$59)))</f>
        <v>0</v>
      </c>
      <c r="T131" s="1131">
        <f t="shared" si="27"/>
        <v>0</v>
      </c>
      <c r="U131" s="219">
        <f t="shared" si="28"/>
        <v>0</v>
      </c>
      <c r="V131" s="1145">
        <f t="shared" si="29"/>
        <v>0</v>
      </c>
      <c r="W131" s="692"/>
      <c r="AA131" s="552"/>
      <c r="AJ131" s="552"/>
    </row>
    <row r="132" spans="3:41" ht="12.75" customHeight="1" x14ac:dyDescent="0.2">
      <c r="C132" s="108"/>
      <c r="D132" s="115" t="str">
        <f>IF(obp!D100=0,"",obp!D100)</f>
        <v/>
      </c>
      <c r="E132" s="115" t="str">
        <f>IF(obp!E100=0,"",obp!E100)</f>
        <v/>
      </c>
      <c r="F132" s="115" t="str">
        <f>IF(obp!F100=0,"",obp!F100)</f>
        <v/>
      </c>
      <c r="G132" s="132" t="str">
        <f>IF(obp!G100="","",obp!G100+1)</f>
        <v/>
      </c>
      <c r="H132" s="508" t="str">
        <f>IF(obp!H100="","",obp!H100)</f>
        <v/>
      </c>
      <c r="I132" s="132" t="str">
        <f>IF(obp!I100=0,"",obp!I100)</f>
        <v/>
      </c>
      <c r="J132" s="150" t="str">
        <f>IF(E132="","",(IF(obp!J100+1&gt;LOOKUP(I132,schaal2011,regels2011),obp!J100,obp!J100+1)))</f>
        <v/>
      </c>
      <c r="K132" s="509" t="str">
        <f>IF(obp!K100="","",obp!K100)</f>
        <v/>
      </c>
      <c r="L132" s="510" t="str">
        <f>IF(obp!L100="","",obp!L100)</f>
        <v/>
      </c>
      <c r="M132" s="511" t="str">
        <f t="shared" si="24"/>
        <v/>
      </c>
      <c r="N132" s="533"/>
      <c r="O132" s="513" t="str">
        <f>IF(I132="","",VLOOKUP(I132,tab!$A$68:$V$110,J132+2,FALSE))</f>
        <v/>
      </c>
      <c r="P132" s="514" t="str">
        <f t="shared" si="25"/>
        <v/>
      </c>
      <c r="Q132" s="1173">
        <f t="shared" si="30"/>
        <v>0.62</v>
      </c>
      <c r="R132" s="641" t="str">
        <f>IF(E132="","",(P132)*Q132)</f>
        <v/>
      </c>
      <c r="S132" s="514">
        <f>IF(L132="",0,(O132*12*L132*(1+tab!$D$55)*IF(I132&gt;8,tab!$F$57,tab!$F$59)))</f>
        <v>0</v>
      </c>
      <c r="T132" s="1131">
        <f t="shared" si="27"/>
        <v>0</v>
      </c>
      <c r="U132" s="219">
        <f t="shared" si="28"/>
        <v>0</v>
      </c>
      <c r="V132" s="1145">
        <f t="shared" si="29"/>
        <v>0</v>
      </c>
      <c r="W132" s="692"/>
      <c r="AA132" s="552"/>
      <c r="AJ132" s="552"/>
    </row>
    <row r="133" spans="3:41" x14ac:dyDescent="0.2">
      <c r="C133" s="108"/>
      <c r="D133" s="134"/>
      <c r="E133" s="134"/>
      <c r="F133" s="134"/>
      <c r="G133" s="149"/>
      <c r="H133" s="524"/>
      <c r="I133" s="149"/>
      <c r="J133" s="693"/>
      <c r="K133" s="525">
        <f>SUM(K113:K132)</f>
        <v>1</v>
      </c>
      <c r="L133" s="525">
        <f>SUM(L113:L132)</f>
        <v>0</v>
      </c>
      <c r="M133" s="525">
        <f>SUM(M113:M132)</f>
        <v>1</v>
      </c>
      <c r="N133" s="512"/>
      <c r="O133" s="526">
        <f t="shared" ref="O133:V133" si="31">SUM(O113:O132)</f>
        <v>6314</v>
      </c>
      <c r="P133" s="526">
        <f t="shared" si="31"/>
        <v>75768</v>
      </c>
      <c r="Q133" s="694"/>
      <c r="R133" s="526">
        <f t="shared" si="31"/>
        <v>46976.159999999996</v>
      </c>
      <c r="S133" s="526">
        <f t="shared" si="31"/>
        <v>0</v>
      </c>
      <c r="T133" s="526">
        <f t="shared" si="31"/>
        <v>122744.16</v>
      </c>
      <c r="U133" s="695">
        <f t="shared" si="31"/>
        <v>0</v>
      </c>
      <c r="V133" s="1146">
        <f t="shared" si="31"/>
        <v>0</v>
      </c>
      <c r="W133" s="167"/>
    </row>
    <row r="134" spans="3:41" x14ac:dyDescent="0.2">
      <c r="C134" s="116"/>
      <c r="D134" s="168"/>
      <c r="E134" s="168"/>
      <c r="F134" s="168"/>
      <c r="G134" s="235"/>
      <c r="H134" s="532"/>
      <c r="I134" s="235"/>
      <c r="J134" s="533"/>
      <c r="K134" s="534"/>
      <c r="L134" s="533"/>
      <c r="M134" s="534"/>
      <c r="N134" s="533"/>
      <c r="O134" s="533"/>
      <c r="P134" s="527"/>
      <c r="Q134" s="650"/>
      <c r="R134" s="696"/>
      <c r="S134" s="527"/>
      <c r="T134" s="527"/>
      <c r="U134" s="697"/>
      <c r="V134" s="1147"/>
      <c r="W134" s="698"/>
    </row>
    <row r="137" spans="3:41" x14ac:dyDescent="0.2">
      <c r="C137" s="86" t="s">
        <v>290</v>
      </c>
      <c r="E137" s="567" t="str">
        <f>dir!E97</f>
        <v>2017/18</v>
      </c>
    </row>
    <row r="138" spans="3:41" x14ac:dyDescent="0.2">
      <c r="C138" s="86" t="s">
        <v>314</v>
      </c>
      <c r="E138" s="567">
        <f>dir!E98</f>
        <v>43009</v>
      </c>
    </row>
    <row r="140" spans="3:41" ht="12.75" customHeight="1" x14ac:dyDescent="0.2">
      <c r="C140" s="104"/>
      <c r="D140" s="155"/>
      <c r="E140" s="460"/>
      <c r="F140" s="155"/>
      <c r="G140" s="210"/>
      <c r="H140" s="461"/>
      <c r="I140" s="462"/>
      <c r="J140" s="462"/>
      <c r="K140" s="463"/>
      <c r="L140" s="462"/>
      <c r="M140" s="464"/>
      <c r="N140" s="105"/>
      <c r="O140" s="465"/>
      <c r="P140" s="105"/>
      <c r="Q140" s="210"/>
      <c r="R140" s="689"/>
      <c r="S140" s="105"/>
      <c r="T140" s="1129"/>
      <c r="U140" s="690"/>
      <c r="V140" s="1144"/>
      <c r="W140" s="186"/>
      <c r="AC140" s="433"/>
      <c r="AD140" s="371"/>
      <c r="AE140" s="433"/>
      <c r="AF140" s="433"/>
      <c r="AG140" s="433"/>
      <c r="AH140" s="433"/>
      <c r="AI140" s="366"/>
      <c r="AJ140" s="365"/>
      <c r="AK140" s="367"/>
      <c r="AL140" s="434"/>
      <c r="AM140" s="366"/>
    </row>
    <row r="141" spans="3:41" ht="12.75" customHeight="1" x14ac:dyDescent="0.2">
      <c r="C141" s="214"/>
      <c r="D141" s="1277" t="s">
        <v>458</v>
      </c>
      <c r="E141" s="1278"/>
      <c r="F141" s="1278"/>
      <c r="G141" s="1278"/>
      <c r="H141" s="1278"/>
      <c r="I141" s="1279"/>
      <c r="J141" s="1279"/>
      <c r="K141" s="1279"/>
      <c r="L141" s="1279"/>
      <c r="M141" s="1279"/>
      <c r="N141" s="472"/>
      <c r="O141" s="1277" t="s">
        <v>298</v>
      </c>
      <c r="P141" s="1279"/>
      <c r="Q141" s="1279"/>
      <c r="R141" s="1279"/>
      <c r="S141" s="1279"/>
      <c r="T141" s="1279"/>
      <c r="U141" s="473"/>
      <c r="V141" s="216"/>
      <c r="W141" s="474"/>
      <c r="X141" s="701"/>
      <c r="Y141" s="701"/>
      <c r="Z141" s="366"/>
      <c r="AA141" s="702"/>
      <c r="AB141" s="366"/>
      <c r="AC141" s="86"/>
      <c r="AD141" s="86"/>
      <c r="AL141" s="86"/>
      <c r="AM141" s="86"/>
      <c r="AN141" s="701"/>
      <c r="AO141" s="701"/>
    </row>
    <row r="142" spans="3:41" ht="12.75" customHeight="1" x14ac:dyDescent="0.2">
      <c r="C142" s="214"/>
      <c r="D142" s="165" t="s">
        <v>152</v>
      </c>
      <c r="E142" s="165" t="s">
        <v>296</v>
      </c>
      <c r="F142" s="165" t="s">
        <v>275</v>
      </c>
      <c r="G142" s="480" t="s">
        <v>235</v>
      </c>
      <c r="H142" s="481" t="s">
        <v>439</v>
      </c>
      <c r="I142" s="480" t="s">
        <v>333</v>
      </c>
      <c r="J142" s="480" t="s">
        <v>368</v>
      </c>
      <c r="K142" s="482" t="s">
        <v>238</v>
      </c>
      <c r="L142" s="483" t="s">
        <v>334</v>
      </c>
      <c r="M142" s="482" t="s">
        <v>238</v>
      </c>
      <c r="N142" s="259"/>
      <c r="O142" s="584" t="s">
        <v>502</v>
      </c>
      <c r="P142" s="484" t="s">
        <v>638</v>
      </c>
      <c r="Q142" s="584" t="s">
        <v>0</v>
      </c>
      <c r="R142" s="485"/>
      <c r="S142" s="487" t="s">
        <v>334</v>
      </c>
      <c r="T142" s="1130" t="s">
        <v>313</v>
      </c>
      <c r="U142" s="486" t="s">
        <v>467</v>
      </c>
      <c r="V142" s="216" t="s">
        <v>668</v>
      </c>
      <c r="W142" s="488"/>
      <c r="X142" s="704"/>
      <c r="Y142" s="704"/>
      <c r="Z142" s="705"/>
      <c r="AA142" s="706"/>
      <c r="AB142" s="705"/>
      <c r="AC142" s="86"/>
      <c r="AD142" s="86"/>
      <c r="AL142" s="86"/>
      <c r="AM142" s="86"/>
      <c r="AN142" s="701"/>
      <c r="AO142" s="704"/>
    </row>
    <row r="143" spans="3:41" ht="12.75" customHeight="1" x14ac:dyDescent="0.2">
      <c r="C143" s="214"/>
      <c r="D143" s="633"/>
      <c r="E143" s="165"/>
      <c r="F143" s="494"/>
      <c r="G143" s="480" t="s">
        <v>236</v>
      </c>
      <c r="H143" s="481" t="s">
        <v>440</v>
      </c>
      <c r="I143" s="480"/>
      <c r="J143" s="480"/>
      <c r="K143" s="482" t="s">
        <v>753</v>
      </c>
      <c r="L143" s="483"/>
      <c r="M143" s="482" t="s">
        <v>337</v>
      </c>
      <c r="N143" s="259"/>
      <c r="O143" s="584" t="s">
        <v>321</v>
      </c>
      <c r="P143" s="484" t="s">
        <v>636</v>
      </c>
      <c r="Q143" s="1176">
        <f>tab!$E$55</f>
        <v>0.62</v>
      </c>
      <c r="R143" s="485" t="s">
        <v>1</v>
      </c>
      <c r="S143" s="487" t="s">
        <v>367</v>
      </c>
      <c r="T143" s="1130" t="s">
        <v>434</v>
      </c>
      <c r="U143" s="486"/>
      <c r="V143" s="487" t="s">
        <v>367</v>
      </c>
      <c r="W143" s="331"/>
      <c r="AC143" s="86"/>
      <c r="AD143" s="86"/>
      <c r="AL143" s="86"/>
      <c r="AM143" s="86"/>
      <c r="AO143" s="506"/>
    </row>
    <row r="144" spans="3:41" ht="12.75" customHeight="1" x14ac:dyDescent="0.2">
      <c r="C144" s="108"/>
      <c r="D144" s="109"/>
      <c r="E144" s="109"/>
      <c r="F144" s="109"/>
      <c r="G144" s="113"/>
      <c r="H144" s="499"/>
      <c r="I144" s="500"/>
      <c r="J144" s="500"/>
      <c r="K144" s="501"/>
      <c r="L144" s="498"/>
      <c r="M144" s="501"/>
      <c r="N144" s="505"/>
      <c r="O144" s="502"/>
      <c r="P144" s="503"/>
      <c r="Q144" s="503"/>
      <c r="R144" s="691"/>
      <c r="S144" s="503"/>
      <c r="T144" s="694"/>
      <c r="U144" s="138"/>
      <c r="V144" s="504"/>
      <c r="W144" s="640"/>
      <c r="AC144" s="86"/>
      <c r="AD144" s="86"/>
      <c r="AL144" s="86"/>
      <c r="AM144" s="86"/>
      <c r="AO144" s="506"/>
    </row>
    <row r="145" spans="3:36" ht="12.75" customHeight="1" x14ac:dyDescent="0.2">
      <c r="C145" s="108"/>
      <c r="D145" s="115" t="str">
        <f>IF(obp!D113=0,"",obp!D113)</f>
        <v/>
      </c>
      <c r="E145" s="115" t="str">
        <f>IF(obp!E113=0,"-",obp!E113)</f>
        <v>piet</v>
      </c>
      <c r="F145" s="115" t="str">
        <f>IF(obp!F113=0,"-",obp!F113)</f>
        <v/>
      </c>
      <c r="G145" s="132" t="str">
        <f>IF(obp!G113="","",obp!G113+1)</f>
        <v/>
      </c>
      <c r="H145" s="508" t="str">
        <f>IF(obp!H113="","",obp!H113)</f>
        <v/>
      </c>
      <c r="I145" s="132">
        <f>IF(obp!I113=0,"",obp!I113)</f>
        <v>15</v>
      </c>
      <c r="J145" s="150">
        <f>IF(E145="","",(IF(obp!J113+1&gt;LOOKUP(I145,schaal2011,regels2011),obp!J113,obp!J113+1)))</f>
        <v>12</v>
      </c>
      <c r="K145" s="509">
        <f>IF(obp!K113="","",obp!K113)</f>
        <v>1</v>
      </c>
      <c r="L145" s="510" t="str">
        <f>IF(obp!L113="","",obp!L113)</f>
        <v/>
      </c>
      <c r="M145" s="511">
        <f t="shared" ref="M145:M164" si="32">(IF(L145="",(K145),(K145)-L145))</f>
        <v>1</v>
      </c>
      <c r="N145" s="533"/>
      <c r="O145" s="513">
        <f>IF(I145="","",VLOOKUP(I145,tab!$A$68:$V$110,J145+2,FALSE))</f>
        <v>6314</v>
      </c>
      <c r="P145" s="514">
        <f t="shared" ref="P145:P164" si="33">IF(E145="","",(O145*M145*12))</f>
        <v>75768</v>
      </c>
      <c r="Q145" s="1173">
        <f>$Q$143</f>
        <v>0.62</v>
      </c>
      <c r="R145" s="641">
        <f t="shared" ref="R145:R163" si="34">IF(E145="","",(P145)*Q145)</f>
        <v>46976.159999999996</v>
      </c>
      <c r="S145" s="514">
        <f>IF(L145="",0,(O145*12*L145*(1+tab!$D$55)*IF(I145&gt;8,tab!$F$57,tab!$F$59)))</f>
        <v>0</v>
      </c>
      <c r="T145" s="1131">
        <f t="shared" ref="T145:T164" si="35">IF(E145="",0,(P145+R145+S145))</f>
        <v>122744.16</v>
      </c>
      <c r="U145" s="219">
        <f t="shared" ref="U145:U164" si="36">IF(G145&lt;25,0,IF(G145=25,25,IF(G145&lt;40,0,IF(G145=40,40,IF(G145&gt;=40,0)))))</f>
        <v>0</v>
      </c>
      <c r="V145" s="1145">
        <f t="shared" ref="V145:V164" si="37">IF(U145=25,(O145*1.08*(K145)/2),IF(U145=40,(O145*1.08*(K145)),IF(U145=0,0)))</f>
        <v>0</v>
      </c>
      <c r="W145" s="692"/>
      <c r="AA145" s="552"/>
      <c r="AJ145" s="552"/>
    </row>
    <row r="146" spans="3:36" ht="12.75" customHeight="1" x14ac:dyDescent="0.2">
      <c r="C146" s="108"/>
      <c r="D146" s="115" t="str">
        <f>IF(obp!D114=0,"",obp!D114)</f>
        <v/>
      </c>
      <c r="E146" s="115" t="str">
        <f>IF(obp!E114=0,"-",obp!E114)</f>
        <v/>
      </c>
      <c r="F146" s="115" t="str">
        <f>IF(obp!F114=0,"-",obp!F114)</f>
        <v/>
      </c>
      <c r="G146" s="132" t="str">
        <f>IF(obp!G114="","",obp!G114+1)</f>
        <v/>
      </c>
      <c r="H146" s="508" t="str">
        <f>IF(obp!H114="","",obp!H114)</f>
        <v/>
      </c>
      <c r="I146" s="132" t="str">
        <f>IF(obp!I114=0,"",obp!I114)</f>
        <v/>
      </c>
      <c r="J146" s="150" t="str">
        <f>IF(E146="","",(IF(obp!J114+1&gt;LOOKUP(I146,schaal2011,regels2011),obp!J114,obp!J114+1)))</f>
        <v/>
      </c>
      <c r="K146" s="509" t="str">
        <f>IF(obp!K114="","",obp!K114)</f>
        <v/>
      </c>
      <c r="L146" s="510" t="str">
        <f>IF(obp!L114="","",obp!L114)</f>
        <v/>
      </c>
      <c r="M146" s="511" t="str">
        <f t="shared" si="32"/>
        <v/>
      </c>
      <c r="N146" s="533"/>
      <c r="O146" s="513" t="str">
        <f>IF(I146="","",VLOOKUP(I146,tab!$A$68:$V$110,J146+2,FALSE))</f>
        <v/>
      </c>
      <c r="P146" s="514" t="str">
        <f t="shared" si="33"/>
        <v/>
      </c>
      <c r="Q146" s="1173">
        <f t="shared" ref="Q146:Q164" si="38">$Q$143</f>
        <v>0.62</v>
      </c>
      <c r="R146" s="641" t="str">
        <f t="shared" si="34"/>
        <v/>
      </c>
      <c r="S146" s="514">
        <f>IF(L146="",0,(O146*12*L146*(1+tab!$D$55)*IF(I146&gt;8,tab!$F$57,tab!$F$59)))</f>
        <v>0</v>
      </c>
      <c r="T146" s="1131">
        <f t="shared" si="35"/>
        <v>0</v>
      </c>
      <c r="U146" s="219">
        <f t="shared" si="36"/>
        <v>0</v>
      </c>
      <c r="V146" s="1145">
        <f t="shared" si="37"/>
        <v>0</v>
      </c>
      <c r="W146" s="692"/>
      <c r="AA146" s="552"/>
      <c r="AJ146" s="552"/>
    </row>
    <row r="147" spans="3:36" ht="12.75" customHeight="1" x14ac:dyDescent="0.2">
      <c r="C147" s="108"/>
      <c r="D147" s="115" t="str">
        <f>IF(obp!D115=0,"",obp!D115)</f>
        <v/>
      </c>
      <c r="E147" s="115" t="str">
        <f>IF(obp!E115=0,"-",obp!E115)</f>
        <v/>
      </c>
      <c r="F147" s="115" t="str">
        <f>IF(obp!F115=0,"-",obp!F115)</f>
        <v/>
      </c>
      <c r="G147" s="132" t="str">
        <f>IF(obp!G115="","",obp!G115+1)</f>
        <v/>
      </c>
      <c r="H147" s="508" t="str">
        <f>IF(obp!H115="","",obp!H115)</f>
        <v/>
      </c>
      <c r="I147" s="132" t="str">
        <f>IF(obp!I115=0,"",obp!I115)</f>
        <v/>
      </c>
      <c r="J147" s="150" t="str">
        <f>IF(E147="","",(IF(obp!J115+1&gt;LOOKUP(I147,schaal2011,regels2011),obp!J115,obp!J115+1)))</f>
        <v/>
      </c>
      <c r="K147" s="509" t="str">
        <f>IF(obp!K115="","",obp!K115)</f>
        <v/>
      </c>
      <c r="L147" s="510" t="str">
        <f>IF(obp!L115="","",obp!L115)</f>
        <v/>
      </c>
      <c r="M147" s="511" t="str">
        <f t="shared" si="32"/>
        <v/>
      </c>
      <c r="N147" s="533"/>
      <c r="O147" s="513" t="str">
        <f>IF(I147="","",VLOOKUP(I147,tab!$A$68:$V$110,J147+2,FALSE))</f>
        <v/>
      </c>
      <c r="P147" s="514" t="str">
        <f t="shared" si="33"/>
        <v/>
      </c>
      <c r="Q147" s="1173">
        <f t="shared" si="38"/>
        <v>0.62</v>
      </c>
      <c r="R147" s="641" t="str">
        <f t="shared" si="34"/>
        <v/>
      </c>
      <c r="S147" s="514">
        <f>IF(L147="",0,(O147*12*L147*(1+tab!$D$55)*IF(I147&gt;8,tab!$F$57,tab!$F$59)))</f>
        <v>0</v>
      </c>
      <c r="T147" s="1131">
        <f t="shared" si="35"/>
        <v>0</v>
      </c>
      <c r="U147" s="219">
        <f t="shared" si="36"/>
        <v>0</v>
      </c>
      <c r="V147" s="1145">
        <f t="shared" si="37"/>
        <v>0</v>
      </c>
      <c r="W147" s="692"/>
      <c r="AA147" s="552"/>
      <c r="AJ147" s="552"/>
    </row>
    <row r="148" spans="3:36" ht="12.75" customHeight="1" x14ac:dyDescent="0.2">
      <c r="C148" s="108"/>
      <c r="D148" s="115" t="str">
        <f>IF(obp!D116=0,"",obp!D116)</f>
        <v/>
      </c>
      <c r="E148" s="115" t="str">
        <f>IF(obp!E116=0,"-",obp!E116)</f>
        <v/>
      </c>
      <c r="F148" s="115" t="str">
        <f>IF(obp!F116=0,"-",obp!F116)</f>
        <v/>
      </c>
      <c r="G148" s="132" t="str">
        <f>IF(obp!G116="","",obp!G116+1)</f>
        <v/>
      </c>
      <c r="H148" s="508" t="str">
        <f>IF(obp!H116="","",obp!H116)</f>
        <v/>
      </c>
      <c r="I148" s="132" t="str">
        <f>IF(obp!I116=0,"",obp!I116)</f>
        <v/>
      </c>
      <c r="J148" s="150" t="str">
        <f>IF(E148="","",(IF(obp!J116+1&gt;LOOKUP(I148,schaal2011,regels2011),obp!J116,obp!J116+1)))</f>
        <v/>
      </c>
      <c r="K148" s="509" t="str">
        <f>IF(obp!K116="","",obp!K116)</f>
        <v/>
      </c>
      <c r="L148" s="510" t="str">
        <f>IF(obp!L116="","",obp!L116)</f>
        <v/>
      </c>
      <c r="M148" s="511" t="str">
        <f t="shared" si="32"/>
        <v/>
      </c>
      <c r="N148" s="533"/>
      <c r="O148" s="513" t="str">
        <f>IF(I148="","",VLOOKUP(I148,tab!$A$68:$V$110,J148+2,FALSE))</f>
        <v/>
      </c>
      <c r="P148" s="514" t="str">
        <f t="shared" si="33"/>
        <v/>
      </c>
      <c r="Q148" s="1173">
        <f t="shared" si="38"/>
        <v>0.62</v>
      </c>
      <c r="R148" s="641" t="str">
        <f t="shared" si="34"/>
        <v/>
      </c>
      <c r="S148" s="514">
        <f>IF(L148="",0,(O148*12*L148*(1+tab!$D$55)*IF(I148&gt;8,tab!$F$57,tab!$F$59)))</f>
        <v>0</v>
      </c>
      <c r="T148" s="1131">
        <f t="shared" si="35"/>
        <v>0</v>
      </c>
      <c r="U148" s="219">
        <f t="shared" si="36"/>
        <v>0</v>
      </c>
      <c r="V148" s="1145">
        <f t="shared" si="37"/>
        <v>0</v>
      </c>
      <c r="W148" s="692"/>
      <c r="AA148" s="552"/>
      <c r="AJ148" s="552"/>
    </row>
    <row r="149" spans="3:36" ht="12.75" customHeight="1" x14ac:dyDescent="0.2">
      <c r="C149" s="108"/>
      <c r="D149" s="115" t="str">
        <f>IF(obp!D117=0,"",obp!D117)</f>
        <v/>
      </c>
      <c r="E149" s="115" t="str">
        <f>IF(obp!E117=0,"-",obp!E117)</f>
        <v/>
      </c>
      <c r="F149" s="115" t="str">
        <f>IF(obp!F117=0,"-",obp!F117)</f>
        <v/>
      </c>
      <c r="G149" s="132" t="str">
        <f>IF(obp!G117="","",obp!G117+1)</f>
        <v/>
      </c>
      <c r="H149" s="508" t="str">
        <f>IF(obp!H117="","",obp!H117)</f>
        <v/>
      </c>
      <c r="I149" s="132" t="str">
        <f>IF(obp!I117=0,"",obp!I117)</f>
        <v/>
      </c>
      <c r="J149" s="150" t="str">
        <f>IF(E149="","",(IF(obp!J117+1&gt;LOOKUP(I149,schaal2011,regels2011),obp!J117,obp!J117+1)))</f>
        <v/>
      </c>
      <c r="K149" s="509" t="str">
        <f>IF(obp!K117="","",obp!K117)</f>
        <v/>
      </c>
      <c r="L149" s="510" t="str">
        <f>IF(obp!L117="","",obp!L117)</f>
        <v/>
      </c>
      <c r="M149" s="511" t="str">
        <f t="shared" si="32"/>
        <v/>
      </c>
      <c r="N149" s="533"/>
      <c r="O149" s="513" t="str">
        <f>IF(I149="","",VLOOKUP(I149,tab!$A$68:$V$110,J149+2,FALSE))</f>
        <v/>
      </c>
      <c r="P149" s="514" t="str">
        <f t="shared" si="33"/>
        <v/>
      </c>
      <c r="Q149" s="1173">
        <f t="shared" si="38"/>
        <v>0.62</v>
      </c>
      <c r="R149" s="641" t="str">
        <f t="shared" si="34"/>
        <v/>
      </c>
      <c r="S149" s="514">
        <f>IF(L149="",0,(O149*12*L149*(1+tab!$D$55)*IF(I149&gt;8,tab!$F$57,tab!$F$59)))</f>
        <v>0</v>
      </c>
      <c r="T149" s="1131">
        <f t="shared" si="35"/>
        <v>0</v>
      </c>
      <c r="U149" s="219">
        <f t="shared" si="36"/>
        <v>0</v>
      </c>
      <c r="V149" s="1145">
        <f t="shared" si="37"/>
        <v>0</v>
      </c>
      <c r="W149" s="692"/>
      <c r="AA149" s="552"/>
      <c r="AJ149" s="552"/>
    </row>
    <row r="150" spans="3:36" ht="12.75" customHeight="1" x14ac:dyDescent="0.2">
      <c r="C150" s="108"/>
      <c r="D150" s="115" t="str">
        <f>IF(obp!D118=0,"",obp!D118)</f>
        <v/>
      </c>
      <c r="E150" s="115" t="str">
        <f>IF(obp!E118=0,"-",obp!E118)</f>
        <v/>
      </c>
      <c r="F150" s="115" t="str">
        <f>IF(obp!F118=0,"-",obp!F118)</f>
        <v/>
      </c>
      <c r="G150" s="132" t="str">
        <f>IF(obp!G118="","",obp!G118+1)</f>
        <v/>
      </c>
      <c r="H150" s="508" t="str">
        <f>IF(obp!H118="","",obp!H118)</f>
        <v/>
      </c>
      <c r="I150" s="132" t="str">
        <f>IF(obp!I118=0,"",obp!I118)</f>
        <v/>
      </c>
      <c r="J150" s="150" t="str">
        <f>IF(E150="","",(IF(obp!J118+1&gt;LOOKUP(I150,schaal2011,regels2011),obp!J118,obp!J118+1)))</f>
        <v/>
      </c>
      <c r="K150" s="509" t="str">
        <f>IF(obp!K118="","",obp!K118)</f>
        <v/>
      </c>
      <c r="L150" s="510" t="str">
        <f>IF(obp!L118="","",obp!L118)</f>
        <v/>
      </c>
      <c r="M150" s="511" t="str">
        <f t="shared" si="32"/>
        <v/>
      </c>
      <c r="N150" s="533"/>
      <c r="O150" s="513" t="str">
        <f>IF(I150="","",VLOOKUP(I150,tab!$A$68:$V$110,J150+2,FALSE))</f>
        <v/>
      </c>
      <c r="P150" s="514" t="str">
        <f t="shared" si="33"/>
        <v/>
      </c>
      <c r="Q150" s="1173">
        <f t="shared" si="38"/>
        <v>0.62</v>
      </c>
      <c r="R150" s="641" t="str">
        <f t="shared" si="34"/>
        <v/>
      </c>
      <c r="S150" s="514">
        <f>IF(L150="",0,(O150*12*L150*(1+tab!$D$55)*IF(I150&gt;8,tab!$F$57,tab!$F$59)))</f>
        <v>0</v>
      </c>
      <c r="T150" s="1131">
        <f t="shared" si="35"/>
        <v>0</v>
      </c>
      <c r="U150" s="219">
        <f t="shared" si="36"/>
        <v>0</v>
      </c>
      <c r="V150" s="1145">
        <f t="shared" si="37"/>
        <v>0</v>
      </c>
      <c r="W150" s="692"/>
      <c r="AA150" s="552"/>
      <c r="AJ150" s="552"/>
    </row>
    <row r="151" spans="3:36" ht="12.75" customHeight="1" x14ac:dyDescent="0.2">
      <c r="C151" s="108"/>
      <c r="D151" s="115" t="str">
        <f>IF(obp!D119=0,"",obp!D119)</f>
        <v/>
      </c>
      <c r="E151" s="115" t="str">
        <f>IF(obp!E119=0,"-",obp!E119)</f>
        <v/>
      </c>
      <c r="F151" s="115" t="str">
        <f>IF(obp!F119=0,"-",obp!F119)</f>
        <v/>
      </c>
      <c r="G151" s="132" t="str">
        <f>IF(obp!G119="","",obp!G119+1)</f>
        <v/>
      </c>
      <c r="H151" s="508" t="str">
        <f>IF(obp!H119="","",obp!H119)</f>
        <v/>
      </c>
      <c r="I151" s="132" t="str">
        <f>IF(obp!I119=0,"",obp!I119)</f>
        <v/>
      </c>
      <c r="J151" s="150" t="str">
        <f>IF(E151="","",(IF(obp!J119+1&gt;LOOKUP(I151,schaal2011,regels2011),obp!J119,obp!J119+1)))</f>
        <v/>
      </c>
      <c r="K151" s="509" t="str">
        <f>IF(obp!K119="","",obp!K119)</f>
        <v/>
      </c>
      <c r="L151" s="510" t="str">
        <f>IF(obp!L119="","",obp!L119)</f>
        <v/>
      </c>
      <c r="M151" s="511" t="str">
        <f t="shared" si="32"/>
        <v/>
      </c>
      <c r="N151" s="533"/>
      <c r="O151" s="513" t="str">
        <f>IF(I151="","",VLOOKUP(I151,tab!$A$68:$V$110,J151+2,FALSE))</f>
        <v/>
      </c>
      <c r="P151" s="514" t="str">
        <f t="shared" si="33"/>
        <v/>
      </c>
      <c r="Q151" s="1173">
        <f t="shared" si="38"/>
        <v>0.62</v>
      </c>
      <c r="R151" s="641" t="str">
        <f t="shared" si="34"/>
        <v/>
      </c>
      <c r="S151" s="514">
        <f>IF(L151="",0,(O151*12*L151*(1+tab!$D$55)*IF(I151&gt;8,tab!$F$57,tab!$F$59)))</f>
        <v>0</v>
      </c>
      <c r="T151" s="1131">
        <f t="shared" si="35"/>
        <v>0</v>
      </c>
      <c r="U151" s="219">
        <f t="shared" si="36"/>
        <v>0</v>
      </c>
      <c r="V151" s="1145">
        <f t="shared" si="37"/>
        <v>0</v>
      </c>
      <c r="W151" s="692"/>
      <c r="AA151" s="552"/>
      <c r="AJ151" s="552"/>
    </row>
    <row r="152" spans="3:36" ht="12.75" customHeight="1" x14ac:dyDescent="0.2">
      <c r="C152" s="108"/>
      <c r="D152" s="115" t="str">
        <f>IF(obp!D120=0,"",obp!D120)</f>
        <v/>
      </c>
      <c r="E152" s="115" t="str">
        <f>IF(obp!E120=0,"-",obp!E120)</f>
        <v/>
      </c>
      <c r="F152" s="115" t="str">
        <f>IF(obp!F120=0,"-",obp!F120)</f>
        <v/>
      </c>
      <c r="G152" s="132" t="str">
        <f>IF(obp!G120="","",obp!G120+1)</f>
        <v/>
      </c>
      <c r="H152" s="508" t="str">
        <f>IF(obp!H120="","",obp!H120)</f>
        <v/>
      </c>
      <c r="I152" s="132" t="str">
        <f>IF(obp!I120=0,"",obp!I120)</f>
        <v/>
      </c>
      <c r="J152" s="150" t="str">
        <f>IF(E152="","",(IF(obp!J120+1&gt;LOOKUP(I152,schaal2011,regels2011),obp!J120,obp!J120+1)))</f>
        <v/>
      </c>
      <c r="K152" s="509" t="str">
        <f>IF(obp!K120="","",obp!K120)</f>
        <v/>
      </c>
      <c r="L152" s="510" t="str">
        <f>IF(obp!L120="","",obp!L120)</f>
        <v/>
      </c>
      <c r="M152" s="511" t="str">
        <f t="shared" si="32"/>
        <v/>
      </c>
      <c r="N152" s="533"/>
      <c r="O152" s="513" t="str">
        <f>IF(I152="","",VLOOKUP(I152,tab!$A$68:$V$110,J152+2,FALSE))</f>
        <v/>
      </c>
      <c r="P152" s="514" t="str">
        <f t="shared" si="33"/>
        <v/>
      </c>
      <c r="Q152" s="1173">
        <f t="shared" si="38"/>
        <v>0.62</v>
      </c>
      <c r="R152" s="641" t="str">
        <f t="shared" si="34"/>
        <v/>
      </c>
      <c r="S152" s="514">
        <f>IF(L152="",0,(O152*12*L152*(1+tab!$D$55)*IF(I152&gt;8,tab!$F$57,tab!$F$59)))</f>
        <v>0</v>
      </c>
      <c r="T152" s="1131">
        <f t="shared" si="35"/>
        <v>0</v>
      </c>
      <c r="U152" s="219">
        <f t="shared" si="36"/>
        <v>0</v>
      </c>
      <c r="V152" s="1145">
        <f t="shared" si="37"/>
        <v>0</v>
      </c>
      <c r="W152" s="692"/>
      <c r="AA152" s="552"/>
      <c r="AJ152" s="552"/>
    </row>
    <row r="153" spans="3:36" ht="12.75" customHeight="1" x14ac:dyDescent="0.2">
      <c r="C153" s="108"/>
      <c r="D153" s="115" t="str">
        <f>IF(obp!D121=0,"",obp!D121)</f>
        <v/>
      </c>
      <c r="E153" s="115" t="str">
        <f>IF(obp!E121=0,"-",obp!E121)</f>
        <v/>
      </c>
      <c r="F153" s="115" t="str">
        <f>IF(obp!F121=0,"-",obp!F121)</f>
        <v/>
      </c>
      <c r="G153" s="132" t="str">
        <f>IF(obp!G121="","",obp!G121+1)</f>
        <v/>
      </c>
      <c r="H153" s="508" t="str">
        <f>IF(obp!H121="","",obp!H121)</f>
        <v/>
      </c>
      <c r="I153" s="132" t="str">
        <f>IF(obp!I121=0,"",obp!I121)</f>
        <v/>
      </c>
      <c r="J153" s="150" t="str">
        <f>IF(E153="","",(IF(obp!J121+1&gt;LOOKUP(I153,schaal2011,regels2011),obp!J121,obp!J121+1)))</f>
        <v/>
      </c>
      <c r="K153" s="509" t="str">
        <f>IF(obp!K121="","",obp!K121)</f>
        <v/>
      </c>
      <c r="L153" s="510" t="str">
        <f>IF(obp!L121="","",obp!L121)</f>
        <v/>
      </c>
      <c r="M153" s="511" t="str">
        <f t="shared" si="32"/>
        <v/>
      </c>
      <c r="N153" s="533"/>
      <c r="O153" s="513" t="str">
        <f>IF(I153="","",VLOOKUP(I153,tab!$A$68:$V$110,J153+2,FALSE))</f>
        <v/>
      </c>
      <c r="P153" s="514" t="str">
        <f t="shared" si="33"/>
        <v/>
      </c>
      <c r="Q153" s="1173">
        <f t="shared" si="38"/>
        <v>0.62</v>
      </c>
      <c r="R153" s="641" t="str">
        <f t="shared" si="34"/>
        <v/>
      </c>
      <c r="S153" s="514">
        <f>IF(L153="",0,(O153*12*L153*(1+tab!$D$55)*IF(I153&gt;8,tab!$F$57,tab!$F$59)))</f>
        <v>0</v>
      </c>
      <c r="T153" s="1131">
        <f t="shared" si="35"/>
        <v>0</v>
      </c>
      <c r="U153" s="219">
        <f t="shared" si="36"/>
        <v>0</v>
      </c>
      <c r="V153" s="1145">
        <f t="shared" si="37"/>
        <v>0</v>
      </c>
      <c r="W153" s="692"/>
      <c r="AA153" s="552"/>
      <c r="AJ153" s="552"/>
    </row>
    <row r="154" spans="3:36" ht="12.75" customHeight="1" x14ac:dyDescent="0.2">
      <c r="C154" s="108"/>
      <c r="D154" s="115" t="str">
        <f>IF(obp!D122=0,"",obp!D122)</f>
        <v/>
      </c>
      <c r="E154" s="115" t="str">
        <f>IF(obp!E122=0,"-",obp!E122)</f>
        <v/>
      </c>
      <c r="F154" s="115" t="str">
        <f>IF(obp!F122=0,"-",obp!F122)</f>
        <v/>
      </c>
      <c r="G154" s="132" t="str">
        <f>IF(obp!G122="","",obp!G122+1)</f>
        <v/>
      </c>
      <c r="H154" s="508" t="str">
        <f>IF(obp!H122="","",obp!H122)</f>
        <v/>
      </c>
      <c r="I154" s="132" t="str">
        <f>IF(obp!I122=0,"",obp!I122)</f>
        <v/>
      </c>
      <c r="J154" s="150" t="str">
        <f>IF(E154="","",(IF(obp!J122+1&gt;LOOKUP(I154,schaal2011,regels2011),obp!J122,obp!J122+1)))</f>
        <v/>
      </c>
      <c r="K154" s="509" t="str">
        <f>IF(obp!K122="","",obp!K122)</f>
        <v/>
      </c>
      <c r="L154" s="510" t="str">
        <f>IF(obp!L122="","",obp!L122)</f>
        <v/>
      </c>
      <c r="M154" s="511" t="str">
        <f t="shared" si="32"/>
        <v/>
      </c>
      <c r="N154" s="533"/>
      <c r="O154" s="513" t="str">
        <f>IF(I154="","",VLOOKUP(I154,tab!$A$68:$V$110,J154+2,FALSE))</f>
        <v/>
      </c>
      <c r="P154" s="514" t="str">
        <f t="shared" si="33"/>
        <v/>
      </c>
      <c r="Q154" s="1173">
        <f t="shared" si="38"/>
        <v>0.62</v>
      </c>
      <c r="R154" s="641" t="str">
        <f t="shared" si="34"/>
        <v/>
      </c>
      <c r="S154" s="514">
        <f>IF(L154="",0,(O154*12*L154*(1+tab!$D$55)*IF(I154&gt;8,tab!$F$57,tab!$F$59)))</f>
        <v>0</v>
      </c>
      <c r="T154" s="1131">
        <f t="shared" si="35"/>
        <v>0</v>
      </c>
      <c r="U154" s="219">
        <f t="shared" si="36"/>
        <v>0</v>
      </c>
      <c r="V154" s="1145">
        <f t="shared" si="37"/>
        <v>0</v>
      </c>
      <c r="W154" s="692"/>
      <c r="AA154" s="552"/>
      <c r="AJ154" s="552"/>
    </row>
    <row r="155" spans="3:36" ht="12.75" customHeight="1" x14ac:dyDescent="0.2">
      <c r="C155" s="108"/>
      <c r="D155" s="115" t="str">
        <f>IF(obp!D123=0,"",obp!D123)</f>
        <v/>
      </c>
      <c r="E155" s="115" t="str">
        <f>IF(obp!E123=0,"-",obp!E123)</f>
        <v/>
      </c>
      <c r="F155" s="115" t="str">
        <f>IF(obp!F123=0,"-",obp!F123)</f>
        <v/>
      </c>
      <c r="G155" s="132" t="str">
        <f>IF(obp!G123="","",obp!G123+1)</f>
        <v/>
      </c>
      <c r="H155" s="508" t="str">
        <f>IF(obp!H123="","",obp!H123)</f>
        <v/>
      </c>
      <c r="I155" s="132" t="str">
        <f>IF(obp!I123=0,"",obp!I123)</f>
        <v/>
      </c>
      <c r="J155" s="150" t="str">
        <f>IF(E155="","",(IF(obp!J123+1&gt;LOOKUP(I155,schaal2011,regels2011),obp!J123,obp!J123+1)))</f>
        <v/>
      </c>
      <c r="K155" s="509" t="str">
        <f>IF(obp!K123="","",obp!K123)</f>
        <v/>
      </c>
      <c r="L155" s="510" t="str">
        <f>IF(obp!L123="","",obp!L123)</f>
        <v/>
      </c>
      <c r="M155" s="511" t="str">
        <f t="shared" si="32"/>
        <v/>
      </c>
      <c r="N155" s="533"/>
      <c r="O155" s="513" t="str">
        <f>IF(I155="","",VLOOKUP(I155,tab!$A$68:$V$110,J155+2,FALSE))</f>
        <v/>
      </c>
      <c r="P155" s="514" t="str">
        <f t="shared" si="33"/>
        <v/>
      </c>
      <c r="Q155" s="1173">
        <f t="shared" si="38"/>
        <v>0.62</v>
      </c>
      <c r="R155" s="641" t="str">
        <f t="shared" si="34"/>
        <v/>
      </c>
      <c r="S155" s="514">
        <f>IF(L155="",0,(O155*12*L155*(1+tab!$D$55)*IF(I155&gt;8,tab!$F$57,tab!$F$59)))</f>
        <v>0</v>
      </c>
      <c r="T155" s="1131">
        <f t="shared" si="35"/>
        <v>0</v>
      </c>
      <c r="U155" s="219">
        <f t="shared" si="36"/>
        <v>0</v>
      </c>
      <c r="V155" s="1145">
        <f t="shared" si="37"/>
        <v>0</v>
      </c>
      <c r="W155" s="692"/>
      <c r="AA155" s="552"/>
      <c r="AJ155" s="552"/>
    </row>
    <row r="156" spans="3:36" ht="12.75" customHeight="1" x14ac:dyDescent="0.2">
      <c r="C156" s="108"/>
      <c r="D156" s="115" t="str">
        <f>IF(obp!D124=0,"",obp!D124)</f>
        <v/>
      </c>
      <c r="E156" s="115" t="str">
        <f>IF(obp!E124=0,"-",obp!E124)</f>
        <v/>
      </c>
      <c r="F156" s="115" t="str">
        <f>IF(obp!F124=0,"-",obp!F124)</f>
        <v/>
      </c>
      <c r="G156" s="132" t="str">
        <f>IF(obp!G124="","",obp!G124+1)</f>
        <v/>
      </c>
      <c r="H156" s="508" t="str">
        <f>IF(obp!H124="","",obp!H124)</f>
        <v/>
      </c>
      <c r="I156" s="132" t="str">
        <f>IF(obp!I124=0,"",obp!I124)</f>
        <v/>
      </c>
      <c r="J156" s="150" t="str">
        <f>IF(E156="","",(IF(obp!J124+1&gt;LOOKUP(I156,schaal2011,regels2011),obp!J124,obp!J124+1)))</f>
        <v/>
      </c>
      <c r="K156" s="509" t="str">
        <f>IF(obp!K124="","",obp!K124)</f>
        <v/>
      </c>
      <c r="L156" s="510" t="str">
        <f>IF(obp!L124="","",obp!L124)</f>
        <v/>
      </c>
      <c r="M156" s="511" t="str">
        <f t="shared" si="32"/>
        <v/>
      </c>
      <c r="N156" s="533"/>
      <c r="O156" s="513" t="str">
        <f>IF(I156="","",VLOOKUP(I156,tab!$A$68:$V$110,J156+2,FALSE))</f>
        <v/>
      </c>
      <c r="P156" s="514" t="str">
        <f t="shared" si="33"/>
        <v/>
      </c>
      <c r="Q156" s="1173">
        <f t="shared" si="38"/>
        <v>0.62</v>
      </c>
      <c r="R156" s="641" t="str">
        <f t="shared" si="34"/>
        <v/>
      </c>
      <c r="S156" s="514">
        <f>IF(L156="",0,(O156*12*L156*(1+tab!$D$55)*IF(I156&gt;8,tab!$F$57,tab!$F$59)))</f>
        <v>0</v>
      </c>
      <c r="T156" s="1131">
        <f t="shared" si="35"/>
        <v>0</v>
      </c>
      <c r="U156" s="219">
        <f t="shared" si="36"/>
        <v>0</v>
      </c>
      <c r="V156" s="1145">
        <f t="shared" si="37"/>
        <v>0</v>
      </c>
      <c r="W156" s="692"/>
      <c r="AA156" s="552"/>
      <c r="AJ156" s="552"/>
    </row>
    <row r="157" spans="3:36" ht="12.75" customHeight="1" x14ac:dyDescent="0.2">
      <c r="C157" s="108"/>
      <c r="D157" s="115" t="str">
        <f>IF(obp!D125=0,"",obp!D125)</f>
        <v/>
      </c>
      <c r="E157" s="115" t="str">
        <f>IF(obp!E125=0,"-",obp!E125)</f>
        <v/>
      </c>
      <c r="F157" s="115" t="str">
        <f>IF(obp!F125=0,"-",obp!F125)</f>
        <v/>
      </c>
      <c r="G157" s="132" t="str">
        <f>IF(obp!G125="","",obp!G125+1)</f>
        <v/>
      </c>
      <c r="H157" s="508" t="str">
        <f>IF(obp!H125="","",obp!H125)</f>
        <v/>
      </c>
      <c r="I157" s="132" t="str">
        <f>IF(obp!I125=0,"",obp!I125)</f>
        <v/>
      </c>
      <c r="J157" s="150" t="str">
        <f>IF(E157="","",(IF(obp!J125+1&gt;LOOKUP(I157,schaal2011,regels2011),obp!J125,obp!J125+1)))</f>
        <v/>
      </c>
      <c r="K157" s="509" t="str">
        <f>IF(obp!K125="","",obp!K125)</f>
        <v/>
      </c>
      <c r="L157" s="510" t="str">
        <f>IF(obp!L125="","",obp!L125)</f>
        <v/>
      </c>
      <c r="M157" s="511" t="str">
        <f t="shared" si="32"/>
        <v/>
      </c>
      <c r="N157" s="533"/>
      <c r="O157" s="513" t="str">
        <f>IF(I157="","",VLOOKUP(I157,tab!$A$68:$V$110,J157+2,FALSE))</f>
        <v/>
      </c>
      <c r="P157" s="514" t="str">
        <f t="shared" si="33"/>
        <v/>
      </c>
      <c r="Q157" s="1173">
        <f t="shared" si="38"/>
        <v>0.62</v>
      </c>
      <c r="R157" s="641" t="str">
        <f t="shared" si="34"/>
        <v/>
      </c>
      <c r="S157" s="514">
        <f>IF(L157="",0,(O157*12*L157*(1+tab!$D$55)*IF(I157&gt;8,tab!$F$57,tab!$F$59)))</f>
        <v>0</v>
      </c>
      <c r="T157" s="1131">
        <f t="shared" si="35"/>
        <v>0</v>
      </c>
      <c r="U157" s="219">
        <f t="shared" si="36"/>
        <v>0</v>
      </c>
      <c r="V157" s="1145">
        <f t="shared" si="37"/>
        <v>0</v>
      </c>
      <c r="W157" s="692"/>
      <c r="AA157" s="552"/>
      <c r="AJ157" s="552"/>
    </row>
    <row r="158" spans="3:36" ht="12.75" customHeight="1" x14ac:dyDescent="0.2">
      <c r="C158" s="108"/>
      <c r="D158" s="115" t="str">
        <f>IF(obp!D126=0,"",obp!D126)</f>
        <v/>
      </c>
      <c r="E158" s="115" t="str">
        <f>IF(obp!E126=0,"-",obp!E126)</f>
        <v/>
      </c>
      <c r="F158" s="115" t="str">
        <f>IF(obp!F126=0,"-",obp!F126)</f>
        <v/>
      </c>
      <c r="G158" s="132" t="str">
        <f>IF(obp!G126="","",obp!G126+1)</f>
        <v/>
      </c>
      <c r="H158" s="508" t="str">
        <f>IF(obp!H126="","",obp!H126)</f>
        <v/>
      </c>
      <c r="I158" s="132" t="str">
        <f>IF(obp!I126=0,"",obp!I126)</f>
        <v/>
      </c>
      <c r="J158" s="150" t="str">
        <f>IF(E158="","",(IF(obp!J126+1&gt;LOOKUP(I158,schaal2011,regels2011),obp!J126,obp!J126+1)))</f>
        <v/>
      </c>
      <c r="K158" s="509" t="str">
        <f>IF(obp!K126="","",obp!K126)</f>
        <v/>
      </c>
      <c r="L158" s="510" t="str">
        <f>IF(obp!L126="","",obp!L126)</f>
        <v/>
      </c>
      <c r="M158" s="511" t="str">
        <f t="shared" si="32"/>
        <v/>
      </c>
      <c r="N158" s="533"/>
      <c r="O158" s="513" t="str">
        <f>IF(I158="","",VLOOKUP(I158,tab!$A$68:$V$110,J158+2,FALSE))</f>
        <v/>
      </c>
      <c r="P158" s="514" t="str">
        <f t="shared" si="33"/>
        <v/>
      </c>
      <c r="Q158" s="1173">
        <f t="shared" si="38"/>
        <v>0.62</v>
      </c>
      <c r="R158" s="641" t="str">
        <f t="shared" si="34"/>
        <v/>
      </c>
      <c r="S158" s="514">
        <f>IF(L158="",0,(O158*12*L158*(1+tab!$D$55)*IF(I158&gt;8,tab!$F$57,tab!$F$59)))</f>
        <v>0</v>
      </c>
      <c r="T158" s="1131">
        <f t="shared" si="35"/>
        <v>0</v>
      </c>
      <c r="U158" s="219">
        <f t="shared" si="36"/>
        <v>0</v>
      </c>
      <c r="V158" s="1145">
        <f t="shared" si="37"/>
        <v>0</v>
      </c>
      <c r="W158" s="692"/>
      <c r="AA158" s="552"/>
      <c r="AJ158" s="552"/>
    </row>
    <row r="159" spans="3:36" ht="12.75" customHeight="1" x14ac:dyDescent="0.2">
      <c r="C159" s="108"/>
      <c r="D159" s="115" t="str">
        <f>IF(obp!D127=0,"",obp!D127)</f>
        <v/>
      </c>
      <c r="E159" s="115" t="str">
        <f>IF(obp!E127=0,"-",obp!E127)</f>
        <v/>
      </c>
      <c r="F159" s="115" t="str">
        <f>IF(obp!F127=0,"-",obp!F127)</f>
        <v/>
      </c>
      <c r="G159" s="132" t="str">
        <f>IF(obp!G127="","",obp!G127+1)</f>
        <v/>
      </c>
      <c r="H159" s="508" t="str">
        <f>IF(obp!H127="","",obp!H127)</f>
        <v/>
      </c>
      <c r="I159" s="132" t="str">
        <f>IF(obp!I127=0,"",obp!I127)</f>
        <v/>
      </c>
      <c r="J159" s="150" t="str">
        <f>IF(E159="","",(IF(obp!J127+1&gt;LOOKUP(I159,schaal2011,regels2011),obp!J127,obp!J127+1)))</f>
        <v/>
      </c>
      <c r="K159" s="509" t="str">
        <f>IF(obp!K127="","",obp!K127)</f>
        <v/>
      </c>
      <c r="L159" s="510" t="str">
        <f>IF(obp!L127="","",obp!L127)</f>
        <v/>
      </c>
      <c r="M159" s="511" t="str">
        <f t="shared" si="32"/>
        <v/>
      </c>
      <c r="N159" s="533"/>
      <c r="O159" s="513" t="str">
        <f>IF(I159="","",VLOOKUP(I159,tab!$A$68:$V$110,J159+2,FALSE))</f>
        <v/>
      </c>
      <c r="P159" s="514" t="str">
        <f t="shared" si="33"/>
        <v/>
      </c>
      <c r="Q159" s="1173">
        <f t="shared" si="38"/>
        <v>0.62</v>
      </c>
      <c r="R159" s="641" t="str">
        <f t="shared" si="34"/>
        <v/>
      </c>
      <c r="S159" s="514">
        <f>IF(L159="",0,(O159*12*L159*(1+tab!$D$55)*IF(I159&gt;8,tab!$F$57,tab!$F$59)))</f>
        <v>0</v>
      </c>
      <c r="T159" s="1131">
        <f t="shared" si="35"/>
        <v>0</v>
      </c>
      <c r="U159" s="219">
        <f t="shared" si="36"/>
        <v>0</v>
      </c>
      <c r="V159" s="1145">
        <f t="shared" si="37"/>
        <v>0</v>
      </c>
      <c r="W159" s="692"/>
      <c r="AA159" s="552"/>
      <c r="AJ159" s="552"/>
    </row>
    <row r="160" spans="3:36" ht="12.75" customHeight="1" x14ac:dyDescent="0.2">
      <c r="C160" s="108"/>
      <c r="D160" s="115" t="str">
        <f>IF(obp!D128=0,"",obp!D128)</f>
        <v/>
      </c>
      <c r="E160" s="115" t="str">
        <f>IF(obp!E128=0,"-",obp!E128)</f>
        <v/>
      </c>
      <c r="F160" s="115" t="str">
        <f>IF(obp!F128=0,"-",obp!F128)</f>
        <v/>
      </c>
      <c r="G160" s="132" t="str">
        <f>IF(obp!G128="","",obp!G128+1)</f>
        <v/>
      </c>
      <c r="H160" s="508" t="str">
        <f>IF(obp!H128="","",obp!H128)</f>
        <v/>
      </c>
      <c r="I160" s="132" t="str">
        <f>IF(obp!I128=0,"",obp!I128)</f>
        <v/>
      </c>
      <c r="J160" s="150" t="str">
        <f>IF(E160="","",(IF(obp!J128+1&gt;LOOKUP(I160,schaal2011,regels2011),obp!J128,obp!J128+1)))</f>
        <v/>
      </c>
      <c r="K160" s="509" t="str">
        <f>IF(obp!K128="","",obp!K128)</f>
        <v/>
      </c>
      <c r="L160" s="510" t="str">
        <f>IF(obp!L128="","",obp!L128)</f>
        <v/>
      </c>
      <c r="M160" s="511" t="str">
        <f t="shared" si="32"/>
        <v/>
      </c>
      <c r="N160" s="533"/>
      <c r="O160" s="513" t="str">
        <f>IF(I160="","",VLOOKUP(I160,tab!$A$68:$V$110,J160+2,FALSE))</f>
        <v/>
      </c>
      <c r="P160" s="514" t="str">
        <f t="shared" si="33"/>
        <v/>
      </c>
      <c r="Q160" s="1173">
        <f t="shared" si="38"/>
        <v>0.62</v>
      </c>
      <c r="R160" s="641" t="str">
        <f t="shared" si="34"/>
        <v/>
      </c>
      <c r="S160" s="514">
        <f>IF(L160="",0,(O160*12*L160*(1+tab!$D$55)*IF(I160&gt;8,tab!$F$57,tab!$F$59)))</f>
        <v>0</v>
      </c>
      <c r="T160" s="1131">
        <f t="shared" si="35"/>
        <v>0</v>
      </c>
      <c r="U160" s="219">
        <f t="shared" si="36"/>
        <v>0</v>
      </c>
      <c r="V160" s="1145">
        <f t="shared" si="37"/>
        <v>0</v>
      </c>
      <c r="W160" s="692"/>
      <c r="AA160" s="552"/>
      <c r="AJ160" s="552"/>
    </row>
    <row r="161" spans="3:36" ht="12.75" customHeight="1" x14ac:dyDescent="0.2">
      <c r="C161" s="108"/>
      <c r="D161" s="115" t="str">
        <f>IF(obp!D129=0,"",obp!D129)</f>
        <v/>
      </c>
      <c r="E161" s="115" t="str">
        <f>IF(obp!E129=0,"-",obp!E129)</f>
        <v/>
      </c>
      <c r="F161" s="115" t="str">
        <f>IF(obp!F129=0,"-",obp!F129)</f>
        <v/>
      </c>
      <c r="G161" s="132" t="str">
        <f>IF(obp!G129="","",obp!G129+1)</f>
        <v/>
      </c>
      <c r="H161" s="508" t="str">
        <f>IF(obp!H129="","",obp!H129)</f>
        <v/>
      </c>
      <c r="I161" s="132" t="str">
        <f>IF(obp!I129=0,"",obp!I129)</f>
        <v/>
      </c>
      <c r="J161" s="150" t="str">
        <f>IF(E161="","",(IF(obp!J129+1&gt;LOOKUP(I161,schaal2011,regels2011),obp!J129,obp!J129+1)))</f>
        <v/>
      </c>
      <c r="K161" s="509" t="str">
        <f>IF(obp!K129="","",obp!K129)</f>
        <v/>
      </c>
      <c r="L161" s="510" t="str">
        <f>IF(obp!L129="","",obp!L129)</f>
        <v/>
      </c>
      <c r="M161" s="511" t="str">
        <f t="shared" si="32"/>
        <v/>
      </c>
      <c r="N161" s="533"/>
      <c r="O161" s="513" t="str">
        <f>IF(I161="","",VLOOKUP(I161,tab!$A$68:$V$110,J161+2,FALSE))</f>
        <v/>
      </c>
      <c r="P161" s="514" t="str">
        <f t="shared" si="33"/>
        <v/>
      </c>
      <c r="Q161" s="1173">
        <f t="shared" si="38"/>
        <v>0.62</v>
      </c>
      <c r="R161" s="641" t="str">
        <f t="shared" si="34"/>
        <v/>
      </c>
      <c r="S161" s="514">
        <f>IF(L161="",0,(O161*12*L161*(1+tab!$D$55)*IF(I161&gt;8,tab!$F$57,tab!$F$59)))</f>
        <v>0</v>
      </c>
      <c r="T161" s="1131">
        <f t="shared" si="35"/>
        <v>0</v>
      </c>
      <c r="U161" s="219">
        <f t="shared" si="36"/>
        <v>0</v>
      </c>
      <c r="V161" s="1145">
        <f t="shared" si="37"/>
        <v>0</v>
      </c>
      <c r="W161" s="692"/>
      <c r="AA161" s="552"/>
      <c r="AJ161" s="552"/>
    </row>
    <row r="162" spans="3:36" ht="12.75" customHeight="1" x14ac:dyDescent="0.2">
      <c r="C162" s="108"/>
      <c r="D162" s="115" t="str">
        <f>IF(obp!D130=0,"",obp!D130)</f>
        <v/>
      </c>
      <c r="E162" s="115" t="str">
        <f>IF(obp!E130=0,"-",obp!E130)</f>
        <v/>
      </c>
      <c r="F162" s="115" t="str">
        <f>IF(obp!F130=0,"-",obp!F130)</f>
        <v/>
      </c>
      <c r="G162" s="132" t="str">
        <f>IF(obp!G130="","",obp!G130+1)</f>
        <v/>
      </c>
      <c r="H162" s="508" t="str">
        <f>IF(obp!H130="","",obp!H130)</f>
        <v/>
      </c>
      <c r="I162" s="132" t="str">
        <f>IF(obp!I130=0,"",obp!I130)</f>
        <v/>
      </c>
      <c r="J162" s="150" t="str">
        <f>IF(E162="","",(IF(obp!J130+1&gt;LOOKUP(I162,schaal2011,regels2011),obp!J130,obp!J130+1)))</f>
        <v/>
      </c>
      <c r="K162" s="509" t="str">
        <f>IF(obp!K130="","",obp!K130)</f>
        <v/>
      </c>
      <c r="L162" s="510" t="str">
        <f>IF(obp!L130="","",obp!L130)</f>
        <v/>
      </c>
      <c r="M162" s="511" t="str">
        <f t="shared" si="32"/>
        <v/>
      </c>
      <c r="N162" s="533"/>
      <c r="O162" s="513" t="str">
        <f>IF(I162="","",VLOOKUP(I162,tab!$A$68:$V$110,J162+2,FALSE))</f>
        <v/>
      </c>
      <c r="P162" s="514" t="str">
        <f t="shared" si="33"/>
        <v/>
      </c>
      <c r="Q162" s="1173">
        <f t="shared" si="38"/>
        <v>0.62</v>
      </c>
      <c r="R162" s="641" t="str">
        <f t="shared" si="34"/>
        <v/>
      </c>
      <c r="S162" s="514">
        <f>IF(L162="",0,(O162*12*L162*(1+tab!$D$55)*IF(I162&gt;8,tab!$F$57,tab!$F$59)))</f>
        <v>0</v>
      </c>
      <c r="T162" s="1131">
        <f t="shared" si="35"/>
        <v>0</v>
      </c>
      <c r="U162" s="219">
        <f t="shared" si="36"/>
        <v>0</v>
      </c>
      <c r="V162" s="1145">
        <f t="shared" si="37"/>
        <v>0</v>
      </c>
      <c r="W162" s="692"/>
      <c r="AA162" s="552"/>
      <c r="AJ162" s="552"/>
    </row>
    <row r="163" spans="3:36" ht="12.75" customHeight="1" x14ac:dyDescent="0.2">
      <c r="C163" s="108"/>
      <c r="D163" s="115" t="str">
        <f>IF(obp!D131=0,"",obp!D131)</f>
        <v/>
      </c>
      <c r="E163" s="115" t="str">
        <f>IF(obp!E131=0,"-",obp!E131)</f>
        <v/>
      </c>
      <c r="F163" s="115" t="str">
        <f>IF(obp!F131=0,"-",obp!F131)</f>
        <v/>
      </c>
      <c r="G163" s="132" t="str">
        <f>IF(obp!G131="","",obp!G131+1)</f>
        <v/>
      </c>
      <c r="H163" s="508" t="str">
        <f>IF(obp!H131="","",obp!H131)</f>
        <v/>
      </c>
      <c r="I163" s="132" t="str">
        <f>IF(obp!I131=0,"",obp!I131)</f>
        <v/>
      </c>
      <c r="J163" s="150" t="str">
        <f>IF(E163="","",(IF(obp!J131+1&gt;LOOKUP(I163,schaal2011,regels2011),obp!J131,obp!J131+1)))</f>
        <v/>
      </c>
      <c r="K163" s="509" t="str">
        <f>IF(obp!K131="","",obp!K131)</f>
        <v/>
      </c>
      <c r="L163" s="510" t="str">
        <f>IF(obp!L131="","",obp!L131)</f>
        <v/>
      </c>
      <c r="M163" s="511" t="str">
        <f t="shared" si="32"/>
        <v/>
      </c>
      <c r="N163" s="533"/>
      <c r="O163" s="513" t="str">
        <f>IF(I163="","",VLOOKUP(I163,tab!$A$68:$V$110,J163+2,FALSE))</f>
        <v/>
      </c>
      <c r="P163" s="514" t="str">
        <f t="shared" si="33"/>
        <v/>
      </c>
      <c r="Q163" s="1173">
        <f t="shared" si="38"/>
        <v>0.62</v>
      </c>
      <c r="R163" s="641" t="str">
        <f t="shared" si="34"/>
        <v/>
      </c>
      <c r="S163" s="514">
        <f>IF(L163="",0,(O163*12*L163*(1+tab!$D$55)*IF(I163&gt;8,tab!$F$57,tab!$F$59)))</f>
        <v>0</v>
      </c>
      <c r="T163" s="1131">
        <f t="shared" si="35"/>
        <v>0</v>
      </c>
      <c r="U163" s="219">
        <f t="shared" si="36"/>
        <v>0</v>
      </c>
      <c r="V163" s="1145">
        <f t="shared" si="37"/>
        <v>0</v>
      </c>
      <c r="W163" s="692"/>
      <c r="AA163" s="552"/>
      <c r="AJ163" s="552"/>
    </row>
    <row r="164" spans="3:36" ht="12.75" customHeight="1" x14ac:dyDescent="0.2">
      <c r="C164" s="108"/>
      <c r="D164" s="115" t="str">
        <f>IF(obp!D132=0,"",obp!D132)</f>
        <v/>
      </c>
      <c r="E164" s="115" t="str">
        <f>IF(obp!E132=0,"-",obp!E132)</f>
        <v/>
      </c>
      <c r="F164" s="115" t="str">
        <f>IF(obp!F132=0,"-",obp!F132)</f>
        <v/>
      </c>
      <c r="G164" s="132" t="str">
        <f>IF(obp!G132="","",obp!G132+1)</f>
        <v/>
      </c>
      <c r="H164" s="508" t="str">
        <f>IF(obp!H132="","",obp!H132)</f>
        <v/>
      </c>
      <c r="I164" s="132" t="str">
        <f>IF(obp!I132=0,"",obp!I132)</f>
        <v/>
      </c>
      <c r="J164" s="150" t="str">
        <f>IF(E164="","",(IF(obp!J132+1&gt;LOOKUP(I164,schaal2011,regels2011),obp!J132,obp!J132+1)))</f>
        <v/>
      </c>
      <c r="K164" s="509" t="str">
        <f>IF(obp!K132="","",obp!K132)</f>
        <v/>
      </c>
      <c r="L164" s="510" t="str">
        <f>IF(obp!L132="","",obp!L132)</f>
        <v/>
      </c>
      <c r="M164" s="511" t="str">
        <f t="shared" si="32"/>
        <v/>
      </c>
      <c r="N164" s="533"/>
      <c r="O164" s="513" t="str">
        <f>IF(I164="","",VLOOKUP(I164,tab!$A$68:$V$110,J164+2,FALSE))</f>
        <v/>
      </c>
      <c r="P164" s="514" t="str">
        <f t="shared" si="33"/>
        <v/>
      </c>
      <c r="Q164" s="1173">
        <f t="shared" si="38"/>
        <v>0.62</v>
      </c>
      <c r="R164" s="641" t="str">
        <f>IF(E164="","",(P164)*Q164)</f>
        <v/>
      </c>
      <c r="S164" s="514">
        <f>IF(L164="",0,(O164*12*L164*(1+tab!$D$55)*IF(I164&gt;8,tab!$F$57,tab!$F$59)))</f>
        <v>0</v>
      </c>
      <c r="T164" s="1131">
        <f t="shared" si="35"/>
        <v>0</v>
      </c>
      <c r="U164" s="219">
        <f t="shared" si="36"/>
        <v>0</v>
      </c>
      <c r="V164" s="1145">
        <f t="shared" si="37"/>
        <v>0</v>
      </c>
      <c r="W164" s="692"/>
      <c r="AA164" s="552"/>
      <c r="AJ164" s="552"/>
    </row>
    <row r="165" spans="3:36" x14ac:dyDescent="0.2">
      <c r="C165" s="108"/>
      <c r="D165" s="134"/>
      <c r="E165" s="134"/>
      <c r="F165" s="134"/>
      <c r="G165" s="149"/>
      <c r="H165" s="524"/>
      <c r="I165" s="149"/>
      <c r="J165" s="693"/>
      <c r="K165" s="525">
        <f>SUM(K145:K164)</f>
        <v>1</v>
      </c>
      <c r="L165" s="525">
        <f>SUM(L145:L164)</f>
        <v>0</v>
      </c>
      <c r="M165" s="525">
        <f>SUM(M145:M164)</f>
        <v>1</v>
      </c>
      <c r="N165" s="512"/>
      <c r="O165" s="526">
        <f t="shared" ref="O165:V165" si="39">SUM(O145:O164)</f>
        <v>6314</v>
      </c>
      <c r="P165" s="526">
        <f t="shared" si="39"/>
        <v>75768</v>
      </c>
      <c r="Q165" s="694"/>
      <c r="R165" s="526">
        <f t="shared" si="39"/>
        <v>46976.159999999996</v>
      </c>
      <c r="S165" s="526">
        <f t="shared" si="39"/>
        <v>0</v>
      </c>
      <c r="T165" s="526">
        <f t="shared" si="39"/>
        <v>122744.16</v>
      </c>
      <c r="U165" s="695">
        <f t="shared" si="39"/>
        <v>0</v>
      </c>
      <c r="V165" s="1146">
        <f t="shared" si="39"/>
        <v>0</v>
      </c>
      <c r="W165" s="167"/>
    </row>
    <row r="166" spans="3:36" x14ac:dyDescent="0.2">
      <c r="C166" s="116"/>
      <c r="D166" s="168"/>
      <c r="E166" s="168"/>
      <c r="F166" s="168"/>
      <c r="G166" s="235"/>
      <c r="H166" s="532"/>
      <c r="I166" s="235"/>
      <c r="J166" s="533"/>
      <c r="K166" s="534"/>
      <c r="L166" s="533"/>
      <c r="M166" s="534"/>
      <c r="N166" s="533"/>
      <c r="O166" s="533"/>
      <c r="P166" s="527"/>
      <c r="Q166" s="650"/>
      <c r="R166" s="696"/>
      <c r="S166" s="527"/>
      <c r="T166" s="527"/>
      <c r="U166" s="697"/>
      <c r="V166" s="1147"/>
      <c r="W166" s="698"/>
    </row>
  </sheetData>
  <sheetProtection password="DFB1" sheet="1" objects="1" scenarios="1"/>
  <mergeCells count="10">
    <mergeCell ref="D12:M12"/>
    <mergeCell ref="O12:T12"/>
    <mergeCell ref="D44:M44"/>
    <mergeCell ref="O44:T44"/>
    <mergeCell ref="D141:M141"/>
    <mergeCell ref="O141:T141"/>
    <mergeCell ref="D77:M77"/>
    <mergeCell ref="O77:T77"/>
    <mergeCell ref="D109:M109"/>
    <mergeCell ref="O109:T109"/>
  </mergeCells>
  <phoneticPr fontId="0" type="noConversion"/>
  <dataValidations count="4">
    <dataValidation type="list" allowBlank="1" showInputMessage="1" showErrorMessage="1" sqref="I103:I107">
      <formula1>"LIOa,LIOb,J1,J2,J3,J4,J5,J6,1,2,3,4,5,6,7,8,9,10,11,12,13,14,15,LA,LB,LC,LD,LE,ID1,ID2,ID3"</formula1>
    </dataValidation>
    <dataValidation type="list" allowBlank="1" showInputMessage="1" showErrorMessage="1" sqref="I70:I75 I38:I42">
      <formula1>"LA,LB,LC,LD,LE"</formula1>
    </dataValidation>
    <dataValidation type="list" allowBlank="1" showInputMessage="1" showErrorMessage="1" sqref="I145:I164 I113:I132 I81:I100 I48:I67">
      <formula1>"LIOa,LIOb,1,2,3,4,5,6,7,8,9,10,11,12,13,14,ID1,ID2,ID3"</formula1>
    </dataValidation>
    <dataValidation type="list" allowBlank="1" showInputMessage="1" showErrorMessage="1" sqref="I16:I35">
      <formula1>"LIOa,LIOb,1,2,3,4,5,6,7,8,9,10,11,12,13,14,15,16,ID1,ID2,ID3"</formula1>
    </dataValidation>
  </dataValidations>
  <pageMargins left="0.74803149606299213" right="0.74803149606299213" top="0.98425196850393704" bottom="0.98425196850393704" header="0.51181102362204722" footer="0.51181102362204722"/>
  <pageSetup paperSize="9" scale="51" orientation="landscape" r:id="rId1"/>
  <headerFooter alignWithMargins="0">
    <oddHeader>&amp;L&amp;"Arial,Vet"&amp;F&amp;R&amp;"Arial,Vet"&amp;A</oddHeader>
    <oddFooter>&amp;L&amp;"Arial,Vet"PO-Raad&amp;C&amp;"Arial,Vet"&amp;D&amp;R&amp;"Arial,Vet"pagina &amp;P</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dimension ref="B1:O1557"/>
  <sheetViews>
    <sheetView showGridLines="0" zoomScale="85" zoomScaleNormal="85" zoomScaleSheetLayoutView="85" workbookViewId="0">
      <pane ySplit="10" topLeftCell="A11" activePane="bottomLeft" state="frozen"/>
      <selection activeCell="B2" sqref="B2"/>
      <selection pane="bottomLeft" activeCell="B2" sqref="B2"/>
    </sheetView>
  </sheetViews>
  <sheetFormatPr defaultColWidth="9.140625" defaultRowHeight="12.75" x14ac:dyDescent="0.2"/>
  <cols>
    <col min="1" max="1" width="3.7109375" style="86" customWidth="1"/>
    <col min="2" max="3" width="2.7109375" style="86" customWidth="1"/>
    <col min="4" max="4" width="45.7109375" style="86" customWidth="1"/>
    <col min="5" max="5" width="1.7109375" style="86" customWidth="1"/>
    <col min="6" max="6" width="8.7109375" style="202" customWidth="1"/>
    <col min="7" max="7" width="2.7109375" style="86" customWidth="1"/>
    <col min="8" max="11" width="12.85546875" style="369" customWidth="1"/>
    <col min="12" max="12" width="12.85546875" style="86" customWidth="1"/>
    <col min="13" max="15" width="2.7109375" style="86" customWidth="1"/>
    <col min="16" max="24" width="11.7109375" style="86" customWidth="1"/>
    <col min="25" max="16384" width="9.140625" style="86"/>
  </cols>
  <sheetData>
    <row r="1" spans="2:15" ht="12.75" customHeight="1" x14ac:dyDescent="0.2"/>
    <row r="2" spans="2:15" x14ac:dyDescent="0.2">
      <c r="B2" s="81"/>
      <c r="C2" s="82"/>
      <c r="D2" s="82"/>
      <c r="E2" s="82"/>
      <c r="F2" s="203"/>
      <c r="G2" s="82"/>
      <c r="H2" s="380"/>
      <c r="I2" s="380"/>
      <c r="J2" s="380"/>
      <c r="K2" s="380"/>
      <c r="L2" s="82"/>
      <c r="M2" s="82"/>
      <c r="N2" s="85"/>
    </row>
    <row r="3" spans="2:15" x14ac:dyDescent="0.2">
      <c r="B3" s="87"/>
      <c r="C3" s="88"/>
      <c r="D3" s="88"/>
      <c r="E3" s="88"/>
      <c r="F3" s="204"/>
      <c r="G3" s="88"/>
      <c r="H3" s="389"/>
      <c r="I3" s="389"/>
      <c r="J3" s="389"/>
      <c r="K3" s="389"/>
      <c r="L3" s="88"/>
      <c r="M3" s="88"/>
      <c r="N3" s="91"/>
    </row>
    <row r="4" spans="2:15" s="205" customFormat="1" ht="18.75" x14ac:dyDescent="0.3">
      <c r="B4" s="98"/>
      <c r="C4" s="94" t="s">
        <v>595</v>
      </c>
      <c r="D4" s="100"/>
      <c r="E4" s="100"/>
      <c r="F4" s="206"/>
      <c r="G4" s="100"/>
      <c r="H4" s="710"/>
      <c r="I4" s="710"/>
      <c r="J4" s="710"/>
      <c r="K4" s="710"/>
      <c r="L4" s="100"/>
      <c r="M4" s="100"/>
      <c r="N4" s="130"/>
      <c r="O4" s="711"/>
    </row>
    <row r="5" spans="2:15" s="205" customFormat="1" ht="18.75" x14ac:dyDescent="0.3">
      <c r="B5" s="98"/>
      <c r="C5" s="99" t="str">
        <f>geg!G12</f>
        <v>Basisschool</v>
      </c>
      <c r="D5" s="100"/>
      <c r="E5" s="100"/>
      <c r="F5" s="206"/>
      <c r="G5" s="100"/>
      <c r="H5" s="710"/>
      <c r="I5" s="710"/>
      <c r="J5" s="710"/>
      <c r="K5" s="710"/>
      <c r="L5" s="100"/>
      <c r="M5" s="100"/>
      <c r="N5" s="130"/>
      <c r="O5" s="711"/>
    </row>
    <row r="6" spans="2:15" s="205" customFormat="1" ht="12.75" customHeight="1" x14ac:dyDescent="0.2">
      <c r="B6" s="101"/>
      <c r="C6" s="100"/>
      <c r="D6" s="100"/>
      <c r="E6" s="100"/>
      <c r="F6" s="206"/>
      <c r="G6" s="100"/>
      <c r="H6" s="710"/>
      <c r="I6" s="710"/>
      <c r="J6" s="710"/>
      <c r="K6" s="710"/>
      <c r="L6" s="100"/>
      <c r="M6" s="100"/>
      <c r="N6" s="130"/>
    </row>
    <row r="7" spans="2:15" s="205" customFormat="1" ht="12.75" customHeight="1" x14ac:dyDescent="0.2">
      <c r="B7" s="101"/>
      <c r="C7" s="100"/>
      <c r="D7" s="100"/>
      <c r="E7" s="100"/>
      <c r="F7" s="206"/>
      <c r="G7" s="100"/>
      <c r="H7" s="710"/>
      <c r="I7" s="710"/>
      <c r="J7" s="710"/>
      <c r="K7" s="710"/>
      <c r="L7" s="100"/>
      <c r="M7" s="100"/>
      <c r="N7" s="130"/>
    </row>
    <row r="8" spans="2:15" s="124" customFormat="1" ht="12.75" customHeight="1" x14ac:dyDescent="0.2">
      <c r="B8" s="120"/>
      <c r="C8" s="95"/>
      <c r="D8" s="712"/>
      <c r="E8" s="713"/>
      <c r="F8" s="712" t="s">
        <v>388</v>
      </c>
      <c r="G8" s="713"/>
      <c r="H8" s="123">
        <f>tab!D4</f>
        <v>2013</v>
      </c>
      <c r="I8" s="123">
        <f t="shared" ref="I8:L9" si="0">H8+1</f>
        <v>2014</v>
      </c>
      <c r="J8" s="123">
        <f t="shared" si="0"/>
        <v>2015</v>
      </c>
      <c r="K8" s="123">
        <f t="shared" si="0"/>
        <v>2016</v>
      </c>
      <c r="L8" s="714">
        <f>K8+1</f>
        <v>2017</v>
      </c>
      <c r="M8" s="714"/>
      <c r="N8" s="96"/>
    </row>
    <row r="9" spans="2:15" s="124" customFormat="1" ht="12.75" customHeight="1" x14ac:dyDescent="0.2">
      <c r="B9" s="120"/>
      <c r="C9" s="95"/>
      <c r="D9" s="122"/>
      <c r="E9" s="95"/>
      <c r="F9" s="122" t="s">
        <v>520</v>
      </c>
      <c r="G9" s="95"/>
      <c r="H9" s="123">
        <f>H8-1</f>
        <v>2012</v>
      </c>
      <c r="I9" s="123">
        <f t="shared" si="0"/>
        <v>2013</v>
      </c>
      <c r="J9" s="123">
        <f t="shared" si="0"/>
        <v>2014</v>
      </c>
      <c r="K9" s="123">
        <f t="shared" si="0"/>
        <v>2015</v>
      </c>
      <c r="L9" s="123">
        <f t="shared" si="0"/>
        <v>2016</v>
      </c>
      <c r="M9" s="123"/>
      <c r="N9" s="715"/>
    </row>
    <row r="10" spans="2:15" ht="12.75" customHeight="1" x14ac:dyDescent="0.2">
      <c r="B10" s="87"/>
      <c r="C10" s="88"/>
      <c r="D10" s="89"/>
      <c r="E10" s="716"/>
      <c r="F10" s="90"/>
      <c r="G10" s="716"/>
      <c r="H10" s="717"/>
      <c r="I10" s="717"/>
      <c r="J10" s="717"/>
      <c r="K10" s="717"/>
      <c r="L10" s="718"/>
      <c r="M10" s="718"/>
      <c r="N10" s="719"/>
    </row>
    <row r="11" spans="2:15" ht="12.75" customHeight="1" x14ac:dyDescent="0.2">
      <c r="B11" s="183"/>
      <c r="C11" s="184"/>
      <c r="D11" s="720"/>
      <c r="E11" s="155"/>
      <c r="F11" s="210"/>
      <c r="G11" s="155"/>
      <c r="H11" s="466"/>
      <c r="I11" s="721"/>
      <c r="J11" s="721"/>
      <c r="K11" s="721"/>
      <c r="L11" s="105"/>
      <c r="M11" s="186"/>
      <c r="N11" s="91"/>
      <c r="O11" s="213"/>
    </row>
    <row r="12" spans="2:15" s="124" customFormat="1" ht="12.75" customHeight="1" x14ac:dyDescent="0.2">
      <c r="B12" s="722"/>
      <c r="C12" s="723"/>
      <c r="D12" s="126" t="s">
        <v>393</v>
      </c>
      <c r="E12" s="633"/>
      <c r="F12" s="330"/>
      <c r="G12" s="633"/>
      <c r="H12" s="724"/>
      <c r="I12" s="725"/>
      <c r="J12" s="725"/>
      <c r="K12" s="725"/>
      <c r="L12" s="329"/>
      <c r="M12" s="331"/>
      <c r="N12" s="96"/>
      <c r="O12" s="726"/>
    </row>
    <row r="13" spans="2:15" ht="12.75" customHeight="1" x14ac:dyDescent="0.2">
      <c r="B13" s="183"/>
      <c r="C13" s="191"/>
      <c r="D13" s="147"/>
      <c r="E13" s="109"/>
      <c r="F13" s="113"/>
      <c r="G13" s="109"/>
      <c r="H13" s="727"/>
      <c r="I13" s="728"/>
      <c r="J13" s="728"/>
      <c r="K13" s="728"/>
      <c r="L13" s="110"/>
      <c r="M13" s="188"/>
      <c r="N13" s="91"/>
      <c r="O13" s="213"/>
    </row>
    <row r="14" spans="2:15" ht="12.75" customHeight="1" x14ac:dyDescent="0.2">
      <c r="B14" s="183"/>
      <c r="C14" s="191"/>
      <c r="D14" s="260" t="s">
        <v>57</v>
      </c>
      <c r="E14" s="109"/>
      <c r="F14" s="113"/>
      <c r="G14" s="109"/>
      <c r="H14" s="727"/>
      <c r="I14" s="728"/>
      <c r="J14" s="728"/>
      <c r="K14" s="728"/>
      <c r="L14" s="110"/>
      <c r="M14" s="188"/>
      <c r="N14" s="91"/>
      <c r="O14" s="213"/>
    </row>
    <row r="15" spans="2:15" s="223" customFormat="1" ht="12.75" customHeight="1" x14ac:dyDescent="0.2">
      <c r="B15" s="224"/>
      <c r="C15" s="225"/>
      <c r="D15" s="110" t="s">
        <v>262</v>
      </c>
      <c r="E15" s="226"/>
      <c r="F15" s="131"/>
      <c r="G15" s="226"/>
      <c r="H15" s="515">
        <f>IF(geg!G27=0,0,IF(geg!G84=0,(VLOOKUP(geg!G55,tab!D167:E216,2,FALSE)),(VLOOKUP(geg!G56,tab!D167:E216,2,FALSE)+(VLOOKUP(geg!G57,tab!D167:E216,2,FALSE)+(VLOOKUP(geg!G58,tab!D167:E216,2,FALSE)+(VLOOKUP(geg!G59,tab!D167:E216,2,FALSE)))))))</f>
        <v>55304</v>
      </c>
      <c r="I15" s="515">
        <f>IF(geg!H27=0,0,IF(geg!H84=0,(VLOOKUP(geg!H55,tab!I167:J216,2,FALSE)),(VLOOKUP(geg!H56,tab!I167:J216,2,FALSE)+(VLOOKUP(geg!H57,tab!I167:J216,2,FALSE)+(VLOOKUP(geg!H58,tab!I167:J216,2,FALSE)+(VLOOKUP(geg!H59,tab!I167:J216,2,FALSE)))))))</f>
        <v>56080</v>
      </c>
      <c r="J15" s="515">
        <f>IF(geg!I27=0,0,IF(geg!I84=0,(VLOOKUP(geg!I55,tab!I167:J216,2,FALSE)),(VLOOKUP(geg!I56,tab!I167:J216,2,FALSE)+(VLOOKUP(geg!I57,tab!I167:J216,2,FALSE)+(VLOOKUP(geg!I58,tab!I167:J216,2,FALSE)+(VLOOKUP(geg!I59,tab!I167:J216,2,FALSE)))))))</f>
        <v>56080</v>
      </c>
      <c r="K15" s="515">
        <f>IF(geg!J27=0,0,IF(geg!J84=0,(VLOOKUP(geg!J55,tab!I167:J216,2,FALSE)),(VLOOKUP(geg!J56,tab!I167:J216,2,FALSE)+(VLOOKUP(geg!J57,tab!I167:J216,2,FALSE)+(VLOOKUP(geg!J58,tab!I167:J216,2,FALSE)+(VLOOKUP(geg!J59,tab!I167:J216,2,FALSE)))))))</f>
        <v>56080</v>
      </c>
      <c r="L15" s="515">
        <f>IF(geg!K27=0,0,IF(geg!K84=0,(VLOOKUP(geg!K55,tab!I167:J216,2,FALSE)),(VLOOKUP(geg!K56,tab!I167:J216,2,FALSE)+(VLOOKUP(geg!K57,tab!I167:J216,2,FALSE)+(VLOOKUP(geg!K58,tab!I167:J216,2,FALSE)+(VLOOKUP(geg!K59,tab!I167:J216,2,FALSE)))))))</f>
        <v>56080</v>
      </c>
      <c r="M15" s="729"/>
      <c r="N15" s="730"/>
    </row>
    <row r="16" spans="2:15" ht="12.75" customHeight="1" x14ac:dyDescent="0.2">
      <c r="B16" s="87"/>
      <c r="C16" s="108"/>
      <c r="D16" s="110" t="s">
        <v>263</v>
      </c>
      <c r="E16" s="110"/>
      <c r="F16" s="113"/>
      <c r="G16" s="110"/>
      <c r="H16" s="515">
        <f>IF(geg!G36=0,0,(tab!$C153+(tab!$D153*geg!G36)))</f>
        <v>81511.149999999994</v>
      </c>
      <c r="I16" s="515">
        <f>IF(geg!H36=0,0,(tab!$F153+(tab!$G153*geg!H36)))</f>
        <v>82654.53</v>
      </c>
      <c r="J16" s="515">
        <f>IF(geg!I36=0,0,(tab!$F153+(tab!$G153*geg!I36)))</f>
        <v>82654.53</v>
      </c>
      <c r="K16" s="515">
        <f>IF(geg!J36=0,0,(tab!$F153+(tab!$G153*geg!J36)))</f>
        <v>82654.53</v>
      </c>
      <c r="L16" s="515">
        <f>IF(geg!K36=0,0,(tab!$F153+(tab!$G153*geg!K36)))</f>
        <v>82654.53</v>
      </c>
      <c r="M16" s="731"/>
      <c r="N16" s="732"/>
    </row>
    <row r="17" spans="2:14" ht="12.75" customHeight="1" x14ac:dyDescent="0.2">
      <c r="B17" s="87"/>
      <c r="C17" s="108"/>
      <c r="D17" s="110" t="s">
        <v>519</v>
      </c>
      <c r="E17" s="265"/>
      <c r="F17" s="113"/>
      <c r="G17" s="265"/>
      <c r="H17" s="515">
        <f>IF(geg!G50=0,0,(+tab!$C154+(tab!$D154*geg!G50)))</f>
        <v>0</v>
      </c>
      <c r="I17" s="515">
        <f>IF(geg!H50=0,0,(+tab!$F154+(tab!$G154*geg!H50)))</f>
        <v>0</v>
      </c>
      <c r="J17" s="515">
        <f>IF(geg!I50=0,0,(+tab!$F154+(tab!$G154*geg!I50)))</f>
        <v>0</v>
      </c>
      <c r="K17" s="515">
        <f>IF(geg!J50=0,0,(+tab!$F154+(tab!$G154*geg!J50)))</f>
        <v>0</v>
      </c>
      <c r="L17" s="515">
        <f>IF(geg!K50=0,0,(+tab!$F154+(tab!$G154*geg!K50)))</f>
        <v>0</v>
      </c>
      <c r="M17" s="731"/>
      <c r="N17" s="732"/>
    </row>
    <row r="18" spans="2:14" ht="12.75" customHeight="1" x14ac:dyDescent="0.2">
      <c r="B18" s="87"/>
      <c r="C18" s="108"/>
      <c r="D18" s="110" t="s">
        <v>287</v>
      </c>
      <c r="E18" s="226"/>
      <c r="F18" s="113"/>
      <c r="G18" s="226"/>
      <c r="H18" s="515">
        <f>IF(geg!G36=0,0,+tab!$C$155+(tab!$D$155*H19))</f>
        <v>0</v>
      </c>
      <c r="I18" s="515">
        <f>IF(geg!H36=0,0,+tab!$F$155+(tab!$G$155*I19))</f>
        <v>0</v>
      </c>
      <c r="J18" s="515">
        <f>IF(geg!I36=0,0,+tab!$F$155+(tab!$G$155*J19))</f>
        <v>0</v>
      </c>
      <c r="K18" s="515">
        <f>IF(geg!J36=0,0,+tab!$F$155+(tab!$G$155*K19))</f>
        <v>0</v>
      </c>
      <c r="L18" s="515">
        <f>IF(geg!K36=0,0,+tab!$F$155+(tab!$G$155*L19))</f>
        <v>0</v>
      </c>
      <c r="M18" s="731"/>
      <c r="N18" s="732"/>
    </row>
    <row r="19" spans="2:14" ht="12.75" hidden="1" customHeight="1" x14ac:dyDescent="0.2">
      <c r="B19" s="87"/>
      <c r="C19" s="108"/>
      <c r="D19" s="733" t="s">
        <v>264</v>
      </c>
      <c r="E19" s="734"/>
      <c r="F19" s="735"/>
      <c r="G19" s="734"/>
      <c r="H19" s="736">
        <f>IF(geg!$G$38="ja",(ROUND(geg!G36*2%,0)),0)</f>
        <v>0</v>
      </c>
      <c r="I19" s="736">
        <f>IF(geg!$G$38="ja",(ROUND(geg!H36*2%,0)),0)</f>
        <v>0</v>
      </c>
      <c r="J19" s="736">
        <f>IF(geg!$G$38="ja",(ROUND(geg!I36*2%,0)),0)</f>
        <v>0</v>
      </c>
      <c r="K19" s="736">
        <f>IF(geg!$G$38="ja",(ROUND(geg!J36*2%,0)),0)</f>
        <v>0</v>
      </c>
      <c r="L19" s="736">
        <f>IF(geg!$G$38="ja",(ROUND(geg!K36*2%,0)),0)</f>
        <v>0</v>
      </c>
      <c r="M19" s="731"/>
      <c r="N19" s="732"/>
    </row>
    <row r="20" spans="2:14" s="356" customFormat="1" ht="12.75" customHeight="1" x14ac:dyDescent="0.2">
      <c r="B20" s="145"/>
      <c r="C20" s="146"/>
      <c r="D20" s="226"/>
      <c r="E20" s="110"/>
      <c r="F20" s="735"/>
      <c r="G20" s="110"/>
      <c r="H20" s="737">
        <f>SUM(H15:H18)</f>
        <v>136815.15</v>
      </c>
      <c r="I20" s="737">
        <f>SUM(I15:I18)</f>
        <v>138734.53</v>
      </c>
      <c r="J20" s="737">
        <f>SUM(J15:J18)</f>
        <v>138734.53</v>
      </c>
      <c r="K20" s="737">
        <f>SUM(K15:K18)</f>
        <v>138734.53</v>
      </c>
      <c r="L20" s="737">
        <f>SUM(L15:L18)</f>
        <v>138734.53</v>
      </c>
      <c r="M20" s="729"/>
      <c r="N20" s="738"/>
    </row>
    <row r="21" spans="2:14" s="356" customFormat="1" ht="12.75" customHeight="1" x14ac:dyDescent="0.2">
      <c r="B21" s="145"/>
      <c r="C21" s="146"/>
      <c r="D21" s="165" t="s">
        <v>28</v>
      </c>
      <c r="E21" s="110"/>
      <c r="F21" s="113"/>
      <c r="G21" s="110"/>
      <c r="H21" s="739"/>
      <c r="I21" s="739"/>
      <c r="J21" s="739"/>
      <c r="K21" s="739"/>
      <c r="L21" s="740"/>
      <c r="M21" s="741"/>
      <c r="N21" s="738"/>
    </row>
    <row r="22" spans="2:14" s="356" customFormat="1" ht="12.75" customHeight="1" x14ac:dyDescent="0.2">
      <c r="B22" s="145"/>
      <c r="C22" s="146"/>
      <c r="D22" s="110" t="s">
        <v>4</v>
      </c>
      <c r="E22" s="110"/>
      <c r="F22" s="113"/>
      <c r="G22" s="110"/>
      <c r="H22" s="515">
        <f>+rugzak!I56</f>
        <v>10745.600000000002</v>
      </c>
      <c r="I22" s="515">
        <f>+rugzak!J56</f>
        <v>6333.1100000000015</v>
      </c>
      <c r="J22" s="742">
        <v>0</v>
      </c>
      <c r="K22" s="742">
        <v>0</v>
      </c>
      <c r="L22" s="742">
        <v>0</v>
      </c>
      <c r="M22" s="743"/>
      <c r="N22" s="738"/>
    </row>
    <row r="23" spans="2:14" s="356" customFormat="1" ht="12.75" customHeight="1" x14ac:dyDescent="0.2">
      <c r="B23" s="145"/>
      <c r="C23" s="146"/>
      <c r="D23" s="110" t="s">
        <v>719</v>
      </c>
      <c r="E23" s="110"/>
      <c r="F23" s="113"/>
      <c r="G23" s="110"/>
      <c r="H23" s="744">
        <v>0</v>
      </c>
      <c r="I23" s="744">
        <v>0</v>
      </c>
      <c r="J23" s="744">
        <f t="shared" ref="J23:L26" si="1">I23</f>
        <v>0</v>
      </c>
      <c r="K23" s="744">
        <f t="shared" si="1"/>
        <v>0</v>
      </c>
      <c r="L23" s="744">
        <f t="shared" si="1"/>
        <v>0</v>
      </c>
      <c r="M23" s="743"/>
      <c r="N23" s="738"/>
    </row>
    <row r="24" spans="2:14" s="356" customFormat="1" ht="12.75" customHeight="1" x14ac:dyDescent="0.2">
      <c r="B24" s="145"/>
      <c r="C24" s="146"/>
      <c r="D24" s="110" t="s">
        <v>718</v>
      </c>
      <c r="E24" s="110"/>
      <c r="F24" s="113"/>
      <c r="G24" s="110"/>
      <c r="H24" s="1262"/>
      <c r="I24" s="744">
        <v>0</v>
      </c>
      <c r="J24" s="744">
        <f t="shared" si="1"/>
        <v>0</v>
      </c>
      <c r="K24" s="744">
        <f t="shared" si="1"/>
        <v>0</v>
      </c>
      <c r="L24" s="744">
        <f t="shared" si="1"/>
        <v>0</v>
      </c>
      <c r="M24" s="743"/>
      <c r="N24" s="738"/>
    </row>
    <row r="25" spans="2:14" s="356" customFormat="1" ht="12.75" customHeight="1" x14ac:dyDescent="0.2">
      <c r="B25" s="145"/>
      <c r="C25" s="146"/>
      <c r="D25" s="110" t="s">
        <v>761</v>
      </c>
      <c r="E25" s="110"/>
      <c r="F25" s="113"/>
      <c r="G25" s="110"/>
      <c r="H25" s="515">
        <f>geg!G27*tab!D61</f>
        <v>40458</v>
      </c>
      <c r="I25" s="744">
        <v>0</v>
      </c>
      <c r="J25" s="744">
        <f t="shared" ref="J25" si="2">I25</f>
        <v>0</v>
      </c>
      <c r="K25" s="744">
        <f t="shared" ref="K25" si="3">J25</f>
        <v>0</v>
      </c>
      <c r="L25" s="744">
        <f t="shared" ref="L25" si="4">K25</f>
        <v>0</v>
      </c>
      <c r="M25" s="743"/>
      <c r="N25" s="738"/>
    </row>
    <row r="26" spans="2:14" s="356" customFormat="1" ht="12.75" customHeight="1" x14ac:dyDescent="0.2">
      <c r="B26" s="145"/>
      <c r="C26" s="146"/>
      <c r="D26" s="115"/>
      <c r="E26" s="110"/>
      <c r="F26" s="113"/>
      <c r="G26" s="110"/>
      <c r="H26" s="744">
        <v>0</v>
      </c>
      <c r="I26" s="744">
        <v>0</v>
      </c>
      <c r="J26" s="744">
        <f t="shared" si="1"/>
        <v>0</v>
      </c>
      <c r="K26" s="744">
        <f t="shared" si="1"/>
        <v>0</v>
      </c>
      <c r="L26" s="744">
        <f t="shared" si="1"/>
        <v>0</v>
      </c>
      <c r="M26" s="743"/>
      <c r="N26" s="738"/>
    </row>
    <row r="27" spans="2:14" s="356" customFormat="1" ht="12.75" customHeight="1" x14ac:dyDescent="0.2">
      <c r="B27" s="145"/>
      <c r="C27" s="146"/>
      <c r="D27" s="226"/>
      <c r="E27" s="110"/>
      <c r="F27" s="113"/>
      <c r="G27" s="110"/>
      <c r="H27" s="737">
        <f>SUM(H22:H26)</f>
        <v>51203.600000000006</v>
      </c>
      <c r="I27" s="737">
        <f>SUM(I22:I26)</f>
        <v>6333.1100000000015</v>
      </c>
      <c r="J27" s="737">
        <f>SUM(J22:J26)</f>
        <v>0</v>
      </c>
      <c r="K27" s="737">
        <f>SUM(K22:K26)</f>
        <v>0</v>
      </c>
      <c r="L27" s="737">
        <f>SUM(L22:L26)</f>
        <v>0</v>
      </c>
      <c r="M27" s="729"/>
      <c r="N27" s="738"/>
    </row>
    <row r="28" spans="2:14" s="356" customFormat="1" ht="12.75" customHeight="1" x14ac:dyDescent="0.2">
      <c r="B28" s="145"/>
      <c r="C28" s="146"/>
      <c r="D28" s="260" t="s">
        <v>30</v>
      </c>
      <c r="E28" s="147"/>
      <c r="F28" s="149"/>
      <c r="G28" s="110"/>
      <c r="H28" s="147"/>
      <c r="I28" s="147"/>
      <c r="J28" s="147"/>
      <c r="K28" s="727"/>
      <c r="L28" s="740"/>
      <c r="M28" s="741"/>
      <c r="N28" s="738"/>
    </row>
    <row r="29" spans="2:14" s="356" customFormat="1" ht="12.75" customHeight="1" x14ac:dyDescent="0.2">
      <c r="B29" s="145"/>
      <c r="C29" s="146"/>
      <c r="D29" s="165" t="s">
        <v>31</v>
      </c>
      <c r="E29" s="147"/>
      <c r="F29" s="113"/>
      <c r="G29" s="110"/>
      <c r="H29" s="745"/>
      <c r="I29" s="745"/>
      <c r="J29" s="745"/>
      <c r="K29" s="727"/>
      <c r="L29" s="740"/>
      <c r="M29" s="741"/>
      <c r="N29" s="738"/>
    </row>
    <row r="30" spans="2:14" s="356" customFormat="1" ht="12.75" customHeight="1" x14ac:dyDescent="0.2">
      <c r="B30" s="145"/>
      <c r="C30" s="146"/>
      <c r="D30" s="109" t="s">
        <v>593</v>
      </c>
      <c r="E30" s="147"/>
      <c r="F30" s="261">
        <v>0</v>
      </c>
      <c r="G30" s="110"/>
      <c r="H30" s="278">
        <f>$F$30*H20</f>
        <v>0</v>
      </c>
      <c r="I30" s="278">
        <f>$F$30*I20</f>
        <v>0</v>
      </c>
      <c r="J30" s="278">
        <f>$F$30*J20</f>
        <v>0</v>
      </c>
      <c r="K30" s="278">
        <f>$F$30*K20</f>
        <v>0</v>
      </c>
      <c r="L30" s="278">
        <f>$F$30*L20</f>
        <v>0</v>
      </c>
      <c r="M30" s="268"/>
      <c r="N30" s="738"/>
    </row>
    <row r="31" spans="2:14" s="356" customFormat="1" ht="12.75" customHeight="1" x14ac:dyDescent="0.2">
      <c r="B31" s="145"/>
      <c r="C31" s="146"/>
      <c r="D31" s="110" t="s">
        <v>761</v>
      </c>
      <c r="E31" s="110"/>
      <c r="F31" s="1275" t="s">
        <v>778</v>
      </c>
      <c r="G31" s="110"/>
      <c r="H31" s="338">
        <f>IF(F31="ja",H25,0)</f>
        <v>40458</v>
      </c>
      <c r="I31" s="286">
        <v>0</v>
      </c>
      <c r="J31" s="286">
        <v>0</v>
      </c>
      <c r="K31" s="286">
        <v>0</v>
      </c>
      <c r="L31" s="286">
        <v>0</v>
      </c>
      <c r="M31" s="268"/>
      <c r="N31" s="738"/>
    </row>
    <row r="32" spans="2:14" s="356" customFormat="1" ht="12.75" customHeight="1" x14ac:dyDescent="0.2">
      <c r="B32" s="145"/>
      <c r="C32" s="146"/>
      <c r="D32" s="285"/>
      <c r="E32" s="110"/>
      <c r="F32" s="113"/>
      <c r="G32" s="110"/>
      <c r="H32" s="286">
        <v>0</v>
      </c>
      <c r="I32" s="286">
        <v>0</v>
      </c>
      <c r="J32" s="286">
        <v>0</v>
      </c>
      <c r="K32" s="286">
        <v>0</v>
      </c>
      <c r="L32" s="286">
        <v>0</v>
      </c>
      <c r="M32" s="268"/>
      <c r="N32" s="738"/>
    </row>
    <row r="33" spans="2:14" s="356" customFormat="1" ht="12.75" customHeight="1" x14ac:dyDescent="0.2">
      <c r="B33" s="145"/>
      <c r="C33" s="146"/>
      <c r="D33" s="285"/>
      <c r="E33" s="110"/>
      <c r="F33" s="113"/>
      <c r="G33" s="110"/>
      <c r="H33" s="286">
        <v>0</v>
      </c>
      <c r="I33" s="286">
        <v>0</v>
      </c>
      <c r="J33" s="286">
        <v>0</v>
      </c>
      <c r="K33" s="286">
        <v>0</v>
      </c>
      <c r="L33" s="286">
        <v>0</v>
      </c>
      <c r="M33" s="268"/>
      <c r="N33" s="738"/>
    </row>
    <row r="34" spans="2:14" s="356" customFormat="1" ht="12.75" customHeight="1" x14ac:dyDescent="0.2">
      <c r="B34" s="145"/>
      <c r="C34" s="146"/>
      <c r="D34" s="285"/>
      <c r="E34" s="110"/>
      <c r="F34" s="113"/>
      <c r="G34" s="110"/>
      <c r="H34" s="286">
        <v>0</v>
      </c>
      <c r="I34" s="286">
        <v>0</v>
      </c>
      <c r="J34" s="286">
        <v>0</v>
      </c>
      <c r="K34" s="286">
        <v>0</v>
      </c>
      <c r="L34" s="286">
        <v>0</v>
      </c>
      <c r="M34" s="268"/>
      <c r="N34" s="738"/>
    </row>
    <row r="35" spans="2:14" s="356" customFormat="1" ht="12.75" customHeight="1" x14ac:dyDescent="0.2">
      <c r="B35" s="145"/>
      <c r="C35" s="146"/>
      <c r="D35" s="110"/>
      <c r="E35" s="110"/>
      <c r="F35" s="113"/>
      <c r="G35" s="110"/>
      <c r="H35" s="746">
        <f>SUM(H30:H34)</f>
        <v>40458</v>
      </c>
      <c r="I35" s="746">
        <f>SUM(I30:I34)</f>
        <v>0</v>
      </c>
      <c r="J35" s="746">
        <f>SUM(J30:J34)</f>
        <v>0</v>
      </c>
      <c r="K35" s="746">
        <f>SUM(K30:K34)</f>
        <v>0</v>
      </c>
      <c r="L35" s="746">
        <f>SUM(L30:L34)</f>
        <v>0</v>
      </c>
      <c r="M35" s="741"/>
      <c r="N35" s="738"/>
    </row>
    <row r="36" spans="2:14" s="356" customFormat="1" ht="12.75" customHeight="1" x14ac:dyDescent="0.2">
      <c r="B36" s="145"/>
      <c r="C36" s="146"/>
      <c r="D36" s="260" t="s">
        <v>33</v>
      </c>
      <c r="E36" s="110"/>
      <c r="F36" s="113"/>
      <c r="G36" s="110"/>
      <c r="H36" s="290"/>
      <c r="I36" s="747"/>
      <c r="J36" s="747"/>
      <c r="K36" s="747"/>
      <c r="L36" s="747"/>
      <c r="M36" s="748"/>
      <c r="N36" s="738"/>
    </row>
    <row r="37" spans="2:14" s="356" customFormat="1" ht="12.75" customHeight="1" x14ac:dyDescent="0.2">
      <c r="B37" s="145"/>
      <c r="C37" s="146"/>
      <c r="D37" s="285"/>
      <c r="E37" s="110"/>
      <c r="F37" s="113"/>
      <c r="G37" s="110"/>
      <c r="H37" s="286">
        <v>0</v>
      </c>
      <c r="I37" s="286">
        <v>0</v>
      </c>
      <c r="J37" s="286">
        <v>0</v>
      </c>
      <c r="K37" s="286">
        <v>0</v>
      </c>
      <c r="L37" s="286">
        <v>0</v>
      </c>
      <c r="M37" s="268"/>
      <c r="N37" s="738"/>
    </row>
    <row r="38" spans="2:14" s="356" customFormat="1" ht="12.75" customHeight="1" x14ac:dyDescent="0.2">
      <c r="B38" s="145"/>
      <c r="C38" s="146"/>
      <c r="D38" s="285"/>
      <c r="E38" s="110"/>
      <c r="F38" s="113"/>
      <c r="G38" s="110"/>
      <c r="H38" s="286">
        <v>0</v>
      </c>
      <c r="I38" s="286">
        <v>0</v>
      </c>
      <c r="J38" s="286">
        <v>0</v>
      </c>
      <c r="K38" s="286">
        <v>0</v>
      </c>
      <c r="L38" s="286">
        <v>0</v>
      </c>
      <c r="M38" s="268"/>
      <c r="N38" s="738"/>
    </row>
    <row r="39" spans="2:14" s="356" customFormat="1" ht="12.75" customHeight="1" x14ac:dyDescent="0.2">
      <c r="B39" s="145"/>
      <c r="C39" s="146"/>
      <c r="D39" s="285"/>
      <c r="E39" s="110"/>
      <c r="F39" s="113"/>
      <c r="G39" s="110"/>
      <c r="H39" s="286">
        <v>0</v>
      </c>
      <c r="I39" s="286">
        <v>0</v>
      </c>
      <c r="J39" s="286">
        <v>0</v>
      </c>
      <c r="K39" s="286">
        <v>0</v>
      </c>
      <c r="L39" s="286">
        <v>0</v>
      </c>
      <c r="M39" s="268"/>
      <c r="N39" s="738"/>
    </row>
    <row r="40" spans="2:14" s="356" customFormat="1" ht="12.75" customHeight="1" x14ac:dyDescent="0.2">
      <c r="B40" s="145"/>
      <c r="C40" s="146"/>
      <c r="D40" s="285"/>
      <c r="E40" s="110"/>
      <c r="F40" s="113"/>
      <c r="G40" s="110"/>
      <c r="H40" s="286">
        <v>0</v>
      </c>
      <c r="I40" s="286">
        <v>0</v>
      </c>
      <c r="J40" s="286">
        <v>0</v>
      </c>
      <c r="K40" s="286">
        <v>0</v>
      </c>
      <c r="L40" s="286">
        <v>0</v>
      </c>
      <c r="M40" s="268"/>
      <c r="N40" s="738"/>
    </row>
    <row r="41" spans="2:14" s="356" customFormat="1" ht="12.75" customHeight="1" x14ac:dyDescent="0.2">
      <c r="B41" s="145"/>
      <c r="C41" s="146"/>
      <c r="D41" s="285"/>
      <c r="E41" s="110"/>
      <c r="F41" s="113"/>
      <c r="G41" s="110"/>
      <c r="H41" s="286">
        <v>0</v>
      </c>
      <c r="I41" s="286">
        <v>0</v>
      </c>
      <c r="J41" s="286">
        <v>0</v>
      </c>
      <c r="K41" s="286">
        <v>0</v>
      </c>
      <c r="L41" s="286">
        <v>0</v>
      </c>
      <c r="M41" s="268"/>
      <c r="N41" s="738"/>
    </row>
    <row r="42" spans="2:14" s="356" customFormat="1" ht="12.75" customHeight="1" x14ac:dyDescent="0.2">
      <c r="B42" s="145"/>
      <c r="C42" s="146"/>
      <c r="D42" s="734"/>
      <c r="E42" s="749"/>
      <c r="F42" s="149"/>
      <c r="G42" s="110"/>
      <c r="H42" s="746">
        <f>SUM(H37:H41)</f>
        <v>0</v>
      </c>
      <c r="I42" s="746">
        <f>SUM(I37:I41)</f>
        <v>0</v>
      </c>
      <c r="J42" s="746">
        <f>SUM(J37:J41)</f>
        <v>0</v>
      </c>
      <c r="K42" s="746">
        <f>SUM(K37:K41)</f>
        <v>0</v>
      </c>
      <c r="L42" s="746">
        <f>SUM(L37:L41)</f>
        <v>0</v>
      </c>
      <c r="M42" s="741"/>
      <c r="N42" s="738"/>
    </row>
    <row r="43" spans="2:14" s="356" customFormat="1" ht="12.75" customHeight="1" x14ac:dyDescent="0.2">
      <c r="B43" s="145"/>
      <c r="C43" s="146"/>
      <c r="D43" s="110"/>
      <c r="E43" s="147"/>
      <c r="F43" s="149"/>
      <c r="G43" s="110"/>
      <c r="H43" s="750"/>
      <c r="I43" s="750"/>
      <c r="J43" s="750"/>
      <c r="K43" s="750"/>
      <c r="L43" s="750"/>
      <c r="M43" s="751"/>
      <c r="N43" s="738"/>
    </row>
    <row r="44" spans="2:14" s="356" customFormat="1" ht="12.75" customHeight="1" x14ac:dyDescent="0.2">
      <c r="B44" s="145"/>
      <c r="C44" s="146"/>
      <c r="D44" s="752" t="s">
        <v>34</v>
      </c>
      <c r="E44" s="226"/>
      <c r="F44" s="131"/>
      <c r="G44" s="265"/>
      <c r="H44" s="753">
        <f>H35-H42</f>
        <v>40458</v>
      </c>
      <c r="I44" s="753">
        <f>I35-I42</f>
        <v>0</v>
      </c>
      <c r="J44" s="753">
        <f>J35-J42</f>
        <v>0</v>
      </c>
      <c r="K44" s="753">
        <f>K35-K42</f>
        <v>0</v>
      </c>
      <c r="L44" s="753">
        <f>L35-L42</f>
        <v>0</v>
      </c>
      <c r="M44" s="751"/>
      <c r="N44" s="738"/>
    </row>
    <row r="45" spans="2:14" s="356" customFormat="1" ht="12.75" customHeight="1" x14ac:dyDescent="0.2">
      <c r="B45" s="145"/>
      <c r="C45" s="146"/>
      <c r="D45" s="110"/>
      <c r="E45" s="110"/>
      <c r="F45" s="113"/>
      <c r="G45" s="110"/>
      <c r="H45" s="754"/>
      <c r="I45" s="754"/>
      <c r="J45" s="754"/>
      <c r="K45" s="754"/>
      <c r="L45" s="754"/>
      <c r="M45" s="755"/>
      <c r="N45" s="738"/>
    </row>
    <row r="46" spans="2:14" s="356" customFormat="1" ht="12.75" customHeight="1" x14ac:dyDescent="0.2">
      <c r="B46" s="145"/>
      <c r="C46" s="146"/>
      <c r="D46" s="110"/>
      <c r="E46" s="110"/>
      <c r="F46" s="113"/>
      <c r="G46" s="110"/>
      <c r="H46" s="754"/>
      <c r="I46" s="754"/>
      <c r="J46" s="754"/>
      <c r="K46" s="754"/>
      <c r="L46" s="754"/>
      <c r="M46" s="755"/>
      <c r="N46" s="738"/>
    </row>
    <row r="47" spans="2:14" s="213" customFormat="1" ht="12.75" customHeight="1" x14ac:dyDescent="0.2">
      <c r="B47" s="183"/>
      <c r="C47" s="191"/>
      <c r="D47" s="134" t="s">
        <v>288</v>
      </c>
      <c r="E47" s="147"/>
      <c r="F47" s="149"/>
      <c r="G47" s="147"/>
      <c r="H47" s="756">
        <f>H20+H27-H44</f>
        <v>147560.75</v>
      </c>
      <c r="I47" s="756">
        <f>I20+I27-I44</f>
        <v>145067.64000000001</v>
      </c>
      <c r="J47" s="756">
        <f>J20+J27-J44</f>
        <v>138734.53</v>
      </c>
      <c r="K47" s="756">
        <f>K20+K27-K44</f>
        <v>138734.53</v>
      </c>
      <c r="L47" s="756">
        <f>L20+L27-L44</f>
        <v>138734.53</v>
      </c>
      <c r="M47" s="757"/>
      <c r="N47" s="758"/>
    </row>
    <row r="48" spans="2:14" s="213" customFormat="1" ht="12.75" customHeight="1" x14ac:dyDescent="0.2">
      <c r="B48" s="183"/>
      <c r="C48" s="295"/>
      <c r="D48" s="296"/>
      <c r="E48" s="234"/>
      <c r="F48" s="645"/>
      <c r="G48" s="234"/>
      <c r="H48" s="296"/>
      <c r="I48" s="296"/>
      <c r="J48" s="296"/>
      <c r="K48" s="296"/>
      <c r="L48" s="759"/>
      <c r="M48" s="760"/>
      <c r="N48" s="758"/>
    </row>
    <row r="49" spans="2:14" s="213" customFormat="1" ht="12.75" customHeight="1" x14ac:dyDescent="0.2">
      <c r="B49" s="183"/>
      <c r="C49" s="761"/>
      <c r="D49" s="762"/>
      <c r="E49" s="761"/>
      <c r="F49" s="763"/>
      <c r="G49" s="761"/>
      <c r="H49" s="762"/>
      <c r="I49" s="762"/>
      <c r="J49" s="762"/>
      <c r="K49" s="762"/>
      <c r="L49" s="764"/>
      <c r="M49" s="764"/>
      <c r="N49" s="758"/>
    </row>
    <row r="50" spans="2:14" s="213" customFormat="1" ht="12.75" customHeight="1" x14ac:dyDescent="0.2">
      <c r="B50" s="183"/>
      <c r="C50" s="184"/>
      <c r="D50" s="299"/>
      <c r="E50" s="185"/>
      <c r="F50" s="211"/>
      <c r="G50" s="185"/>
      <c r="H50" s="299"/>
      <c r="I50" s="299"/>
      <c r="J50" s="299"/>
      <c r="K50" s="299"/>
      <c r="L50" s="765"/>
      <c r="M50" s="766"/>
      <c r="N50" s="758"/>
    </row>
    <row r="51" spans="2:14" s="767" customFormat="1" ht="12.75" customHeight="1" x14ac:dyDescent="0.2">
      <c r="B51" s="768"/>
      <c r="C51" s="769"/>
      <c r="D51" s="126" t="s">
        <v>603</v>
      </c>
      <c r="E51" s="770"/>
      <c r="F51" s="771"/>
      <c r="G51" s="770"/>
      <c r="H51" s="772"/>
      <c r="I51" s="772"/>
      <c r="J51" s="772"/>
      <c r="K51" s="772"/>
      <c r="L51" s="773"/>
      <c r="M51" s="774"/>
      <c r="N51" s="775"/>
    </row>
    <row r="52" spans="2:14" s="213" customFormat="1" ht="12.75" customHeight="1" x14ac:dyDescent="0.2">
      <c r="B52" s="183"/>
      <c r="C52" s="191"/>
      <c r="D52" s="265"/>
      <c r="E52" s="147"/>
      <c r="F52" s="149"/>
      <c r="G52" s="147"/>
      <c r="H52" s="134"/>
      <c r="I52" s="134"/>
      <c r="J52" s="134"/>
      <c r="K52" s="134"/>
      <c r="L52" s="745"/>
      <c r="M52" s="776"/>
      <c r="N52" s="758"/>
    </row>
    <row r="53" spans="2:14" s="213" customFormat="1" ht="12.75" customHeight="1" x14ac:dyDescent="0.2">
      <c r="B53" s="183"/>
      <c r="C53" s="191"/>
      <c r="D53" s="285"/>
      <c r="E53" s="147"/>
      <c r="F53" s="149"/>
      <c r="G53" s="147"/>
      <c r="H53" s="744">
        <v>0</v>
      </c>
      <c r="I53" s="744">
        <f t="shared" ref="I53:K57" si="5">H53</f>
        <v>0</v>
      </c>
      <c r="J53" s="744">
        <f t="shared" si="5"/>
        <v>0</v>
      </c>
      <c r="K53" s="744">
        <f t="shared" si="5"/>
        <v>0</v>
      </c>
      <c r="L53" s="744">
        <f>K53</f>
        <v>0</v>
      </c>
      <c r="M53" s="743"/>
      <c r="N53" s="758"/>
    </row>
    <row r="54" spans="2:14" s="213" customFormat="1" ht="12.75" customHeight="1" x14ac:dyDescent="0.2">
      <c r="B54" s="183"/>
      <c r="C54" s="191"/>
      <c r="D54" s="285"/>
      <c r="E54" s="147"/>
      <c r="F54" s="149"/>
      <c r="G54" s="147"/>
      <c r="H54" s="744">
        <v>0</v>
      </c>
      <c r="I54" s="744">
        <f t="shared" si="5"/>
        <v>0</v>
      </c>
      <c r="J54" s="744">
        <f t="shared" si="5"/>
        <v>0</v>
      </c>
      <c r="K54" s="744">
        <f t="shared" si="5"/>
        <v>0</v>
      </c>
      <c r="L54" s="744">
        <f>K54</f>
        <v>0</v>
      </c>
      <c r="M54" s="743"/>
      <c r="N54" s="758"/>
    </row>
    <row r="55" spans="2:14" s="213" customFormat="1" ht="12.75" customHeight="1" x14ac:dyDescent="0.2">
      <c r="B55" s="183"/>
      <c r="C55" s="191"/>
      <c r="D55" s="285"/>
      <c r="E55" s="147"/>
      <c r="F55" s="149"/>
      <c r="G55" s="147"/>
      <c r="H55" s="744">
        <v>0</v>
      </c>
      <c r="I55" s="744">
        <f t="shared" si="5"/>
        <v>0</v>
      </c>
      <c r="J55" s="744">
        <f t="shared" si="5"/>
        <v>0</v>
      </c>
      <c r="K55" s="744">
        <f t="shared" si="5"/>
        <v>0</v>
      </c>
      <c r="L55" s="744">
        <f>K55</f>
        <v>0</v>
      </c>
      <c r="M55" s="743"/>
      <c r="N55" s="758"/>
    </row>
    <row r="56" spans="2:14" s="213" customFormat="1" ht="12.75" customHeight="1" x14ac:dyDescent="0.2">
      <c r="B56" s="183"/>
      <c r="C56" s="191"/>
      <c r="D56" s="285"/>
      <c r="E56" s="147"/>
      <c r="F56" s="149"/>
      <c r="G56" s="147"/>
      <c r="H56" s="744">
        <v>0</v>
      </c>
      <c r="I56" s="744">
        <f t="shared" si="5"/>
        <v>0</v>
      </c>
      <c r="J56" s="744">
        <f t="shared" si="5"/>
        <v>0</v>
      </c>
      <c r="K56" s="744">
        <f t="shared" si="5"/>
        <v>0</v>
      </c>
      <c r="L56" s="744">
        <f>K56</f>
        <v>0</v>
      </c>
      <c r="M56" s="743"/>
      <c r="N56" s="758"/>
    </row>
    <row r="57" spans="2:14" s="213" customFormat="1" ht="12.75" customHeight="1" x14ac:dyDescent="0.2">
      <c r="B57" s="183"/>
      <c r="C57" s="191"/>
      <c r="D57" s="285"/>
      <c r="E57" s="147"/>
      <c r="F57" s="149"/>
      <c r="G57" s="147"/>
      <c r="H57" s="744">
        <v>0</v>
      </c>
      <c r="I57" s="744">
        <f t="shared" si="5"/>
        <v>0</v>
      </c>
      <c r="J57" s="744">
        <f t="shared" si="5"/>
        <v>0</v>
      </c>
      <c r="K57" s="744">
        <f t="shared" si="5"/>
        <v>0</v>
      </c>
      <c r="L57" s="744">
        <f>K57</f>
        <v>0</v>
      </c>
      <c r="M57" s="743"/>
      <c r="N57" s="758"/>
    </row>
    <row r="58" spans="2:14" s="213" customFormat="1" ht="12.75" customHeight="1" x14ac:dyDescent="0.2">
      <c r="B58" s="183"/>
      <c r="C58" s="191"/>
      <c r="D58" s="110"/>
      <c r="E58" s="147"/>
      <c r="F58" s="149"/>
      <c r="G58" s="147"/>
      <c r="H58" s="777"/>
      <c r="I58" s="777"/>
      <c r="J58" s="777"/>
      <c r="K58" s="777"/>
      <c r="L58" s="777"/>
      <c r="M58" s="743"/>
      <c r="N58" s="758"/>
    </row>
    <row r="59" spans="2:14" s="213" customFormat="1" ht="12.75" customHeight="1" x14ac:dyDescent="0.2">
      <c r="B59" s="183"/>
      <c r="C59" s="191"/>
      <c r="D59" s="134" t="s">
        <v>434</v>
      </c>
      <c r="E59" s="147"/>
      <c r="F59" s="149"/>
      <c r="G59" s="147"/>
      <c r="H59" s="756">
        <f>SUM(H53:H57)</f>
        <v>0</v>
      </c>
      <c r="I59" s="756">
        <f>SUM(I53:I57)</f>
        <v>0</v>
      </c>
      <c r="J59" s="756">
        <f>SUM(J53:J57)</f>
        <v>0</v>
      </c>
      <c r="K59" s="756">
        <f>SUM(K53:K57)</f>
        <v>0</v>
      </c>
      <c r="L59" s="756">
        <f>SUM(L53:L57)</f>
        <v>0</v>
      </c>
      <c r="M59" s="757"/>
      <c r="N59" s="758"/>
    </row>
    <row r="60" spans="2:14" s="213" customFormat="1" ht="12.75" customHeight="1" x14ac:dyDescent="0.2">
      <c r="B60" s="183"/>
      <c r="C60" s="295"/>
      <c r="D60" s="168"/>
      <c r="E60" s="296"/>
      <c r="F60" s="645"/>
      <c r="G60" s="296"/>
      <c r="H60" s="296"/>
      <c r="I60" s="296"/>
      <c r="J60" s="296"/>
      <c r="K60" s="296"/>
      <c r="L60" s="759"/>
      <c r="M60" s="760"/>
      <c r="N60" s="758"/>
    </row>
    <row r="61" spans="2:14" s="213" customFormat="1" ht="12.75" customHeight="1" x14ac:dyDescent="0.2">
      <c r="B61" s="183"/>
      <c r="C61" s="237"/>
      <c r="D61" s="303"/>
      <c r="E61" s="541"/>
      <c r="F61" s="778"/>
      <c r="G61" s="541"/>
      <c r="H61" s="541"/>
      <c r="I61" s="541"/>
      <c r="J61" s="541"/>
      <c r="K61" s="541"/>
      <c r="L61" s="779"/>
      <c r="M61" s="779"/>
      <c r="N61" s="758"/>
    </row>
    <row r="62" spans="2:14" s="213" customFormat="1" ht="12.75" customHeight="1" x14ac:dyDescent="0.2">
      <c r="B62" s="183"/>
      <c r="C62" s="184"/>
      <c r="D62" s="155"/>
      <c r="E62" s="185"/>
      <c r="F62" s="211"/>
      <c r="G62" s="185"/>
      <c r="H62" s="155"/>
      <c r="I62" s="155"/>
      <c r="J62" s="155"/>
      <c r="K62" s="155"/>
      <c r="L62" s="765"/>
      <c r="M62" s="766"/>
      <c r="N62" s="758"/>
    </row>
    <row r="63" spans="2:14" s="767" customFormat="1" ht="12.75" customHeight="1" x14ac:dyDescent="0.2">
      <c r="B63" s="768"/>
      <c r="C63" s="769"/>
      <c r="D63" s="126" t="s">
        <v>604</v>
      </c>
      <c r="E63" s="770"/>
      <c r="F63" s="771"/>
      <c r="G63" s="770"/>
      <c r="H63" s="780"/>
      <c r="I63" s="780"/>
      <c r="J63" s="780"/>
      <c r="K63" s="780"/>
      <c r="L63" s="773"/>
      <c r="M63" s="774"/>
      <c r="N63" s="775"/>
    </row>
    <row r="64" spans="2:14" s="213" customFormat="1" ht="12.75" customHeight="1" x14ac:dyDescent="0.2">
      <c r="B64" s="183"/>
      <c r="C64" s="191"/>
      <c r="D64" s="265"/>
      <c r="E64" s="147"/>
      <c r="F64" s="149"/>
      <c r="G64" s="147"/>
      <c r="H64" s="109"/>
      <c r="I64" s="109"/>
      <c r="J64" s="109"/>
      <c r="K64" s="109"/>
      <c r="L64" s="745"/>
      <c r="M64" s="776"/>
      <c r="N64" s="758"/>
    </row>
    <row r="65" spans="2:14" s="213" customFormat="1" ht="12.75" customHeight="1" x14ac:dyDescent="0.2">
      <c r="B65" s="183"/>
      <c r="C65" s="191"/>
      <c r="D65" s="110" t="s">
        <v>29</v>
      </c>
      <c r="E65" s="147"/>
      <c r="F65" s="149"/>
      <c r="G65" s="147"/>
      <c r="H65" s="744">
        <v>0</v>
      </c>
      <c r="I65" s="744">
        <f t="shared" ref="I65:K72" si="6">H65</f>
        <v>0</v>
      </c>
      <c r="J65" s="744">
        <f t="shared" si="6"/>
        <v>0</v>
      </c>
      <c r="K65" s="744">
        <f t="shared" si="6"/>
        <v>0</v>
      </c>
      <c r="L65" s="744">
        <f t="shared" ref="L65:L72" si="7">K65</f>
        <v>0</v>
      </c>
      <c r="M65" s="743"/>
      <c r="N65" s="758"/>
    </row>
    <row r="66" spans="2:14" s="213" customFormat="1" ht="12.75" customHeight="1" x14ac:dyDescent="0.2">
      <c r="B66" s="183"/>
      <c r="C66" s="191"/>
      <c r="D66" s="110" t="s">
        <v>484</v>
      </c>
      <c r="E66" s="147"/>
      <c r="F66" s="149"/>
      <c r="G66" s="147"/>
      <c r="H66" s="744">
        <v>0</v>
      </c>
      <c r="I66" s="744">
        <f t="shared" ref="I66:K68" si="8">H66</f>
        <v>0</v>
      </c>
      <c r="J66" s="744">
        <f t="shared" si="8"/>
        <v>0</v>
      </c>
      <c r="K66" s="744">
        <f t="shared" si="8"/>
        <v>0</v>
      </c>
      <c r="L66" s="744">
        <f t="shared" si="7"/>
        <v>0</v>
      </c>
      <c r="M66" s="743"/>
      <c r="N66" s="758"/>
    </row>
    <row r="67" spans="2:14" s="213" customFormat="1" ht="12.75" customHeight="1" x14ac:dyDescent="0.2">
      <c r="B67" s="183"/>
      <c r="C67" s="191"/>
      <c r="D67" s="110" t="s">
        <v>590</v>
      </c>
      <c r="E67" s="147"/>
      <c r="F67" s="149"/>
      <c r="G67" s="147"/>
      <c r="H67" s="744">
        <v>0</v>
      </c>
      <c r="I67" s="744">
        <f t="shared" si="8"/>
        <v>0</v>
      </c>
      <c r="J67" s="744">
        <f t="shared" si="8"/>
        <v>0</v>
      </c>
      <c r="K67" s="744">
        <f t="shared" si="8"/>
        <v>0</v>
      </c>
      <c r="L67" s="744">
        <f t="shared" si="7"/>
        <v>0</v>
      </c>
      <c r="M67" s="743"/>
      <c r="N67" s="758"/>
    </row>
    <row r="68" spans="2:14" s="213" customFormat="1" ht="12.75" customHeight="1" x14ac:dyDescent="0.2">
      <c r="B68" s="183"/>
      <c r="C68" s="191"/>
      <c r="D68" s="1260"/>
      <c r="E68" s="147"/>
      <c r="F68" s="149"/>
      <c r="G68" s="147"/>
      <c r="H68" s="744">
        <v>0</v>
      </c>
      <c r="I68" s="744">
        <f t="shared" si="8"/>
        <v>0</v>
      </c>
      <c r="J68" s="744">
        <f t="shared" si="6"/>
        <v>0</v>
      </c>
      <c r="K68" s="744">
        <f t="shared" si="6"/>
        <v>0</v>
      </c>
      <c r="L68" s="744">
        <f t="shared" si="7"/>
        <v>0</v>
      </c>
      <c r="M68" s="743"/>
      <c r="N68" s="758"/>
    </row>
    <row r="69" spans="2:14" s="213" customFormat="1" ht="12.75" customHeight="1" x14ac:dyDescent="0.2">
      <c r="B69" s="183"/>
      <c r="C69" s="191"/>
      <c r="D69" s="285"/>
      <c r="E69" s="147"/>
      <c r="F69" s="149"/>
      <c r="G69" s="147"/>
      <c r="H69" s="744">
        <v>0</v>
      </c>
      <c r="I69" s="744">
        <f t="shared" ref="I69:L70" si="9">H69</f>
        <v>0</v>
      </c>
      <c r="J69" s="744">
        <f t="shared" si="9"/>
        <v>0</v>
      </c>
      <c r="K69" s="744">
        <f t="shared" si="9"/>
        <v>0</v>
      </c>
      <c r="L69" s="744">
        <f t="shared" si="9"/>
        <v>0</v>
      </c>
      <c r="M69" s="743"/>
      <c r="N69" s="758"/>
    </row>
    <row r="70" spans="2:14" s="213" customFormat="1" ht="12.75" customHeight="1" x14ac:dyDescent="0.2">
      <c r="B70" s="183"/>
      <c r="C70" s="191"/>
      <c r="D70" s="285"/>
      <c r="E70" s="147"/>
      <c r="F70" s="149"/>
      <c r="G70" s="147"/>
      <c r="H70" s="744">
        <v>0</v>
      </c>
      <c r="I70" s="744">
        <f t="shared" si="9"/>
        <v>0</v>
      </c>
      <c r="J70" s="744">
        <f t="shared" si="9"/>
        <v>0</v>
      </c>
      <c r="K70" s="744">
        <f t="shared" si="9"/>
        <v>0</v>
      </c>
      <c r="L70" s="744">
        <f t="shared" si="9"/>
        <v>0</v>
      </c>
      <c r="M70" s="743"/>
      <c r="N70" s="758"/>
    </row>
    <row r="71" spans="2:14" s="213" customFormat="1" ht="12.75" customHeight="1" x14ac:dyDescent="0.2">
      <c r="B71" s="183"/>
      <c r="C71" s="191"/>
      <c r="D71" s="285"/>
      <c r="E71" s="147"/>
      <c r="F71" s="149"/>
      <c r="G71" s="147"/>
      <c r="H71" s="744">
        <v>0</v>
      </c>
      <c r="I71" s="744">
        <f t="shared" si="6"/>
        <v>0</v>
      </c>
      <c r="J71" s="744">
        <f t="shared" si="6"/>
        <v>0</v>
      </c>
      <c r="K71" s="744">
        <f t="shared" si="6"/>
        <v>0</v>
      </c>
      <c r="L71" s="744">
        <f t="shared" si="7"/>
        <v>0</v>
      </c>
      <c r="M71" s="743"/>
      <c r="N71" s="758"/>
    </row>
    <row r="72" spans="2:14" s="213" customFormat="1" ht="12.75" customHeight="1" x14ac:dyDescent="0.2">
      <c r="B72" s="183"/>
      <c r="C72" s="191"/>
      <c r="D72" s="285"/>
      <c r="E72" s="147"/>
      <c r="F72" s="149"/>
      <c r="G72" s="147"/>
      <c r="H72" s="744">
        <v>0</v>
      </c>
      <c r="I72" s="744">
        <f t="shared" si="6"/>
        <v>0</v>
      </c>
      <c r="J72" s="744">
        <f t="shared" si="6"/>
        <v>0</v>
      </c>
      <c r="K72" s="744">
        <f t="shared" si="6"/>
        <v>0</v>
      </c>
      <c r="L72" s="744">
        <f t="shared" si="7"/>
        <v>0</v>
      </c>
      <c r="M72" s="743"/>
      <c r="N72" s="758"/>
    </row>
    <row r="73" spans="2:14" s="213" customFormat="1" ht="12.75" customHeight="1" x14ac:dyDescent="0.2">
      <c r="B73" s="183"/>
      <c r="C73" s="191"/>
      <c r="D73" s="110"/>
      <c r="E73" s="147"/>
      <c r="F73" s="149"/>
      <c r="G73" s="147"/>
      <c r="H73" s="777"/>
      <c r="I73" s="777"/>
      <c r="J73" s="777"/>
      <c r="K73" s="777"/>
      <c r="L73" s="777"/>
      <c r="M73" s="743"/>
      <c r="N73" s="758"/>
    </row>
    <row r="74" spans="2:14" s="213" customFormat="1" ht="12.75" customHeight="1" x14ac:dyDescent="0.2">
      <c r="B74" s="183"/>
      <c r="C74" s="191"/>
      <c r="D74" s="134" t="s">
        <v>434</v>
      </c>
      <c r="E74" s="147"/>
      <c r="F74" s="149"/>
      <c r="G74" s="147"/>
      <c r="H74" s="756">
        <f>SUM(H65:H72)</f>
        <v>0</v>
      </c>
      <c r="I74" s="756">
        <f>SUM(I65:I72)</f>
        <v>0</v>
      </c>
      <c r="J74" s="756">
        <f>SUM(J65:J72)</f>
        <v>0</v>
      </c>
      <c r="K74" s="756">
        <f>SUM(K65:K72)</f>
        <v>0</v>
      </c>
      <c r="L74" s="756">
        <f>SUM(L65:L72)</f>
        <v>0</v>
      </c>
      <c r="M74" s="757"/>
      <c r="N74" s="758"/>
    </row>
    <row r="75" spans="2:14" s="356" customFormat="1" ht="12.75" customHeight="1" x14ac:dyDescent="0.2">
      <c r="B75" s="145"/>
      <c r="C75" s="306"/>
      <c r="D75" s="117"/>
      <c r="E75" s="117"/>
      <c r="F75" s="235"/>
      <c r="G75" s="117"/>
      <c r="H75" s="781"/>
      <c r="I75" s="781"/>
      <c r="J75" s="781"/>
      <c r="K75" s="781"/>
      <c r="L75" s="782"/>
      <c r="M75" s="783"/>
      <c r="N75" s="738"/>
    </row>
    <row r="76" spans="2:14" s="356" customFormat="1" ht="12.75" customHeight="1" x14ac:dyDescent="0.2">
      <c r="B76" s="145"/>
      <c r="C76" s="169"/>
      <c r="D76" s="88"/>
      <c r="E76" s="88"/>
      <c r="F76" s="204"/>
      <c r="G76" s="88"/>
      <c r="H76" s="784"/>
      <c r="I76" s="784"/>
      <c r="J76" s="784"/>
      <c r="K76" s="784"/>
      <c r="L76" s="785"/>
      <c r="M76" s="785"/>
      <c r="N76" s="738"/>
    </row>
    <row r="77" spans="2:14" s="356" customFormat="1" ht="12.75" customHeight="1" x14ac:dyDescent="0.2">
      <c r="B77" s="145"/>
      <c r="C77" s="312"/>
      <c r="D77" s="105"/>
      <c r="E77" s="105"/>
      <c r="F77" s="210"/>
      <c r="G77" s="105"/>
      <c r="H77" s="786"/>
      <c r="I77" s="786"/>
      <c r="J77" s="786"/>
      <c r="K77" s="786"/>
      <c r="L77" s="787"/>
      <c r="M77" s="788"/>
      <c r="N77" s="738"/>
    </row>
    <row r="78" spans="2:14" s="356" customFormat="1" ht="12.75" customHeight="1" x14ac:dyDescent="0.2">
      <c r="B78" s="145"/>
      <c r="C78" s="146"/>
      <c r="D78" s="134" t="s">
        <v>598</v>
      </c>
      <c r="E78" s="110"/>
      <c r="F78" s="113"/>
      <c r="G78" s="110"/>
      <c r="H78" s="756">
        <f>H47+H59+H74</f>
        <v>147560.75</v>
      </c>
      <c r="I78" s="756">
        <f>I47+I59+I74</f>
        <v>145067.64000000001</v>
      </c>
      <c r="J78" s="756">
        <f>J47+J59+J74</f>
        <v>138734.53</v>
      </c>
      <c r="K78" s="756">
        <f>K47+K59+K74</f>
        <v>138734.53</v>
      </c>
      <c r="L78" s="756">
        <f>L47+L59+L74</f>
        <v>138734.53</v>
      </c>
      <c r="M78" s="757"/>
      <c r="N78" s="738"/>
    </row>
    <row r="79" spans="2:14" s="356" customFormat="1" ht="12.75" customHeight="1" x14ac:dyDescent="0.2">
      <c r="B79" s="145"/>
      <c r="C79" s="306"/>
      <c r="D79" s="117"/>
      <c r="E79" s="117"/>
      <c r="F79" s="235"/>
      <c r="G79" s="117"/>
      <c r="H79" s="781"/>
      <c r="I79" s="781"/>
      <c r="J79" s="781"/>
      <c r="K79" s="781"/>
      <c r="L79" s="782"/>
      <c r="M79" s="783"/>
      <c r="N79" s="738"/>
    </row>
    <row r="80" spans="2:14" ht="12.75" customHeight="1" x14ac:dyDescent="0.2">
      <c r="B80" s="87"/>
      <c r="C80" s="88"/>
      <c r="D80" s="716"/>
      <c r="E80" s="789"/>
      <c r="F80" s="171"/>
      <c r="G80" s="789"/>
      <c r="H80" s="790"/>
      <c r="I80" s="790"/>
      <c r="J80" s="790"/>
      <c r="K80" s="790"/>
      <c r="L80" s="791"/>
      <c r="M80" s="791"/>
      <c r="N80" s="792"/>
    </row>
    <row r="81" spans="2:14" ht="12.75" customHeight="1" x14ac:dyDescent="0.25">
      <c r="B81" s="199"/>
      <c r="C81" s="200"/>
      <c r="D81" s="200"/>
      <c r="E81" s="200"/>
      <c r="F81" s="555"/>
      <c r="G81" s="200"/>
      <c r="H81" s="793"/>
      <c r="I81" s="793"/>
      <c r="J81" s="793"/>
      <c r="K81" s="793"/>
      <c r="L81" s="200"/>
      <c r="M81" s="176" t="s">
        <v>629</v>
      </c>
      <c r="N81" s="201"/>
    </row>
    <row r="82" spans="2:14" x14ac:dyDescent="0.2">
      <c r="B82" s="81"/>
      <c r="C82" s="82"/>
      <c r="D82" s="82"/>
      <c r="E82" s="82"/>
      <c r="F82" s="203"/>
      <c r="G82" s="82"/>
      <c r="H82" s="380"/>
      <c r="I82" s="380"/>
      <c r="J82" s="380"/>
      <c r="K82" s="380"/>
      <c r="L82" s="82"/>
      <c r="M82" s="82"/>
      <c r="N82" s="85"/>
    </row>
    <row r="83" spans="2:14" x14ac:dyDescent="0.2">
      <c r="B83" s="87"/>
      <c r="C83" s="88"/>
      <c r="D83" s="88"/>
      <c r="E83" s="88"/>
      <c r="F83" s="204"/>
      <c r="G83" s="88"/>
      <c r="H83" s="389"/>
      <c r="I83" s="389"/>
      <c r="J83" s="389"/>
      <c r="K83" s="389"/>
      <c r="L83" s="88"/>
      <c r="M83" s="88"/>
      <c r="N83" s="91"/>
    </row>
    <row r="84" spans="2:14" ht="12.75" customHeight="1" x14ac:dyDescent="0.2">
      <c r="B84" s="87"/>
      <c r="C84" s="88"/>
      <c r="D84" s="794"/>
      <c r="E84" s="795"/>
      <c r="F84" s="796"/>
      <c r="G84" s="795"/>
      <c r="H84" s="714">
        <f>H8</f>
        <v>2013</v>
      </c>
      <c r="I84" s="714">
        <f>H84+1</f>
        <v>2014</v>
      </c>
      <c r="J84" s="714">
        <f>I84+1</f>
        <v>2015</v>
      </c>
      <c r="K84" s="714">
        <f>J84+1</f>
        <v>2016</v>
      </c>
      <c r="L84" s="714">
        <f>K84+1</f>
        <v>2017</v>
      </c>
      <c r="M84" s="797"/>
      <c r="N84" s="130"/>
    </row>
    <row r="85" spans="2:14" ht="12.75" customHeight="1" x14ac:dyDescent="0.2">
      <c r="B85" s="87"/>
      <c r="C85" s="88"/>
      <c r="D85" s="89"/>
      <c r="E85" s="716"/>
      <c r="F85" s="90"/>
      <c r="G85" s="716"/>
      <c r="H85" s="717"/>
      <c r="I85" s="717"/>
      <c r="J85" s="717"/>
      <c r="K85" s="717"/>
      <c r="L85" s="718"/>
      <c r="M85" s="718"/>
      <c r="N85" s="719"/>
    </row>
    <row r="86" spans="2:14" ht="12.75" customHeight="1" x14ac:dyDescent="0.2">
      <c r="B86" s="87"/>
      <c r="C86" s="104"/>
      <c r="D86" s="798"/>
      <c r="E86" s="798"/>
      <c r="F86" s="799"/>
      <c r="G86" s="798"/>
      <c r="H86" s="800"/>
      <c r="I86" s="800"/>
      <c r="J86" s="800"/>
      <c r="K86" s="800"/>
      <c r="L86" s="801"/>
      <c r="M86" s="802"/>
      <c r="N86" s="719"/>
    </row>
    <row r="87" spans="2:14" ht="12.75" customHeight="1" x14ac:dyDescent="0.2">
      <c r="B87" s="87"/>
      <c r="C87" s="108"/>
      <c r="D87" s="803" t="s">
        <v>391</v>
      </c>
      <c r="E87" s="110"/>
      <c r="F87" s="259" t="s">
        <v>112</v>
      </c>
      <c r="G87" s="110"/>
      <c r="H87" s="804"/>
      <c r="I87" s="804"/>
      <c r="J87" s="804"/>
      <c r="K87" s="804"/>
      <c r="L87" s="805"/>
      <c r="M87" s="806"/>
      <c r="N87" s="719"/>
    </row>
    <row r="88" spans="2:14" ht="12.75" customHeight="1" x14ac:dyDescent="0.2">
      <c r="B88" s="87"/>
      <c r="C88" s="108"/>
      <c r="D88" s="110"/>
      <c r="E88" s="110"/>
      <c r="F88" s="113"/>
      <c r="G88" s="110"/>
      <c r="H88" s="804"/>
      <c r="I88" s="804"/>
      <c r="J88" s="804"/>
      <c r="K88" s="804"/>
      <c r="L88" s="805"/>
      <c r="M88" s="806"/>
      <c r="N88" s="719"/>
    </row>
    <row r="89" spans="2:14" ht="12.75" customHeight="1" x14ac:dyDescent="0.2">
      <c r="B89" s="87"/>
      <c r="C89" s="108"/>
      <c r="D89" s="109" t="s">
        <v>378</v>
      </c>
      <c r="E89" s="110"/>
      <c r="F89" s="334"/>
      <c r="G89" s="110"/>
      <c r="H89" s="514">
        <f>act!F34+act!F42</f>
        <v>0</v>
      </c>
      <c r="I89" s="514">
        <f>act!G34+act!G42</f>
        <v>0</v>
      </c>
      <c r="J89" s="514">
        <f>act!H34+act!H42</f>
        <v>0</v>
      </c>
      <c r="K89" s="514">
        <f>act!I34+act!I42</f>
        <v>0</v>
      </c>
      <c r="L89" s="514">
        <f>act!J34+act!J42</f>
        <v>0</v>
      </c>
      <c r="M89" s="692"/>
      <c r="N89" s="719"/>
    </row>
    <row r="90" spans="2:14" ht="12.75" customHeight="1" x14ac:dyDescent="0.2">
      <c r="B90" s="87"/>
      <c r="C90" s="108"/>
      <c r="D90" s="109" t="s">
        <v>379</v>
      </c>
      <c r="E90" s="110"/>
      <c r="F90" s="334"/>
      <c r="G90" s="110"/>
      <c r="H90" s="514">
        <f>act!F35+act!F43</f>
        <v>0</v>
      </c>
      <c r="I90" s="514">
        <f>act!G35+act!G43</f>
        <v>0</v>
      </c>
      <c r="J90" s="514">
        <f>act!H35+act!H43</f>
        <v>0</v>
      </c>
      <c r="K90" s="514">
        <f>act!I35+act!I43</f>
        <v>0</v>
      </c>
      <c r="L90" s="514">
        <f>act!J35+act!J43</f>
        <v>0</v>
      </c>
      <c r="M90" s="692"/>
      <c r="N90" s="719"/>
    </row>
    <row r="91" spans="2:14" ht="12.75" customHeight="1" x14ac:dyDescent="0.2">
      <c r="B91" s="87"/>
      <c r="C91" s="108"/>
      <c r="D91" s="280" t="s">
        <v>88</v>
      </c>
      <c r="E91" s="110"/>
      <c r="F91" s="334"/>
      <c r="G91" s="110"/>
      <c r="H91" s="514">
        <f>act!F36+act!F44</f>
        <v>0</v>
      </c>
      <c r="I91" s="514">
        <f>act!G36+act!G44</f>
        <v>0</v>
      </c>
      <c r="J91" s="514">
        <f>act!H36+act!H44</f>
        <v>0</v>
      </c>
      <c r="K91" s="514">
        <f>act!I36+act!I44</f>
        <v>0</v>
      </c>
      <c r="L91" s="514">
        <f>act!J36+act!J44</f>
        <v>0</v>
      </c>
      <c r="M91" s="692"/>
      <c r="N91" s="719"/>
    </row>
    <row r="92" spans="2:14" ht="12.75" customHeight="1" x14ac:dyDescent="0.2">
      <c r="B92" s="87"/>
      <c r="C92" s="108"/>
      <c r="D92" s="280" t="s">
        <v>89</v>
      </c>
      <c r="E92" s="110"/>
      <c r="F92" s="334"/>
      <c r="G92" s="110"/>
      <c r="H92" s="514">
        <f>act!F37+act!F45</f>
        <v>0</v>
      </c>
      <c r="I92" s="514">
        <f>act!G37+act!G45</f>
        <v>0</v>
      </c>
      <c r="J92" s="514">
        <f>act!H37+act!H45</f>
        <v>0</v>
      </c>
      <c r="K92" s="514">
        <f>act!I37+act!I45</f>
        <v>0</v>
      </c>
      <c r="L92" s="514">
        <f>act!J37+act!J45</f>
        <v>0</v>
      </c>
      <c r="M92" s="692"/>
      <c r="N92" s="719"/>
    </row>
    <row r="93" spans="2:14" ht="12.75" customHeight="1" x14ac:dyDescent="0.2">
      <c r="B93" s="87"/>
      <c r="C93" s="108"/>
      <c r="D93" s="109" t="s">
        <v>427</v>
      </c>
      <c r="E93" s="110"/>
      <c r="F93" s="334"/>
      <c r="G93" s="110"/>
      <c r="H93" s="514">
        <f>act!F38+act!F46</f>
        <v>10000</v>
      </c>
      <c r="I93" s="514">
        <f>act!G38+act!G46</f>
        <v>10000</v>
      </c>
      <c r="J93" s="514">
        <f>act!H38+act!H46</f>
        <v>10000</v>
      </c>
      <c r="K93" s="514">
        <f>act!I38+act!I46</f>
        <v>10000</v>
      </c>
      <c r="L93" s="514">
        <f>act!J38+act!J46</f>
        <v>10000</v>
      </c>
      <c r="M93" s="692"/>
      <c r="N93" s="719"/>
    </row>
    <row r="94" spans="2:14" ht="12.75" customHeight="1" x14ac:dyDescent="0.2">
      <c r="B94" s="87"/>
      <c r="C94" s="108"/>
      <c r="D94" s="109" t="s">
        <v>380</v>
      </c>
      <c r="E94" s="110"/>
      <c r="F94" s="334"/>
      <c r="G94" s="110"/>
      <c r="H94" s="514">
        <f>act!F39+act!F47</f>
        <v>0</v>
      </c>
      <c r="I94" s="514">
        <f>act!G39+act!G47</f>
        <v>0</v>
      </c>
      <c r="J94" s="514">
        <f>act!H39+act!H47</f>
        <v>0</v>
      </c>
      <c r="K94" s="514">
        <f>act!I39+act!I47</f>
        <v>0</v>
      </c>
      <c r="L94" s="514">
        <f>act!J39+act!J47</f>
        <v>0</v>
      </c>
      <c r="M94" s="692"/>
      <c r="N94" s="719"/>
    </row>
    <row r="95" spans="2:14" ht="12.75" customHeight="1" x14ac:dyDescent="0.2">
      <c r="B95" s="87"/>
      <c r="C95" s="108"/>
      <c r="D95" s="110"/>
      <c r="E95" s="110"/>
      <c r="F95" s="144"/>
      <c r="G95" s="807"/>
      <c r="H95" s="804"/>
      <c r="I95" s="804"/>
      <c r="J95" s="804"/>
      <c r="K95" s="804"/>
      <c r="L95" s="805"/>
      <c r="M95" s="806"/>
      <c r="N95" s="719"/>
    </row>
    <row r="96" spans="2:14" ht="12.75" customHeight="1" x14ac:dyDescent="0.2">
      <c r="B96" s="87"/>
      <c r="C96" s="108"/>
      <c r="D96" s="147" t="s">
        <v>434</v>
      </c>
      <c r="E96" s="110"/>
      <c r="F96" s="113"/>
      <c r="G96" s="110"/>
      <c r="H96" s="808">
        <f>SUM(H89:H94)</f>
        <v>10000</v>
      </c>
      <c r="I96" s="808">
        <f>SUM(I89:I94)</f>
        <v>10000</v>
      </c>
      <c r="J96" s="808">
        <f>SUM(J89:J94)</f>
        <v>10000</v>
      </c>
      <c r="K96" s="808">
        <f>SUM(K89:K94)</f>
        <v>10000</v>
      </c>
      <c r="L96" s="808">
        <f>SUM(L89:L94)</f>
        <v>10000</v>
      </c>
      <c r="M96" s="809"/>
      <c r="N96" s="719"/>
    </row>
    <row r="97" spans="2:14" ht="12.75" customHeight="1" x14ac:dyDescent="0.2">
      <c r="B97" s="87"/>
      <c r="C97" s="116"/>
      <c r="D97" s="810"/>
      <c r="E97" s="811"/>
      <c r="F97" s="118"/>
      <c r="G97" s="811"/>
      <c r="H97" s="812"/>
      <c r="I97" s="812"/>
      <c r="J97" s="812"/>
      <c r="K97" s="812"/>
      <c r="L97" s="813"/>
      <c r="M97" s="814"/>
      <c r="N97" s="719"/>
    </row>
    <row r="98" spans="2:14" ht="12.75" customHeight="1" x14ac:dyDescent="0.2">
      <c r="B98" s="87"/>
      <c r="C98" s="88"/>
      <c r="D98" s="89"/>
      <c r="E98" s="716"/>
      <c r="F98" s="90"/>
      <c r="G98" s="716"/>
      <c r="H98" s="717"/>
      <c r="I98" s="717"/>
      <c r="J98" s="717"/>
      <c r="K98" s="717"/>
      <c r="L98" s="718"/>
      <c r="M98" s="718"/>
      <c r="N98" s="719"/>
    </row>
    <row r="99" spans="2:14" ht="12.75" customHeight="1" x14ac:dyDescent="0.2">
      <c r="B99" s="87"/>
      <c r="C99" s="104"/>
      <c r="D99" s="105"/>
      <c r="E99" s="105"/>
      <c r="F99" s="210"/>
      <c r="G99" s="105"/>
      <c r="H99" s="815"/>
      <c r="I99" s="815"/>
      <c r="J99" s="815"/>
      <c r="K99" s="815"/>
      <c r="L99" s="816"/>
      <c r="M99" s="817"/>
      <c r="N99" s="818"/>
    </row>
    <row r="100" spans="2:14" ht="12.75" customHeight="1" x14ac:dyDescent="0.2">
      <c r="B100" s="87"/>
      <c r="C100" s="108"/>
      <c r="D100" s="126" t="s">
        <v>392</v>
      </c>
      <c r="E100" s="110"/>
      <c r="F100" s="337"/>
      <c r="G100" s="110"/>
      <c r="H100" s="819"/>
      <c r="I100" s="819"/>
      <c r="J100" s="819"/>
      <c r="K100" s="819"/>
      <c r="L100" s="820"/>
      <c r="M100" s="821"/>
      <c r="N100" s="822"/>
    </row>
    <row r="101" spans="2:14" ht="12.75" customHeight="1" x14ac:dyDescent="0.2">
      <c r="B101" s="87"/>
      <c r="C101" s="108"/>
      <c r="D101" s="226"/>
      <c r="E101" s="110"/>
      <c r="F101" s="259" t="s">
        <v>112</v>
      </c>
      <c r="G101" s="110"/>
      <c r="H101" s="819"/>
      <c r="I101" s="819"/>
      <c r="J101" s="819"/>
      <c r="K101" s="819"/>
      <c r="L101" s="820"/>
      <c r="M101" s="821"/>
      <c r="N101" s="822"/>
    </row>
    <row r="102" spans="2:14" ht="12.75" customHeight="1" x14ac:dyDescent="0.2">
      <c r="B102" s="87"/>
      <c r="C102" s="108"/>
      <c r="D102" s="807" t="s">
        <v>486</v>
      </c>
      <c r="E102" s="110"/>
      <c r="F102" s="823"/>
      <c r="G102" s="110"/>
      <c r="H102" s="514">
        <f>mop!F17</f>
        <v>0</v>
      </c>
      <c r="I102" s="514">
        <f>mop!G17</f>
        <v>0</v>
      </c>
      <c r="J102" s="514">
        <f>mop!H17</f>
        <v>0</v>
      </c>
      <c r="K102" s="514">
        <f>mop!I17</f>
        <v>0</v>
      </c>
      <c r="L102" s="514">
        <f>mop!J17</f>
        <v>0</v>
      </c>
      <c r="M102" s="692"/>
      <c r="N102" s="824"/>
    </row>
    <row r="103" spans="2:14" ht="12.75" customHeight="1" x14ac:dyDescent="0.2">
      <c r="B103" s="87"/>
      <c r="C103" s="108"/>
      <c r="D103" s="825"/>
      <c r="E103" s="807"/>
      <c r="F103" s="334"/>
      <c r="G103" s="807"/>
      <c r="H103" s="744">
        <v>0</v>
      </c>
      <c r="I103" s="744">
        <f t="shared" ref="I103:K111" si="10">H103</f>
        <v>0</v>
      </c>
      <c r="J103" s="744">
        <f t="shared" si="10"/>
        <v>0</v>
      </c>
      <c r="K103" s="744">
        <f t="shared" si="10"/>
        <v>0</v>
      </c>
      <c r="L103" s="744">
        <f t="shared" ref="L103:L111" si="11">K103</f>
        <v>0</v>
      </c>
      <c r="M103" s="743"/>
      <c r="N103" s="826"/>
    </row>
    <row r="104" spans="2:14" ht="12.75" customHeight="1" x14ac:dyDescent="0.2">
      <c r="B104" s="87"/>
      <c r="C104" s="108"/>
      <c r="D104" s="285"/>
      <c r="E104" s="807"/>
      <c r="F104" s="334"/>
      <c r="G104" s="807"/>
      <c r="H104" s="744">
        <v>0</v>
      </c>
      <c r="I104" s="744">
        <f t="shared" si="10"/>
        <v>0</v>
      </c>
      <c r="J104" s="744">
        <f t="shared" si="10"/>
        <v>0</v>
      </c>
      <c r="K104" s="744">
        <f t="shared" si="10"/>
        <v>0</v>
      </c>
      <c r="L104" s="744">
        <f t="shared" si="11"/>
        <v>0</v>
      </c>
      <c r="M104" s="743"/>
      <c r="N104" s="826"/>
    </row>
    <row r="105" spans="2:14" ht="12.75" customHeight="1" x14ac:dyDescent="0.2">
      <c r="B105" s="87"/>
      <c r="C105" s="108"/>
      <c r="D105" s="285"/>
      <c r="E105" s="807"/>
      <c r="F105" s="334"/>
      <c r="G105" s="807"/>
      <c r="H105" s="744">
        <v>0</v>
      </c>
      <c r="I105" s="744">
        <f t="shared" si="10"/>
        <v>0</v>
      </c>
      <c r="J105" s="744">
        <f t="shared" si="10"/>
        <v>0</v>
      </c>
      <c r="K105" s="744">
        <f t="shared" si="10"/>
        <v>0</v>
      </c>
      <c r="L105" s="744">
        <f t="shared" si="11"/>
        <v>0</v>
      </c>
      <c r="M105" s="743"/>
      <c r="N105" s="826"/>
    </row>
    <row r="106" spans="2:14" ht="12.75" customHeight="1" x14ac:dyDescent="0.2">
      <c r="B106" s="87"/>
      <c r="C106" s="108"/>
      <c r="D106" s="285"/>
      <c r="E106" s="807"/>
      <c r="F106" s="334"/>
      <c r="G106" s="807"/>
      <c r="H106" s="744">
        <v>0</v>
      </c>
      <c r="I106" s="744">
        <f t="shared" si="10"/>
        <v>0</v>
      </c>
      <c r="J106" s="744">
        <f t="shared" si="10"/>
        <v>0</v>
      </c>
      <c r="K106" s="744">
        <f t="shared" si="10"/>
        <v>0</v>
      </c>
      <c r="L106" s="744">
        <f t="shared" si="11"/>
        <v>0</v>
      </c>
      <c r="M106" s="743"/>
      <c r="N106" s="826"/>
    </row>
    <row r="107" spans="2:14" ht="12.75" customHeight="1" x14ac:dyDescent="0.2">
      <c r="B107" s="87"/>
      <c r="C107" s="108"/>
      <c r="D107" s="285"/>
      <c r="E107" s="807"/>
      <c r="F107" s="334"/>
      <c r="G107" s="807"/>
      <c r="H107" s="744">
        <v>0</v>
      </c>
      <c r="I107" s="744">
        <f t="shared" si="10"/>
        <v>0</v>
      </c>
      <c r="J107" s="744">
        <f t="shared" si="10"/>
        <v>0</v>
      </c>
      <c r="K107" s="744">
        <f t="shared" si="10"/>
        <v>0</v>
      </c>
      <c r="L107" s="744">
        <f t="shared" si="11"/>
        <v>0</v>
      </c>
      <c r="M107" s="743"/>
      <c r="N107" s="826"/>
    </row>
    <row r="108" spans="2:14" ht="12.75" customHeight="1" x14ac:dyDescent="0.2">
      <c r="B108" s="87"/>
      <c r="C108" s="108"/>
      <c r="D108" s="285"/>
      <c r="E108" s="807"/>
      <c r="F108" s="334"/>
      <c r="G108" s="807"/>
      <c r="H108" s="744">
        <v>0</v>
      </c>
      <c r="I108" s="744">
        <f t="shared" si="10"/>
        <v>0</v>
      </c>
      <c r="J108" s="744">
        <f t="shared" si="10"/>
        <v>0</v>
      </c>
      <c r="K108" s="744">
        <f t="shared" si="10"/>
        <v>0</v>
      </c>
      <c r="L108" s="744">
        <f t="shared" si="11"/>
        <v>0</v>
      </c>
      <c r="M108" s="743"/>
      <c r="N108" s="826"/>
    </row>
    <row r="109" spans="2:14" ht="12.75" customHeight="1" x14ac:dyDescent="0.2">
      <c r="B109" s="87"/>
      <c r="C109" s="108"/>
      <c r="D109" s="285"/>
      <c r="E109" s="807"/>
      <c r="F109" s="334"/>
      <c r="G109" s="807"/>
      <c r="H109" s="744">
        <v>0</v>
      </c>
      <c r="I109" s="744">
        <f t="shared" ref="I109:K110" si="12">H109</f>
        <v>0</v>
      </c>
      <c r="J109" s="744">
        <f t="shared" si="12"/>
        <v>0</v>
      </c>
      <c r="K109" s="744">
        <f t="shared" si="12"/>
        <v>0</v>
      </c>
      <c r="L109" s="744">
        <f t="shared" si="11"/>
        <v>0</v>
      </c>
      <c r="M109" s="743"/>
      <c r="N109" s="826"/>
    </row>
    <row r="110" spans="2:14" ht="12.75" customHeight="1" x14ac:dyDescent="0.2">
      <c r="B110" s="87"/>
      <c r="C110" s="108"/>
      <c r="D110" s="285"/>
      <c r="E110" s="807"/>
      <c r="F110" s="334"/>
      <c r="G110" s="807"/>
      <c r="H110" s="744">
        <v>0</v>
      </c>
      <c r="I110" s="744">
        <f t="shared" si="12"/>
        <v>0</v>
      </c>
      <c r="J110" s="744">
        <f t="shared" si="12"/>
        <v>0</v>
      </c>
      <c r="K110" s="744">
        <f t="shared" si="12"/>
        <v>0</v>
      </c>
      <c r="L110" s="744">
        <f t="shared" si="11"/>
        <v>0</v>
      </c>
      <c r="M110" s="743"/>
      <c r="N110" s="826"/>
    </row>
    <row r="111" spans="2:14" ht="12.75" customHeight="1" x14ac:dyDescent="0.2">
      <c r="B111" s="87"/>
      <c r="C111" s="108"/>
      <c r="D111" s="285"/>
      <c r="E111" s="807"/>
      <c r="F111" s="334"/>
      <c r="G111" s="807"/>
      <c r="H111" s="744">
        <v>0</v>
      </c>
      <c r="I111" s="744">
        <f t="shared" si="10"/>
        <v>0</v>
      </c>
      <c r="J111" s="744">
        <f t="shared" si="10"/>
        <v>0</v>
      </c>
      <c r="K111" s="744">
        <f t="shared" si="10"/>
        <v>0</v>
      </c>
      <c r="L111" s="744">
        <f t="shared" si="11"/>
        <v>0</v>
      </c>
      <c r="M111" s="743"/>
      <c r="N111" s="826"/>
    </row>
    <row r="112" spans="2:14" ht="12.75" customHeight="1" x14ac:dyDescent="0.2">
      <c r="B112" s="87"/>
      <c r="C112" s="108"/>
      <c r="D112" s="807"/>
      <c r="E112" s="807"/>
      <c r="F112" s="144"/>
      <c r="G112" s="807"/>
      <c r="H112" s="804"/>
      <c r="I112" s="804"/>
      <c r="J112" s="804"/>
      <c r="K112" s="804"/>
      <c r="L112" s="804"/>
      <c r="M112" s="692"/>
      <c r="N112" s="826"/>
    </row>
    <row r="113" spans="2:14" ht="12.75" customHeight="1" x14ac:dyDescent="0.2">
      <c r="B113" s="87"/>
      <c r="C113" s="108"/>
      <c r="D113" s="147" t="s">
        <v>434</v>
      </c>
      <c r="E113" s="110"/>
      <c r="F113" s="113"/>
      <c r="G113" s="110"/>
      <c r="H113" s="808">
        <f>SUM(H102:H111)</f>
        <v>0</v>
      </c>
      <c r="I113" s="808">
        <f>SUM(I102:I111)</f>
        <v>0</v>
      </c>
      <c r="J113" s="808">
        <f>SUM(J102:J111)</f>
        <v>0</v>
      </c>
      <c r="K113" s="808">
        <f>SUM(K102:K111)</f>
        <v>0</v>
      </c>
      <c r="L113" s="808">
        <f>SUM(L102:L111)</f>
        <v>0</v>
      </c>
      <c r="M113" s="809"/>
      <c r="N113" s="827"/>
    </row>
    <row r="114" spans="2:14" ht="12.75" customHeight="1" x14ac:dyDescent="0.2">
      <c r="B114" s="87"/>
      <c r="C114" s="116"/>
      <c r="D114" s="117"/>
      <c r="E114" s="117"/>
      <c r="F114" s="235"/>
      <c r="G114" s="117"/>
      <c r="H114" s="828"/>
      <c r="I114" s="828"/>
      <c r="J114" s="828"/>
      <c r="K114" s="828"/>
      <c r="L114" s="828"/>
      <c r="M114" s="829"/>
      <c r="N114" s="824"/>
    </row>
    <row r="115" spans="2:14" ht="12.75" customHeight="1" x14ac:dyDescent="0.2">
      <c r="B115" s="87"/>
      <c r="C115" s="88"/>
      <c r="D115" s="88"/>
      <c r="E115" s="88"/>
      <c r="F115" s="204"/>
      <c r="G115" s="88"/>
      <c r="H115" s="666"/>
      <c r="I115" s="666"/>
      <c r="J115" s="666"/>
      <c r="K115" s="666"/>
      <c r="L115" s="666"/>
      <c r="M115" s="666"/>
      <c r="N115" s="824"/>
    </row>
    <row r="116" spans="2:14" ht="12.75" customHeight="1" x14ac:dyDescent="0.2">
      <c r="B116" s="87"/>
      <c r="C116" s="104"/>
      <c r="D116" s="798"/>
      <c r="E116" s="798"/>
      <c r="F116" s="799"/>
      <c r="G116" s="798"/>
      <c r="H116" s="800"/>
      <c r="I116" s="800"/>
      <c r="J116" s="800"/>
      <c r="K116" s="800"/>
      <c r="L116" s="800"/>
      <c r="M116" s="830"/>
      <c r="N116" s="824"/>
    </row>
    <row r="117" spans="2:14" s="213" customFormat="1" ht="12.75" customHeight="1" x14ac:dyDescent="0.2">
      <c r="B117" s="183"/>
      <c r="C117" s="191"/>
      <c r="D117" s="126" t="s">
        <v>596</v>
      </c>
      <c r="E117" s="831"/>
      <c r="F117" s="259" t="s">
        <v>112</v>
      </c>
      <c r="G117" s="831"/>
      <c r="H117" s="832"/>
      <c r="I117" s="832"/>
      <c r="J117" s="832"/>
      <c r="K117" s="832"/>
      <c r="L117" s="832"/>
      <c r="M117" s="809"/>
      <c r="N117" s="827"/>
    </row>
    <row r="118" spans="2:14" s="213" customFormat="1" ht="12.75" customHeight="1" x14ac:dyDescent="0.2">
      <c r="B118" s="183"/>
      <c r="C118" s="191"/>
      <c r="D118" s="833"/>
      <c r="E118" s="831"/>
      <c r="F118" s="834"/>
      <c r="G118" s="831"/>
      <c r="H118" s="832"/>
      <c r="I118" s="832"/>
      <c r="J118" s="832"/>
      <c r="K118" s="832"/>
      <c r="L118" s="832"/>
      <c r="M118" s="809"/>
      <c r="N118" s="827"/>
    </row>
    <row r="119" spans="2:14" ht="12.75" customHeight="1" x14ac:dyDescent="0.2">
      <c r="B119" s="87"/>
      <c r="C119" s="108"/>
      <c r="D119" s="825"/>
      <c r="E119" s="807"/>
      <c r="F119" s="334"/>
      <c r="G119" s="807"/>
      <c r="H119" s="744">
        <v>0</v>
      </c>
      <c r="I119" s="744">
        <f t="shared" ref="I119:K132" si="13">H119</f>
        <v>0</v>
      </c>
      <c r="J119" s="744">
        <f t="shared" si="13"/>
        <v>0</v>
      </c>
      <c r="K119" s="744">
        <f t="shared" si="13"/>
        <v>0</v>
      </c>
      <c r="L119" s="744">
        <f t="shared" ref="L119:L136" si="14">K119</f>
        <v>0</v>
      </c>
      <c r="M119" s="743"/>
      <c r="N119" s="826"/>
    </row>
    <row r="120" spans="2:14" ht="12.75" customHeight="1" x14ac:dyDescent="0.2">
      <c r="B120" s="87"/>
      <c r="C120" s="108"/>
      <c r="D120" s="825"/>
      <c r="E120" s="807"/>
      <c r="F120" s="334"/>
      <c r="G120" s="807"/>
      <c r="H120" s="744">
        <v>0</v>
      </c>
      <c r="I120" s="744">
        <f t="shared" ref="I120:L122" si="15">H120</f>
        <v>0</v>
      </c>
      <c r="J120" s="744">
        <f t="shared" si="15"/>
        <v>0</v>
      </c>
      <c r="K120" s="744">
        <f t="shared" si="15"/>
        <v>0</v>
      </c>
      <c r="L120" s="744">
        <f t="shared" si="15"/>
        <v>0</v>
      </c>
      <c r="M120" s="743"/>
      <c r="N120" s="826"/>
    </row>
    <row r="121" spans="2:14" ht="12.75" customHeight="1" x14ac:dyDescent="0.2">
      <c r="B121" s="87"/>
      <c r="C121" s="108"/>
      <c r="D121" s="825"/>
      <c r="E121" s="807"/>
      <c r="F121" s="334"/>
      <c r="G121" s="807"/>
      <c r="H121" s="744">
        <v>0</v>
      </c>
      <c r="I121" s="744">
        <f t="shared" si="15"/>
        <v>0</v>
      </c>
      <c r="J121" s="744">
        <f t="shared" si="15"/>
        <v>0</v>
      </c>
      <c r="K121" s="744">
        <f t="shared" si="15"/>
        <v>0</v>
      </c>
      <c r="L121" s="744">
        <f t="shared" si="15"/>
        <v>0</v>
      </c>
      <c r="M121" s="743"/>
      <c r="N121" s="826"/>
    </row>
    <row r="122" spans="2:14" ht="12.75" customHeight="1" x14ac:dyDescent="0.2">
      <c r="B122" s="87"/>
      <c r="C122" s="108"/>
      <c r="D122" s="825"/>
      <c r="E122" s="807"/>
      <c r="F122" s="334"/>
      <c r="G122" s="807"/>
      <c r="H122" s="744">
        <v>0</v>
      </c>
      <c r="I122" s="744">
        <f t="shared" si="15"/>
        <v>0</v>
      </c>
      <c r="J122" s="744">
        <f t="shared" si="15"/>
        <v>0</v>
      </c>
      <c r="K122" s="744">
        <f t="shared" si="15"/>
        <v>0</v>
      </c>
      <c r="L122" s="744">
        <f t="shared" si="15"/>
        <v>0</v>
      </c>
      <c r="M122" s="743"/>
      <c r="N122" s="826"/>
    </row>
    <row r="123" spans="2:14" ht="12.75" customHeight="1" x14ac:dyDescent="0.2">
      <c r="B123" s="87"/>
      <c r="C123" s="108"/>
      <c r="D123" s="825"/>
      <c r="E123" s="807"/>
      <c r="F123" s="334"/>
      <c r="G123" s="807"/>
      <c r="H123" s="744">
        <v>0</v>
      </c>
      <c r="I123" s="744">
        <f t="shared" si="13"/>
        <v>0</v>
      </c>
      <c r="J123" s="744">
        <f t="shared" si="13"/>
        <v>0</v>
      </c>
      <c r="K123" s="744">
        <f t="shared" si="13"/>
        <v>0</v>
      </c>
      <c r="L123" s="744">
        <f t="shared" si="14"/>
        <v>0</v>
      </c>
      <c r="M123" s="743"/>
      <c r="N123" s="826"/>
    </row>
    <row r="124" spans="2:14" ht="12.75" customHeight="1" x14ac:dyDescent="0.2">
      <c r="B124" s="87"/>
      <c r="C124" s="108"/>
      <c r="D124" s="825"/>
      <c r="E124" s="807"/>
      <c r="F124" s="334"/>
      <c r="G124" s="807"/>
      <c r="H124" s="744">
        <v>0</v>
      </c>
      <c r="I124" s="744">
        <f t="shared" si="13"/>
        <v>0</v>
      </c>
      <c r="J124" s="744">
        <f t="shared" si="13"/>
        <v>0</v>
      </c>
      <c r="K124" s="744">
        <f t="shared" si="13"/>
        <v>0</v>
      </c>
      <c r="L124" s="744">
        <f t="shared" si="14"/>
        <v>0</v>
      </c>
      <c r="M124" s="743"/>
      <c r="N124" s="826"/>
    </row>
    <row r="125" spans="2:14" ht="12.75" customHeight="1" x14ac:dyDescent="0.2">
      <c r="B125" s="87"/>
      <c r="C125" s="108"/>
      <c r="D125" s="825"/>
      <c r="E125" s="807"/>
      <c r="F125" s="334"/>
      <c r="G125" s="807"/>
      <c r="H125" s="744">
        <v>0</v>
      </c>
      <c r="I125" s="744">
        <f t="shared" si="13"/>
        <v>0</v>
      </c>
      <c r="J125" s="744">
        <f t="shared" si="13"/>
        <v>0</v>
      </c>
      <c r="K125" s="744">
        <f t="shared" si="13"/>
        <v>0</v>
      </c>
      <c r="L125" s="744">
        <f t="shared" si="14"/>
        <v>0</v>
      </c>
      <c r="M125" s="743"/>
      <c r="N125" s="826"/>
    </row>
    <row r="126" spans="2:14" ht="12.75" customHeight="1" x14ac:dyDescent="0.2">
      <c r="B126" s="87"/>
      <c r="C126" s="108"/>
      <c r="D126" s="825"/>
      <c r="E126" s="807"/>
      <c r="F126" s="334"/>
      <c r="G126" s="807"/>
      <c r="H126" s="744">
        <v>0</v>
      </c>
      <c r="I126" s="744">
        <f t="shared" si="13"/>
        <v>0</v>
      </c>
      <c r="J126" s="744">
        <f t="shared" si="13"/>
        <v>0</v>
      </c>
      <c r="K126" s="744">
        <f t="shared" si="13"/>
        <v>0</v>
      </c>
      <c r="L126" s="744">
        <f t="shared" si="14"/>
        <v>0</v>
      </c>
      <c r="M126" s="743"/>
      <c r="N126" s="826"/>
    </row>
    <row r="127" spans="2:14" ht="12.75" customHeight="1" x14ac:dyDescent="0.2">
      <c r="B127" s="87"/>
      <c r="C127" s="108"/>
      <c r="D127" s="825"/>
      <c r="E127" s="807"/>
      <c r="F127" s="334"/>
      <c r="G127" s="807"/>
      <c r="H127" s="744">
        <v>0</v>
      </c>
      <c r="I127" s="744">
        <f t="shared" si="13"/>
        <v>0</v>
      </c>
      <c r="J127" s="744">
        <f t="shared" si="13"/>
        <v>0</v>
      </c>
      <c r="K127" s="744">
        <f t="shared" si="13"/>
        <v>0</v>
      </c>
      <c r="L127" s="744">
        <f t="shared" si="14"/>
        <v>0</v>
      </c>
      <c r="M127" s="743"/>
      <c r="N127" s="826"/>
    </row>
    <row r="128" spans="2:14" ht="12.75" customHeight="1" x14ac:dyDescent="0.2">
      <c r="B128" s="87"/>
      <c r="C128" s="108"/>
      <c r="D128" s="825"/>
      <c r="E128" s="807"/>
      <c r="F128" s="334"/>
      <c r="G128" s="807"/>
      <c r="H128" s="744">
        <v>0</v>
      </c>
      <c r="I128" s="744">
        <f t="shared" si="13"/>
        <v>0</v>
      </c>
      <c r="J128" s="744">
        <f t="shared" si="13"/>
        <v>0</v>
      </c>
      <c r="K128" s="744">
        <f t="shared" si="13"/>
        <v>0</v>
      </c>
      <c r="L128" s="744">
        <f t="shared" si="14"/>
        <v>0</v>
      </c>
      <c r="M128" s="743"/>
      <c r="N128" s="826"/>
    </row>
    <row r="129" spans="2:14" ht="12.75" customHeight="1" x14ac:dyDescent="0.2">
      <c r="B129" s="87"/>
      <c r="C129" s="108"/>
      <c r="D129" s="825"/>
      <c r="E129" s="807"/>
      <c r="F129" s="334"/>
      <c r="G129" s="807"/>
      <c r="H129" s="744">
        <v>0</v>
      </c>
      <c r="I129" s="744">
        <f t="shared" si="13"/>
        <v>0</v>
      </c>
      <c r="J129" s="744">
        <f t="shared" si="13"/>
        <v>0</v>
      </c>
      <c r="K129" s="744">
        <f t="shared" si="13"/>
        <v>0</v>
      </c>
      <c r="L129" s="744">
        <f t="shared" si="14"/>
        <v>0</v>
      </c>
      <c r="M129" s="743"/>
      <c r="N129" s="826"/>
    </row>
    <row r="130" spans="2:14" ht="12.75" customHeight="1" x14ac:dyDescent="0.2">
      <c r="B130" s="87"/>
      <c r="C130" s="108"/>
      <c r="D130" s="825"/>
      <c r="E130" s="807"/>
      <c r="F130" s="334"/>
      <c r="G130" s="807"/>
      <c r="H130" s="744">
        <v>0</v>
      </c>
      <c r="I130" s="744">
        <f t="shared" si="13"/>
        <v>0</v>
      </c>
      <c r="J130" s="744">
        <f t="shared" si="13"/>
        <v>0</v>
      </c>
      <c r="K130" s="744">
        <f t="shared" si="13"/>
        <v>0</v>
      </c>
      <c r="L130" s="744">
        <f t="shared" si="14"/>
        <v>0</v>
      </c>
      <c r="M130" s="743"/>
      <c r="N130" s="826"/>
    </row>
    <row r="131" spans="2:14" ht="12.75" customHeight="1" x14ac:dyDescent="0.2">
      <c r="B131" s="87"/>
      <c r="C131" s="108"/>
      <c r="D131" s="825"/>
      <c r="E131" s="807"/>
      <c r="F131" s="334"/>
      <c r="G131" s="807"/>
      <c r="H131" s="744">
        <v>0</v>
      </c>
      <c r="I131" s="744">
        <f t="shared" si="13"/>
        <v>0</v>
      </c>
      <c r="J131" s="744">
        <f t="shared" si="13"/>
        <v>0</v>
      </c>
      <c r="K131" s="744">
        <f t="shared" si="13"/>
        <v>0</v>
      </c>
      <c r="L131" s="744">
        <f t="shared" si="14"/>
        <v>0</v>
      </c>
      <c r="M131" s="743"/>
      <c r="N131" s="826"/>
    </row>
    <row r="132" spans="2:14" ht="12.75" customHeight="1" x14ac:dyDescent="0.2">
      <c r="B132" s="87"/>
      <c r="C132" s="108"/>
      <c r="D132" s="825"/>
      <c r="E132" s="807"/>
      <c r="F132" s="334"/>
      <c r="G132" s="807"/>
      <c r="H132" s="744">
        <v>0</v>
      </c>
      <c r="I132" s="744">
        <f t="shared" si="13"/>
        <v>0</v>
      </c>
      <c r="J132" s="744">
        <f t="shared" si="13"/>
        <v>0</v>
      </c>
      <c r="K132" s="744">
        <f t="shared" si="13"/>
        <v>0</v>
      </c>
      <c r="L132" s="744">
        <f t="shared" si="14"/>
        <v>0</v>
      </c>
      <c r="M132" s="743"/>
      <c r="N132" s="826"/>
    </row>
    <row r="133" spans="2:14" ht="12.75" customHeight="1" x14ac:dyDescent="0.2">
      <c r="B133" s="87"/>
      <c r="C133" s="108"/>
      <c r="D133" s="825"/>
      <c r="E133" s="807"/>
      <c r="F133" s="334"/>
      <c r="G133" s="807"/>
      <c r="H133" s="744">
        <v>0</v>
      </c>
      <c r="I133" s="744">
        <f t="shared" ref="I133:K136" si="16">H133</f>
        <v>0</v>
      </c>
      <c r="J133" s="744">
        <f t="shared" si="16"/>
        <v>0</v>
      </c>
      <c r="K133" s="744">
        <f t="shared" si="16"/>
        <v>0</v>
      </c>
      <c r="L133" s="744">
        <f t="shared" si="14"/>
        <v>0</v>
      </c>
      <c r="M133" s="743"/>
      <c r="N133" s="826"/>
    </row>
    <row r="134" spans="2:14" ht="12.75" customHeight="1" x14ac:dyDescent="0.2">
      <c r="B134" s="87"/>
      <c r="C134" s="108"/>
      <c r="D134" s="825"/>
      <c r="E134" s="807"/>
      <c r="F134" s="334"/>
      <c r="G134" s="807"/>
      <c r="H134" s="744">
        <v>0</v>
      </c>
      <c r="I134" s="744">
        <f t="shared" si="16"/>
        <v>0</v>
      </c>
      <c r="J134" s="744">
        <f t="shared" si="16"/>
        <v>0</v>
      </c>
      <c r="K134" s="744">
        <f t="shared" si="16"/>
        <v>0</v>
      </c>
      <c r="L134" s="744">
        <f t="shared" si="14"/>
        <v>0</v>
      </c>
      <c r="M134" s="743"/>
      <c r="N134" s="826"/>
    </row>
    <row r="135" spans="2:14" ht="12.75" customHeight="1" x14ac:dyDescent="0.2">
      <c r="B135" s="87"/>
      <c r="C135" s="108"/>
      <c r="D135" s="825"/>
      <c r="E135" s="807"/>
      <c r="F135" s="334"/>
      <c r="G135" s="807"/>
      <c r="H135" s="744">
        <v>0</v>
      </c>
      <c r="I135" s="744">
        <f t="shared" si="16"/>
        <v>0</v>
      </c>
      <c r="J135" s="744">
        <f t="shared" si="16"/>
        <v>0</v>
      </c>
      <c r="K135" s="744">
        <f t="shared" si="16"/>
        <v>0</v>
      </c>
      <c r="L135" s="744">
        <f t="shared" si="14"/>
        <v>0</v>
      </c>
      <c r="M135" s="743"/>
      <c r="N135" s="826"/>
    </row>
    <row r="136" spans="2:14" ht="12.75" customHeight="1" x14ac:dyDescent="0.2">
      <c r="B136" s="87"/>
      <c r="C136" s="108"/>
      <c r="D136" s="825"/>
      <c r="E136" s="807"/>
      <c r="F136" s="334"/>
      <c r="G136" s="807"/>
      <c r="H136" s="744">
        <v>0</v>
      </c>
      <c r="I136" s="744">
        <f t="shared" si="16"/>
        <v>0</v>
      </c>
      <c r="J136" s="744">
        <f t="shared" si="16"/>
        <v>0</v>
      </c>
      <c r="K136" s="744">
        <f t="shared" si="16"/>
        <v>0</v>
      </c>
      <c r="L136" s="744">
        <f t="shared" si="14"/>
        <v>0</v>
      </c>
      <c r="M136" s="743"/>
      <c r="N136" s="826"/>
    </row>
    <row r="137" spans="2:14" ht="12.75" customHeight="1" x14ac:dyDescent="0.2">
      <c r="B137" s="87"/>
      <c r="C137" s="108"/>
      <c r="D137" s="825"/>
      <c r="E137" s="807"/>
      <c r="F137" s="334"/>
      <c r="G137" s="807"/>
      <c r="H137" s="744">
        <v>0</v>
      </c>
      <c r="I137" s="744">
        <f t="shared" ref="I137:K139" si="17">H137</f>
        <v>0</v>
      </c>
      <c r="J137" s="744">
        <f t="shared" si="17"/>
        <v>0</v>
      </c>
      <c r="K137" s="744">
        <f t="shared" si="17"/>
        <v>0</v>
      </c>
      <c r="L137" s="744">
        <f t="shared" ref="L137:L153" si="18">K137</f>
        <v>0</v>
      </c>
      <c r="M137" s="743"/>
      <c r="N137" s="826"/>
    </row>
    <row r="138" spans="2:14" ht="12.75" customHeight="1" x14ac:dyDescent="0.2">
      <c r="B138" s="87"/>
      <c r="C138" s="108"/>
      <c r="D138" s="825"/>
      <c r="E138" s="807"/>
      <c r="F138" s="334"/>
      <c r="G138" s="807"/>
      <c r="H138" s="744">
        <v>0</v>
      </c>
      <c r="I138" s="744">
        <f t="shared" si="17"/>
        <v>0</v>
      </c>
      <c r="J138" s="744">
        <f t="shared" si="17"/>
        <v>0</v>
      </c>
      <c r="K138" s="744">
        <f t="shared" si="17"/>
        <v>0</v>
      </c>
      <c r="L138" s="744">
        <f t="shared" si="18"/>
        <v>0</v>
      </c>
      <c r="M138" s="743"/>
      <c r="N138" s="826"/>
    </row>
    <row r="139" spans="2:14" ht="12.75" customHeight="1" x14ac:dyDescent="0.2">
      <c r="B139" s="87"/>
      <c r="C139" s="108"/>
      <c r="D139" s="825"/>
      <c r="E139" s="807"/>
      <c r="F139" s="334"/>
      <c r="G139" s="807"/>
      <c r="H139" s="744">
        <v>0</v>
      </c>
      <c r="I139" s="744">
        <f t="shared" si="17"/>
        <v>0</v>
      </c>
      <c r="J139" s="744">
        <f t="shared" si="17"/>
        <v>0</v>
      </c>
      <c r="K139" s="744">
        <f t="shared" si="17"/>
        <v>0</v>
      </c>
      <c r="L139" s="744">
        <f t="shared" si="18"/>
        <v>0</v>
      </c>
      <c r="M139" s="743"/>
      <c r="N139" s="826"/>
    </row>
    <row r="140" spans="2:14" ht="12.75" customHeight="1" x14ac:dyDescent="0.2">
      <c r="B140" s="87"/>
      <c r="C140" s="108"/>
      <c r="D140" s="825"/>
      <c r="E140" s="807"/>
      <c r="F140" s="334"/>
      <c r="G140" s="807"/>
      <c r="H140" s="744">
        <v>0</v>
      </c>
      <c r="I140" s="744">
        <f t="shared" ref="I140:K143" si="19">H140</f>
        <v>0</v>
      </c>
      <c r="J140" s="744">
        <f t="shared" si="19"/>
        <v>0</v>
      </c>
      <c r="K140" s="744">
        <f t="shared" si="19"/>
        <v>0</v>
      </c>
      <c r="L140" s="744">
        <f t="shared" si="18"/>
        <v>0</v>
      </c>
      <c r="M140" s="743"/>
      <c r="N140" s="826"/>
    </row>
    <row r="141" spans="2:14" ht="12.75" customHeight="1" x14ac:dyDescent="0.2">
      <c r="B141" s="87"/>
      <c r="C141" s="108"/>
      <c r="D141" s="825"/>
      <c r="E141" s="807"/>
      <c r="F141" s="334"/>
      <c r="G141" s="807"/>
      <c r="H141" s="744">
        <v>0</v>
      </c>
      <c r="I141" s="744">
        <f t="shared" si="19"/>
        <v>0</v>
      </c>
      <c r="J141" s="744">
        <f t="shared" si="19"/>
        <v>0</v>
      </c>
      <c r="K141" s="744">
        <f t="shared" si="19"/>
        <v>0</v>
      </c>
      <c r="L141" s="744">
        <f t="shared" si="18"/>
        <v>0</v>
      </c>
      <c r="M141" s="743"/>
      <c r="N141" s="826"/>
    </row>
    <row r="142" spans="2:14" ht="12.75" customHeight="1" x14ac:dyDescent="0.2">
      <c r="B142" s="87"/>
      <c r="C142" s="108"/>
      <c r="D142" s="825"/>
      <c r="E142" s="807"/>
      <c r="F142" s="334"/>
      <c r="G142" s="807"/>
      <c r="H142" s="744">
        <v>0</v>
      </c>
      <c r="I142" s="744">
        <f t="shared" si="19"/>
        <v>0</v>
      </c>
      <c r="J142" s="744">
        <f t="shared" si="19"/>
        <v>0</v>
      </c>
      <c r="K142" s="744">
        <f t="shared" si="19"/>
        <v>0</v>
      </c>
      <c r="L142" s="744">
        <f t="shared" si="18"/>
        <v>0</v>
      </c>
      <c r="M142" s="743"/>
      <c r="N142" s="826"/>
    </row>
    <row r="143" spans="2:14" ht="12.75" customHeight="1" x14ac:dyDescent="0.2">
      <c r="B143" s="87"/>
      <c r="C143" s="108"/>
      <c r="D143" s="825"/>
      <c r="E143" s="807"/>
      <c r="F143" s="334"/>
      <c r="G143" s="807"/>
      <c r="H143" s="744">
        <v>0</v>
      </c>
      <c r="I143" s="744">
        <f t="shared" si="19"/>
        <v>0</v>
      </c>
      <c r="J143" s="744">
        <f t="shared" si="19"/>
        <v>0</v>
      </c>
      <c r="K143" s="744">
        <f t="shared" si="19"/>
        <v>0</v>
      </c>
      <c r="L143" s="744">
        <f t="shared" si="18"/>
        <v>0</v>
      </c>
      <c r="M143" s="743"/>
      <c r="N143" s="826"/>
    </row>
    <row r="144" spans="2:14" ht="12.75" customHeight="1" x14ac:dyDescent="0.2">
      <c r="B144" s="87"/>
      <c r="C144" s="108"/>
      <c r="D144" s="825"/>
      <c r="E144" s="807"/>
      <c r="F144" s="334"/>
      <c r="G144" s="807"/>
      <c r="H144" s="744">
        <v>0</v>
      </c>
      <c r="I144" s="744">
        <f t="shared" ref="I144:K153" si="20">H144</f>
        <v>0</v>
      </c>
      <c r="J144" s="744">
        <f t="shared" si="20"/>
        <v>0</v>
      </c>
      <c r="K144" s="744">
        <f t="shared" si="20"/>
        <v>0</v>
      </c>
      <c r="L144" s="744">
        <f t="shared" si="18"/>
        <v>0</v>
      </c>
      <c r="M144" s="743"/>
      <c r="N144" s="826"/>
    </row>
    <row r="145" spans="2:14" ht="12.75" customHeight="1" x14ac:dyDescent="0.2">
      <c r="B145" s="87"/>
      <c r="C145" s="108"/>
      <c r="D145" s="825"/>
      <c r="E145" s="807"/>
      <c r="F145" s="334"/>
      <c r="G145" s="807"/>
      <c r="H145" s="744">
        <v>0</v>
      </c>
      <c r="I145" s="744">
        <f t="shared" si="20"/>
        <v>0</v>
      </c>
      <c r="J145" s="744">
        <f t="shared" si="20"/>
        <v>0</v>
      </c>
      <c r="K145" s="744">
        <f t="shared" si="20"/>
        <v>0</v>
      </c>
      <c r="L145" s="744">
        <f t="shared" si="18"/>
        <v>0</v>
      </c>
      <c r="M145" s="743"/>
      <c r="N145" s="826"/>
    </row>
    <row r="146" spans="2:14" ht="12.75" customHeight="1" x14ac:dyDescent="0.2">
      <c r="B146" s="87"/>
      <c r="C146" s="108"/>
      <c r="D146" s="825"/>
      <c r="E146" s="807"/>
      <c r="F146" s="334"/>
      <c r="G146" s="807"/>
      <c r="H146" s="744">
        <v>0</v>
      </c>
      <c r="I146" s="744">
        <f t="shared" si="20"/>
        <v>0</v>
      </c>
      <c r="J146" s="744">
        <f t="shared" si="20"/>
        <v>0</v>
      </c>
      <c r="K146" s="744">
        <f t="shared" si="20"/>
        <v>0</v>
      </c>
      <c r="L146" s="744">
        <f t="shared" si="18"/>
        <v>0</v>
      </c>
      <c r="M146" s="743"/>
      <c r="N146" s="826"/>
    </row>
    <row r="147" spans="2:14" ht="12.75" customHeight="1" x14ac:dyDescent="0.2">
      <c r="B147" s="87"/>
      <c r="C147" s="108"/>
      <c r="D147" s="825"/>
      <c r="E147" s="807"/>
      <c r="F147" s="334"/>
      <c r="G147" s="807"/>
      <c r="H147" s="744">
        <v>0</v>
      </c>
      <c r="I147" s="744">
        <f t="shared" si="20"/>
        <v>0</v>
      </c>
      <c r="J147" s="744">
        <f t="shared" si="20"/>
        <v>0</v>
      </c>
      <c r="K147" s="744">
        <f t="shared" si="20"/>
        <v>0</v>
      </c>
      <c r="L147" s="744">
        <f t="shared" si="18"/>
        <v>0</v>
      </c>
      <c r="M147" s="743"/>
      <c r="N147" s="826"/>
    </row>
    <row r="148" spans="2:14" ht="12.75" customHeight="1" x14ac:dyDescent="0.2">
      <c r="B148" s="87"/>
      <c r="C148" s="108"/>
      <c r="D148" s="835"/>
      <c r="E148" s="807"/>
      <c r="F148" s="334"/>
      <c r="G148" s="807"/>
      <c r="H148" s="744">
        <v>0</v>
      </c>
      <c r="I148" s="744">
        <f t="shared" si="20"/>
        <v>0</v>
      </c>
      <c r="J148" s="744">
        <f t="shared" si="20"/>
        <v>0</v>
      </c>
      <c r="K148" s="744">
        <f t="shared" si="20"/>
        <v>0</v>
      </c>
      <c r="L148" s="744">
        <f t="shared" si="18"/>
        <v>0</v>
      </c>
      <c r="M148" s="743"/>
      <c r="N148" s="826"/>
    </row>
    <row r="149" spans="2:14" ht="12.75" customHeight="1" x14ac:dyDescent="0.2">
      <c r="B149" s="87"/>
      <c r="C149" s="108"/>
      <c r="D149" s="835"/>
      <c r="E149" s="807"/>
      <c r="F149" s="334"/>
      <c r="G149" s="807"/>
      <c r="H149" s="744">
        <v>0</v>
      </c>
      <c r="I149" s="744">
        <f t="shared" si="20"/>
        <v>0</v>
      </c>
      <c r="J149" s="744">
        <f t="shared" si="20"/>
        <v>0</v>
      </c>
      <c r="K149" s="744">
        <f t="shared" si="20"/>
        <v>0</v>
      </c>
      <c r="L149" s="744">
        <f t="shared" si="18"/>
        <v>0</v>
      </c>
      <c r="M149" s="743"/>
      <c r="N149" s="826"/>
    </row>
    <row r="150" spans="2:14" ht="12.75" customHeight="1" x14ac:dyDescent="0.2">
      <c r="B150" s="87"/>
      <c r="C150" s="108"/>
      <c r="D150" s="835"/>
      <c r="E150" s="807"/>
      <c r="F150" s="334"/>
      <c r="G150" s="807"/>
      <c r="H150" s="744">
        <v>0</v>
      </c>
      <c r="I150" s="744">
        <f t="shared" si="20"/>
        <v>0</v>
      </c>
      <c r="J150" s="744">
        <f t="shared" si="20"/>
        <v>0</v>
      </c>
      <c r="K150" s="744">
        <f t="shared" si="20"/>
        <v>0</v>
      </c>
      <c r="L150" s="744">
        <f t="shared" si="18"/>
        <v>0</v>
      </c>
      <c r="M150" s="743"/>
      <c r="N150" s="826"/>
    </row>
    <row r="151" spans="2:14" ht="12.75" customHeight="1" x14ac:dyDescent="0.2">
      <c r="B151" s="87"/>
      <c r="C151" s="108"/>
      <c r="D151" s="835"/>
      <c r="E151" s="807"/>
      <c r="F151" s="334"/>
      <c r="G151" s="807"/>
      <c r="H151" s="744">
        <v>0</v>
      </c>
      <c r="I151" s="744">
        <f t="shared" si="20"/>
        <v>0</v>
      </c>
      <c r="J151" s="744">
        <f t="shared" si="20"/>
        <v>0</v>
      </c>
      <c r="K151" s="744">
        <f t="shared" si="20"/>
        <v>0</v>
      </c>
      <c r="L151" s="744">
        <f t="shared" si="18"/>
        <v>0</v>
      </c>
      <c r="M151" s="743"/>
      <c r="N151" s="826"/>
    </row>
    <row r="152" spans="2:14" ht="12.75" customHeight="1" x14ac:dyDescent="0.2">
      <c r="B152" s="87"/>
      <c r="C152" s="108"/>
      <c r="D152" s="835"/>
      <c r="E152" s="807"/>
      <c r="F152" s="334"/>
      <c r="G152" s="807"/>
      <c r="H152" s="744">
        <v>0</v>
      </c>
      <c r="I152" s="744">
        <f t="shared" si="20"/>
        <v>0</v>
      </c>
      <c r="J152" s="744">
        <f t="shared" si="20"/>
        <v>0</v>
      </c>
      <c r="K152" s="744">
        <f t="shared" si="20"/>
        <v>0</v>
      </c>
      <c r="L152" s="744">
        <f t="shared" si="18"/>
        <v>0</v>
      </c>
      <c r="M152" s="743"/>
      <c r="N152" s="826"/>
    </row>
    <row r="153" spans="2:14" ht="12.75" customHeight="1" x14ac:dyDescent="0.2">
      <c r="B153" s="87"/>
      <c r="C153" s="108"/>
      <c r="D153" s="835"/>
      <c r="E153" s="807"/>
      <c r="F153" s="334"/>
      <c r="G153" s="807"/>
      <c r="H153" s="744">
        <v>0</v>
      </c>
      <c r="I153" s="744">
        <f t="shared" si="20"/>
        <v>0</v>
      </c>
      <c r="J153" s="744">
        <f t="shared" si="20"/>
        <v>0</v>
      </c>
      <c r="K153" s="744">
        <f t="shared" si="20"/>
        <v>0</v>
      </c>
      <c r="L153" s="744">
        <f t="shared" si="18"/>
        <v>0</v>
      </c>
      <c r="M153" s="743"/>
      <c r="N153" s="826"/>
    </row>
    <row r="154" spans="2:14" ht="12.75" customHeight="1" x14ac:dyDescent="0.2">
      <c r="B154" s="87"/>
      <c r="C154" s="108"/>
      <c r="D154" s="807"/>
      <c r="E154" s="807"/>
      <c r="F154" s="144"/>
      <c r="G154" s="807"/>
      <c r="H154" s="804"/>
      <c r="I154" s="804"/>
      <c r="J154" s="804"/>
      <c r="K154" s="804"/>
      <c r="L154" s="804"/>
      <c r="M154" s="692"/>
      <c r="N154" s="826"/>
    </row>
    <row r="155" spans="2:14" ht="12.75" customHeight="1" x14ac:dyDescent="0.2">
      <c r="B155" s="87"/>
      <c r="C155" s="108"/>
      <c r="D155" s="147" t="s">
        <v>434</v>
      </c>
      <c r="E155" s="807"/>
      <c r="F155" s="144"/>
      <c r="G155" s="807"/>
      <c r="H155" s="808">
        <f>SUM(H119:H153)</f>
        <v>0</v>
      </c>
      <c r="I155" s="808">
        <f>SUM(I119:I153)</f>
        <v>0</v>
      </c>
      <c r="J155" s="808">
        <f>SUM(J119:J153)</f>
        <v>0</v>
      </c>
      <c r="K155" s="808">
        <f>SUM(K119:K153)</f>
        <v>0</v>
      </c>
      <c r="L155" s="808">
        <f>SUM(L119:L153)</f>
        <v>0</v>
      </c>
      <c r="M155" s="809"/>
      <c r="N155" s="827"/>
    </row>
    <row r="156" spans="2:14" ht="12.75" customHeight="1" x14ac:dyDescent="0.2">
      <c r="B156" s="87"/>
      <c r="C156" s="116"/>
      <c r="D156" s="836"/>
      <c r="E156" s="836"/>
      <c r="F156" s="837"/>
      <c r="G156" s="836"/>
      <c r="H156" s="828"/>
      <c r="I156" s="828"/>
      <c r="J156" s="828"/>
      <c r="K156" s="828"/>
      <c r="L156" s="838"/>
      <c r="M156" s="839"/>
      <c r="N156" s="824"/>
    </row>
    <row r="157" spans="2:14" ht="12.75" customHeight="1" x14ac:dyDescent="0.2">
      <c r="B157" s="87"/>
      <c r="C157" s="88"/>
      <c r="D157" s="840"/>
      <c r="E157" s="840"/>
      <c r="F157" s="841"/>
      <c r="G157" s="840"/>
      <c r="H157" s="666"/>
      <c r="I157" s="666"/>
      <c r="J157" s="666"/>
      <c r="K157" s="666"/>
      <c r="L157" s="842"/>
      <c r="M157" s="842"/>
      <c r="N157" s="824"/>
    </row>
    <row r="158" spans="2:14" ht="12.75" customHeight="1" x14ac:dyDescent="0.2">
      <c r="B158" s="87"/>
      <c r="C158" s="104"/>
      <c r="D158" s="843"/>
      <c r="E158" s="843"/>
      <c r="F158" s="313"/>
      <c r="G158" s="843"/>
      <c r="H158" s="800"/>
      <c r="I158" s="800"/>
      <c r="J158" s="800"/>
      <c r="K158" s="800"/>
      <c r="L158" s="801"/>
      <c r="M158" s="802"/>
      <c r="N158" s="824"/>
    </row>
    <row r="159" spans="2:14" ht="12.75" customHeight="1" x14ac:dyDescent="0.2">
      <c r="B159" s="87"/>
      <c r="C159" s="108"/>
      <c r="D159" s="134" t="s">
        <v>597</v>
      </c>
      <c r="E159" s="147"/>
      <c r="F159" s="149"/>
      <c r="G159" s="147"/>
      <c r="H159" s="844">
        <f>H113+H155+H96</f>
        <v>10000</v>
      </c>
      <c r="I159" s="844">
        <f>I113+I155+I96</f>
        <v>10000</v>
      </c>
      <c r="J159" s="844">
        <f>J113+J155+J96</f>
        <v>10000</v>
      </c>
      <c r="K159" s="844">
        <f>K113+K155+K96</f>
        <v>10000</v>
      </c>
      <c r="L159" s="844">
        <f>L113+L155+L96</f>
        <v>10000</v>
      </c>
      <c r="M159" s="809"/>
      <c r="N159" s="827"/>
    </row>
    <row r="160" spans="2:14" ht="12.75" customHeight="1" x14ac:dyDescent="0.2">
      <c r="B160" s="87"/>
      <c r="C160" s="116"/>
      <c r="D160" s="845"/>
      <c r="E160" s="234"/>
      <c r="F160" s="645"/>
      <c r="G160" s="234"/>
      <c r="H160" s="846"/>
      <c r="I160" s="846"/>
      <c r="J160" s="846"/>
      <c r="K160" s="846"/>
      <c r="L160" s="847"/>
      <c r="M160" s="848"/>
      <c r="N160" s="827"/>
    </row>
    <row r="161" spans="2:14" ht="12.75" customHeight="1" x14ac:dyDescent="0.2">
      <c r="B161" s="87"/>
      <c r="C161" s="88"/>
      <c r="D161" s="849"/>
      <c r="E161" s="237"/>
      <c r="F161" s="778"/>
      <c r="G161" s="237"/>
      <c r="H161" s="850"/>
      <c r="I161" s="850"/>
      <c r="J161" s="850"/>
      <c r="K161" s="850"/>
      <c r="L161" s="851"/>
      <c r="M161" s="851"/>
      <c r="N161" s="827"/>
    </row>
    <row r="162" spans="2:14" ht="12.75" customHeight="1" x14ac:dyDescent="0.2">
      <c r="B162" s="87"/>
      <c r="C162" s="88"/>
      <c r="D162" s="849"/>
      <c r="E162" s="237"/>
      <c r="F162" s="778"/>
      <c r="G162" s="237"/>
      <c r="H162" s="850"/>
      <c r="I162" s="850"/>
      <c r="J162" s="850"/>
      <c r="K162" s="850"/>
      <c r="L162" s="851"/>
      <c r="M162" s="851"/>
      <c r="N162" s="827"/>
    </row>
    <row r="163" spans="2:14" ht="12.75" customHeight="1" x14ac:dyDescent="0.2">
      <c r="B163" s="87"/>
      <c r="C163" s="104"/>
      <c r="D163" s="852"/>
      <c r="E163" s="185"/>
      <c r="F163" s="211"/>
      <c r="G163" s="185"/>
      <c r="H163" s="853"/>
      <c r="I163" s="853"/>
      <c r="J163" s="853"/>
      <c r="K163" s="853"/>
      <c r="L163" s="854"/>
      <c r="M163" s="855"/>
      <c r="N163" s="827"/>
    </row>
    <row r="164" spans="2:14" s="213" customFormat="1" ht="12.75" customHeight="1" x14ac:dyDescent="0.2">
      <c r="B164" s="183"/>
      <c r="C164" s="191"/>
      <c r="D164" s="126" t="s">
        <v>602</v>
      </c>
      <c r="E164" s="147"/>
      <c r="F164" s="149"/>
      <c r="G164" s="147"/>
      <c r="H164" s="844">
        <f>H78-H159</f>
        <v>137560.75</v>
      </c>
      <c r="I164" s="844">
        <f>I78-I159</f>
        <v>135067.64000000001</v>
      </c>
      <c r="J164" s="844">
        <f>J78-J159</f>
        <v>128734.53</v>
      </c>
      <c r="K164" s="844">
        <f>K78-K159</f>
        <v>128734.53</v>
      </c>
      <c r="L164" s="844">
        <f>L78-L159</f>
        <v>128734.53</v>
      </c>
      <c r="M164" s="809"/>
      <c r="N164" s="827"/>
    </row>
    <row r="165" spans="2:14" ht="12.75" customHeight="1" x14ac:dyDescent="0.2">
      <c r="B165" s="87"/>
      <c r="C165" s="116"/>
      <c r="D165" s="845"/>
      <c r="E165" s="234"/>
      <c r="F165" s="645"/>
      <c r="G165" s="234"/>
      <c r="H165" s="846"/>
      <c r="I165" s="846"/>
      <c r="J165" s="846"/>
      <c r="K165" s="846"/>
      <c r="L165" s="847"/>
      <c r="M165" s="848"/>
      <c r="N165" s="827"/>
    </row>
    <row r="166" spans="2:14" ht="12.75" customHeight="1" x14ac:dyDescent="0.2">
      <c r="B166" s="87"/>
      <c r="C166" s="88"/>
      <c r="D166" s="849"/>
      <c r="E166" s="237"/>
      <c r="F166" s="778"/>
      <c r="G166" s="237"/>
      <c r="H166" s="850"/>
      <c r="I166" s="850"/>
      <c r="J166" s="850"/>
      <c r="K166" s="850"/>
      <c r="L166" s="851"/>
      <c r="M166" s="851"/>
      <c r="N166" s="827"/>
    </row>
    <row r="167" spans="2:14" ht="12.75" customHeight="1" x14ac:dyDescent="0.25">
      <c r="B167" s="199"/>
      <c r="C167" s="200"/>
      <c r="D167" s="200"/>
      <c r="E167" s="200"/>
      <c r="F167" s="555"/>
      <c r="G167" s="200"/>
      <c r="H167" s="793"/>
      <c r="I167" s="793"/>
      <c r="J167" s="793"/>
      <c r="K167" s="793"/>
      <c r="L167" s="200"/>
      <c r="M167" s="176" t="s">
        <v>629</v>
      </c>
      <c r="N167" s="201"/>
    </row>
    <row r="168" spans="2:14" ht="12.75" customHeight="1" x14ac:dyDescent="0.2"/>
    <row r="169" spans="2:14" ht="12.75" customHeight="1" x14ac:dyDescent="0.2"/>
    <row r="170" spans="2:14" ht="12.75" customHeight="1" x14ac:dyDescent="0.2"/>
    <row r="171" spans="2:14" ht="12.75" customHeight="1" x14ac:dyDescent="0.2">
      <c r="F171" s="86"/>
      <c r="H171" s="86"/>
      <c r="I171" s="86"/>
      <c r="J171" s="86"/>
      <c r="K171" s="86"/>
    </row>
    <row r="172" spans="2:14" ht="12.75" customHeight="1" x14ac:dyDescent="0.2">
      <c r="D172" s="243"/>
      <c r="E172" s="243"/>
      <c r="F172" s="243"/>
      <c r="G172" s="243"/>
      <c r="H172" s="243"/>
      <c r="I172" s="243"/>
      <c r="J172" s="243"/>
      <c r="K172" s="243"/>
      <c r="L172" s="243"/>
    </row>
    <row r="173" spans="2:14" ht="12.75" customHeight="1" x14ac:dyDescent="0.2">
      <c r="D173" s="856"/>
      <c r="E173" s="857"/>
      <c r="F173" s="245"/>
      <c r="G173" s="245"/>
      <c r="H173" s="245" t="str">
        <f>+tab!D2</f>
        <v>2013/14</v>
      </c>
      <c r="I173" s="245" t="str">
        <f>+tab!E2</f>
        <v>2014/15</v>
      </c>
      <c r="J173" s="245" t="str">
        <f>+tab!F2</f>
        <v>2015/16</v>
      </c>
      <c r="K173" s="245" t="str">
        <f>+tab!G2</f>
        <v>2016/17</v>
      </c>
      <c r="L173" s="245" t="str">
        <f>+tab!H2</f>
        <v>2017/18</v>
      </c>
      <c r="M173" s="351"/>
      <c r="N173" s="351"/>
    </row>
    <row r="174" spans="2:14" ht="12.75" customHeight="1" x14ac:dyDescent="0.2">
      <c r="D174" s="242" t="s">
        <v>607</v>
      </c>
      <c r="E174" s="652"/>
      <c r="F174" s="242"/>
      <c r="G174" s="652"/>
      <c r="H174" s="858"/>
      <c r="I174" s="858"/>
      <c r="J174" s="858"/>
      <c r="K174" s="858"/>
      <c r="L174" s="243"/>
    </row>
    <row r="175" spans="2:14" ht="12.75" customHeight="1" x14ac:dyDescent="0.2">
      <c r="D175" s="357" t="s">
        <v>393</v>
      </c>
      <c r="E175" s="652"/>
      <c r="F175" s="242"/>
      <c r="G175" s="652"/>
      <c r="H175" s="858">
        <f>0.416666666666667*(H47-H22)+0.583333333333333*(I47-I22)+rugzak!G43</f>
        <v>148791.54833333334</v>
      </c>
      <c r="I175" s="858">
        <f>0.416666666666667*I47+0.583333333333333*J47</f>
        <v>141373.32583333334</v>
      </c>
      <c r="J175" s="858">
        <f>0.416666666666667*J47+0.583333333333333*K47</f>
        <v>138734.53</v>
      </c>
      <c r="K175" s="858">
        <f>0.416666666666667*K47+0.583333333333333*L47</f>
        <v>138734.53</v>
      </c>
      <c r="L175" s="858">
        <f>(L47-L22)</f>
        <v>138734.53</v>
      </c>
      <c r="M175" s="369"/>
    </row>
    <row r="176" spans="2:14" ht="12.75" customHeight="1" x14ac:dyDescent="0.2">
      <c r="D176" s="357" t="s">
        <v>605</v>
      </c>
      <c r="E176" s="652"/>
      <c r="F176" s="242"/>
      <c r="G176" s="652"/>
      <c r="H176" s="858">
        <f>5/12*H59+7/12*I59</f>
        <v>0</v>
      </c>
      <c r="I176" s="858">
        <f>5/12*I59+7/12*J59</f>
        <v>0</v>
      </c>
      <c r="J176" s="858">
        <f>5/12*J59+7/12*K59</f>
        <v>0</v>
      </c>
      <c r="K176" s="858">
        <f>5/12*K59+7/12*L59</f>
        <v>0</v>
      </c>
      <c r="L176" s="858">
        <f>L59</f>
        <v>0</v>
      </c>
      <c r="M176" s="369"/>
    </row>
    <row r="177" spans="2:13" ht="12.75" hidden="1" customHeight="1" x14ac:dyDescent="0.2">
      <c r="D177" s="357" t="s">
        <v>611</v>
      </c>
      <c r="E177" s="652"/>
      <c r="F177" s="242"/>
      <c r="G177" s="652"/>
      <c r="H177" s="858"/>
      <c r="I177" s="858"/>
      <c r="J177" s="858"/>
      <c r="K177" s="858"/>
      <c r="L177" s="243"/>
    </row>
    <row r="178" spans="2:13" ht="12.75" customHeight="1" x14ac:dyDescent="0.2">
      <c r="D178" s="357" t="s">
        <v>612</v>
      </c>
      <c r="E178" s="652"/>
      <c r="F178" s="242"/>
      <c r="G178" s="652"/>
      <c r="H178" s="858">
        <f>0.416666666666667*H65+0.583333333333333*I65</f>
        <v>0</v>
      </c>
      <c r="I178" s="858">
        <f>0.416666666666667*I65+0.583333333333333*J65</f>
        <v>0</v>
      </c>
      <c r="J178" s="858">
        <f>0.416666666666667*J65+0.583333333333333*K65</f>
        <v>0</v>
      </c>
      <c r="K178" s="858">
        <f>0.416666666666667*K65+0.583333333333333*L65</f>
        <v>0</v>
      </c>
      <c r="L178" s="858">
        <f>L65</f>
        <v>0</v>
      </c>
      <c r="M178" s="369"/>
    </row>
    <row r="179" spans="2:13" ht="12.75" customHeight="1" x14ac:dyDescent="0.2">
      <c r="D179" s="357" t="s">
        <v>389</v>
      </c>
      <c r="E179" s="652"/>
      <c r="F179" s="242"/>
      <c r="G179" s="652"/>
      <c r="H179" s="858">
        <f>0.416666666666667*(H74-H65)+0.583333333333333*(I74-I65)</f>
        <v>0</v>
      </c>
      <c r="I179" s="858">
        <f>0.416666666666667*(I74-I65)+0.583333333333333*(J74-J65)</f>
        <v>0</v>
      </c>
      <c r="J179" s="858">
        <f>0.416666666666667*(J74-J65)+0.583333333333333*(K74-K65)</f>
        <v>0</v>
      </c>
      <c r="K179" s="858">
        <f>0.416666666666667*(K74-K65)+0.583333333333333*(L74-L65)</f>
        <v>0</v>
      </c>
      <c r="L179" s="858">
        <f>(L74-L65)</f>
        <v>0</v>
      </c>
      <c r="M179" s="369"/>
    </row>
    <row r="180" spans="2:13" ht="12.75" customHeight="1" x14ac:dyDescent="0.2">
      <c r="D180" s="859" t="s">
        <v>434</v>
      </c>
      <c r="E180" s="652"/>
      <c r="F180" s="242"/>
      <c r="G180" s="652"/>
      <c r="H180" s="860">
        <f>SUM(H175:H179)</f>
        <v>148791.54833333334</v>
      </c>
      <c r="I180" s="860">
        <f>SUM(I175:I179)</f>
        <v>141373.32583333334</v>
      </c>
      <c r="J180" s="860">
        <f>SUM(J175:J179)</f>
        <v>138734.53</v>
      </c>
      <c r="K180" s="860">
        <f>SUM(K175:K179)</f>
        <v>138734.53</v>
      </c>
      <c r="L180" s="860">
        <f>SUM(L175:L179)</f>
        <v>138734.53</v>
      </c>
      <c r="M180" s="573"/>
    </row>
    <row r="181" spans="2:13" ht="12.75" customHeight="1" x14ac:dyDescent="0.2">
      <c r="D181" s="861"/>
      <c r="E181" s="652"/>
      <c r="F181" s="242"/>
      <c r="G181" s="652"/>
      <c r="H181" s="858"/>
      <c r="I181" s="858"/>
      <c r="J181" s="858"/>
      <c r="K181" s="858"/>
      <c r="L181" s="243"/>
    </row>
    <row r="182" spans="2:13" ht="12.75" customHeight="1" x14ac:dyDescent="0.2">
      <c r="B182" s="566"/>
      <c r="C182" s="566"/>
      <c r="D182" s="242" t="s">
        <v>157</v>
      </c>
      <c r="E182" s="652"/>
      <c r="F182" s="242"/>
      <c r="G182" s="652"/>
      <c r="H182" s="858"/>
      <c r="I182" s="858"/>
      <c r="J182" s="858"/>
      <c r="K182" s="858"/>
      <c r="L182" s="243"/>
    </row>
    <row r="183" spans="2:13" ht="12.75" customHeight="1" x14ac:dyDescent="0.2">
      <c r="D183" s="243" t="s">
        <v>391</v>
      </c>
      <c r="E183" s="652"/>
      <c r="F183" s="242"/>
      <c r="G183" s="652"/>
      <c r="H183" s="858">
        <f>0.416666666666667*H96+0.583333333333333*I96</f>
        <v>10000</v>
      </c>
      <c r="I183" s="858">
        <f>0.416666666666667*I96+0.583333333333333*J96</f>
        <v>10000</v>
      </c>
      <c r="J183" s="858">
        <f>0.416666666666667*J96+0.583333333333333*K96</f>
        <v>10000</v>
      </c>
      <c r="K183" s="858">
        <f>0.416666666666667*K96+0.583333333333333*L96</f>
        <v>10000</v>
      </c>
      <c r="L183" s="858">
        <f>L96</f>
        <v>10000</v>
      </c>
      <c r="M183" s="369"/>
    </row>
    <row r="184" spans="2:13" ht="12.75" customHeight="1" x14ac:dyDescent="0.2">
      <c r="D184" s="243" t="s">
        <v>392</v>
      </c>
      <c r="E184" s="652"/>
      <c r="F184" s="242"/>
      <c r="G184" s="652"/>
      <c r="H184" s="858">
        <f>0.416666666666667*H113+0.583333333333333*I113</f>
        <v>0</v>
      </c>
      <c r="I184" s="858">
        <f>0.416666666666667*I113+0.583333333333333*J113</f>
        <v>0</v>
      </c>
      <c r="J184" s="858">
        <f>0.416666666666667*J113+0.583333333333333*K113</f>
        <v>0</v>
      </c>
      <c r="K184" s="858">
        <f>0.416666666666667*K113+0.583333333333333*L113</f>
        <v>0</v>
      </c>
      <c r="L184" s="858">
        <f>L113</f>
        <v>0</v>
      </c>
      <c r="M184" s="369"/>
    </row>
    <row r="185" spans="2:13" ht="12.75" customHeight="1" x14ac:dyDescent="0.2">
      <c r="D185" s="243" t="s">
        <v>608</v>
      </c>
      <c r="E185" s="652"/>
      <c r="F185" s="242"/>
      <c r="G185" s="652"/>
      <c r="H185" s="858">
        <f>0.416666666666667*H155+0.583333333333333*I155</f>
        <v>0</v>
      </c>
      <c r="I185" s="858">
        <f>0.416666666666667*I155+0.583333333333333*J155</f>
        <v>0</v>
      </c>
      <c r="J185" s="858">
        <f>0.416666666666667*J155+0.583333333333333*K155</f>
        <v>0</v>
      </c>
      <c r="K185" s="858">
        <f>0.416666666666667*K155+0.583333333333333*L155</f>
        <v>0</v>
      </c>
      <c r="L185" s="858">
        <f>L155</f>
        <v>0</v>
      </c>
      <c r="M185" s="369"/>
    </row>
    <row r="186" spans="2:13" ht="12.75" customHeight="1" x14ac:dyDescent="0.2">
      <c r="D186" s="859" t="s">
        <v>434</v>
      </c>
      <c r="E186" s="652"/>
      <c r="F186" s="242"/>
      <c r="G186" s="652"/>
      <c r="H186" s="860">
        <f>SUM(H183:H185)</f>
        <v>10000</v>
      </c>
      <c r="I186" s="860">
        <f>SUM(I183:I185)</f>
        <v>10000</v>
      </c>
      <c r="J186" s="860">
        <f>SUM(J183:J185)</f>
        <v>10000</v>
      </c>
      <c r="K186" s="860">
        <f>SUM(K183:K185)</f>
        <v>10000</v>
      </c>
      <c r="L186" s="860">
        <f>SUM(L183:L185)</f>
        <v>10000</v>
      </c>
      <c r="M186" s="573"/>
    </row>
    <row r="187" spans="2:13" ht="12.75" customHeight="1" x14ac:dyDescent="0.2">
      <c r="D187" s="861"/>
      <c r="E187" s="652"/>
      <c r="F187" s="242"/>
      <c r="G187" s="652"/>
      <c r="H187" s="858"/>
      <c r="I187" s="858"/>
      <c r="J187" s="858"/>
      <c r="K187" s="858"/>
      <c r="L187" s="243"/>
    </row>
    <row r="188" spans="2:13" ht="12.75" customHeight="1" x14ac:dyDescent="0.2">
      <c r="B188" s="213"/>
      <c r="C188" s="213"/>
      <c r="D188" s="859" t="s">
        <v>609</v>
      </c>
      <c r="E188" s="652"/>
      <c r="F188" s="242"/>
      <c r="G188" s="652"/>
      <c r="H188" s="860">
        <f>+H180-H186</f>
        <v>138791.54833333334</v>
      </c>
      <c r="I188" s="860">
        <f>+I180-I186</f>
        <v>131373.32583333334</v>
      </c>
      <c r="J188" s="860">
        <f>+J180-J186</f>
        <v>128734.53</v>
      </c>
      <c r="K188" s="860">
        <f>+K180-K186</f>
        <v>128734.53</v>
      </c>
      <c r="L188" s="860">
        <f>+L180-L186</f>
        <v>128734.53</v>
      </c>
      <c r="M188" s="573"/>
    </row>
    <row r="189" spans="2:13" ht="12.75" customHeight="1" x14ac:dyDescent="0.2">
      <c r="D189" s="862"/>
      <c r="E189" s="652"/>
      <c r="F189" s="242"/>
      <c r="G189" s="652"/>
      <c r="H189" s="858"/>
      <c r="I189" s="858"/>
      <c r="J189" s="858"/>
      <c r="K189" s="858"/>
      <c r="L189" s="243"/>
    </row>
    <row r="190" spans="2:13" ht="12.75" customHeight="1" x14ac:dyDescent="0.2">
      <c r="D190" s="862"/>
      <c r="E190" s="243"/>
      <c r="F190" s="244"/>
      <c r="G190" s="243"/>
      <c r="H190" s="858"/>
      <c r="I190" s="858"/>
      <c r="J190" s="858"/>
      <c r="K190" s="858"/>
      <c r="L190" s="243"/>
    </row>
    <row r="191" spans="2:13" ht="12.75" customHeight="1" x14ac:dyDescent="0.2">
      <c r="D191" s="242" t="s">
        <v>614</v>
      </c>
      <c r="E191" s="652"/>
      <c r="F191" s="242"/>
      <c r="G191" s="652"/>
      <c r="H191" s="858"/>
      <c r="I191" s="858"/>
      <c r="J191" s="858"/>
      <c r="K191" s="858"/>
      <c r="L191" s="243"/>
    </row>
    <row r="192" spans="2:13" ht="12.75" customHeight="1" x14ac:dyDescent="0.2">
      <c r="D192" s="243" t="s">
        <v>616</v>
      </c>
      <c r="E192" s="652"/>
      <c r="F192" s="242"/>
      <c r="G192" s="652"/>
      <c r="H192" s="860">
        <f>0.416666666666667*(H44-H31)+0.583333333333333*(I44-I31)+H31</f>
        <v>40458</v>
      </c>
      <c r="I192" s="860">
        <f>0.416666666666667*I44+0.583333333333333*J44</f>
        <v>0</v>
      </c>
      <c r="J192" s="860">
        <f>0.416666666666667*J44+0.583333333333333*K44</f>
        <v>0</v>
      </c>
      <c r="K192" s="860">
        <f>0.416666666666667*K44+0.583333333333333*L44</f>
        <v>0</v>
      </c>
      <c r="L192" s="860">
        <f>L44</f>
        <v>0</v>
      </c>
      <c r="M192" s="573"/>
    </row>
    <row r="193" spans="4:7" ht="12.75" customHeight="1" x14ac:dyDescent="0.2">
      <c r="E193" s="863"/>
      <c r="F193" s="213"/>
      <c r="G193" s="863"/>
    </row>
    <row r="194" spans="4:7" ht="12.75" customHeight="1" x14ac:dyDescent="0.2">
      <c r="D194" s="864"/>
    </row>
    <row r="195" spans="4:7" ht="12.75" customHeight="1" x14ac:dyDescent="0.2">
      <c r="D195" s="864"/>
    </row>
    <row r="196" spans="4:7" ht="12.75" customHeight="1" x14ac:dyDescent="0.2">
      <c r="D196" s="864"/>
    </row>
    <row r="197" spans="4:7" ht="12.75" customHeight="1" x14ac:dyDescent="0.2"/>
    <row r="198" spans="4:7" ht="12.75" customHeight="1" x14ac:dyDescent="0.2"/>
    <row r="199" spans="4:7" ht="12.75" customHeight="1" x14ac:dyDescent="0.2"/>
    <row r="200" spans="4:7" ht="12.75" customHeight="1" x14ac:dyDescent="0.2"/>
    <row r="201" spans="4:7" ht="12.75" customHeight="1" x14ac:dyDescent="0.2"/>
    <row r="202" spans="4:7" ht="12.75" customHeight="1" x14ac:dyDescent="0.2"/>
    <row r="203" spans="4:7" ht="12.75" customHeight="1" x14ac:dyDescent="0.2"/>
    <row r="204" spans="4:7" ht="12.75" customHeight="1" x14ac:dyDescent="0.2"/>
    <row r="205" spans="4:7" ht="12.75" customHeight="1" x14ac:dyDescent="0.2"/>
    <row r="206" spans="4:7" ht="12.75" customHeight="1" x14ac:dyDescent="0.2"/>
    <row r="207" spans="4:7" ht="12.75" customHeight="1" x14ac:dyDescent="0.2"/>
    <row r="208" spans="4:7" ht="12.75" customHeight="1" x14ac:dyDescent="0.2"/>
    <row r="209" spans="4:14" ht="12.75" customHeight="1" x14ac:dyDescent="0.2"/>
    <row r="210" spans="4:14" ht="12.75" customHeight="1" x14ac:dyDescent="0.2"/>
    <row r="211" spans="4:14" ht="12.75" customHeight="1" x14ac:dyDescent="0.2"/>
    <row r="212" spans="4:14" ht="12.75" customHeight="1" x14ac:dyDescent="0.2"/>
    <row r="213" spans="4:14" ht="12.75" customHeight="1" x14ac:dyDescent="0.2"/>
    <row r="214" spans="4:14" ht="12.75" customHeight="1" x14ac:dyDescent="0.2"/>
    <row r="215" spans="4:14" ht="12.75" customHeight="1" x14ac:dyDescent="0.2">
      <c r="D215" s="543"/>
      <c r="E215" s="543"/>
      <c r="F215" s="865"/>
      <c r="G215" s="543"/>
      <c r="H215" s="866"/>
      <c r="I215" s="866"/>
      <c r="J215" s="866"/>
      <c r="K215" s="866"/>
      <c r="L215" s="543"/>
      <c r="M215" s="543"/>
      <c r="N215" s="543"/>
    </row>
    <row r="216" spans="4:14" ht="12.75" customHeight="1" x14ac:dyDescent="0.2"/>
    <row r="217" spans="4:14" ht="12.75" customHeight="1" x14ac:dyDescent="0.2"/>
    <row r="218" spans="4:14" ht="12.75" customHeight="1" x14ac:dyDescent="0.2"/>
    <row r="219" spans="4:14" ht="12.75" customHeight="1" x14ac:dyDescent="0.2"/>
    <row r="220" spans="4:14" ht="12.75" customHeight="1" x14ac:dyDescent="0.2"/>
    <row r="221" spans="4:14" ht="12.75" customHeight="1" x14ac:dyDescent="0.2"/>
    <row r="222" spans="4:14" ht="12.75" customHeight="1" x14ac:dyDescent="0.2"/>
    <row r="223" spans="4:14" ht="12.75" customHeight="1" x14ac:dyDescent="0.2"/>
    <row r="224" spans="4:1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row r="1110" ht="12.75" customHeight="1" x14ac:dyDescent="0.2"/>
    <row r="1111" ht="12.75" customHeight="1" x14ac:dyDescent="0.2"/>
    <row r="1112" ht="12.75" customHeight="1" x14ac:dyDescent="0.2"/>
    <row r="1113" ht="12.75" customHeight="1" x14ac:dyDescent="0.2"/>
    <row r="1114" ht="12.75" customHeight="1" x14ac:dyDescent="0.2"/>
    <row r="1115" ht="12.75" customHeight="1" x14ac:dyDescent="0.2"/>
    <row r="1116" ht="12.75" customHeight="1" x14ac:dyDescent="0.2"/>
    <row r="1117" ht="12.75" customHeight="1" x14ac:dyDescent="0.2"/>
    <row r="1118" ht="12.75" customHeight="1" x14ac:dyDescent="0.2"/>
    <row r="1119" ht="12.75" customHeight="1" x14ac:dyDescent="0.2"/>
    <row r="1120" ht="12.75" customHeight="1" x14ac:dyDescent="0.2"/>
    <row r="1121" ht="12.75" customHeight="1" x14ac:dyDescent="0.2"/>
    <row r="1122" ht="12.75" customHeight="1" x14ac:dyDescent="0.2"/>
    <row r="1123" ht="12.75" customHeight="1" x14ac:dyDescent="0.2"/>
    <row r="1124" ht="12.75" customHeight="1" x14ac:dyDescent="0.2"/>
    <row r="1125" ht="12.75" customHeight="1" x14ac:dyDescent="0.2"/>
    <row r="1126" ht="12.75" customHeight="1" x14ac:dyDescent="0.2"/>
    <row r="1127" ht="12.75" customHeight="1" x14ac:dyDescent="0.2"/>
    <row r="1128" ht="12.75" customHeight="1" x14ac:dyDescent="0.2"/>
    <row r="1129" ht="12.75" customHeight="1" x14ac:dyDescent="0.2"/>
    <row r="1130" ht="12.75" customHeight="1" x14ac:dyDescent="0.2"/>
    <row r="1131" ht="12.75" customHeight="1" x14ac:dyDescent="0.2"/>
    <row r="1132" ht="12.75" customHeight="1" x14ac:dyDescent="0.2"/>
    <row r="1133" ht="12.75" customHeight="1" x14ac:dyDescent="0.2"/>
    <row r="1134" ht="12.75" customHeight="1" x14ac:dyDescent="0.2"/>
    <row r="1135" ht="12.75" customHeight="1" x14ac:dyDescent="0.2"/>
    <row r="1136" ht="12.75" customHeight="1" x14ac:dyDescent="0.2"/>
    <row r="1137" ht="12.75" customHeight="1" x14ac:dyDescent="0.2"/>
    <row r="1138" ht="12.75" customHeight="1" x14ac:dyDescent="0.2"/>
    <row r="1139" ht="12.75" customHeight="1" x14ac:dyDescent="0.2"/>
    <row r="1140" ht="12.75" customHeight="1" x14ac:dyDescent="0.2"/>
    <row r="1141" ht="12.75" customHeight="1" x14ac:dyDescent="0.2"/>
    <row r="1142" ht="12.75" customHeight="1" x14ac:dyDescent="0.2"/>
    <row r="1143" ht="12.75" customHeight="1" x14ac:dyDescent="0.2"/>
    <row r="1144" ht="12.75" customHeight="1" x14ac:dyDescent="0.2"/>
    <row r="1145" ht="12.75" customHeight="1" x14ac:dyDescent="0.2"/>
    <row r="1146" ht="12.75" customHeight="1" x14ac:dyDescent="0.2"/>
    <row r="1147" ht="12.75" customHeight="1" x14ac:dyDescent="0.2"/>
    <row r="1148" ht="12.75" customHeight="1" x14ac:dyDescent="0.2"/>
    <row r="1149" ht="12.75" customHeight="1" x14ac:dyDescent="0.2"/>
    <row r="1150" ht="12.75" customHeight="1" x14ac:dyDescent="0.2"/>
    <row r="1151" ht="12.75" customHeight="1" x14ac:dyDescent="0.2"/>
    <row r="1152" ht="12.75" customHeight="1" x14ac:dyDescent="0.2"/>
    <row r="1153" ht="12.75" customHeight="1" x14ac:dyDescent="0.2"/>
    <row r="1154" ht="12.75" customHeight="1" x14ac:dyDescent="0.2"/>
    <row r="1155" ht="12.75" customHeight="1" x14ac:dyDescent="0.2"/>
    <row r="1156" ht="12.75" customHeight="1" x14ac:dyDescent="0.2"/>
    <row r="1157" ht="12.75" customHeight="1" x14ac:dyDescent="0.2"/>
    <row r="1158" ht="12.75" customHeight="1" x14ac:dyDescent="0.2"/>
    <row r="1159" ht="12.75" customHeight="1" x14ac:dyDescent="0.2"/>
    <row r="1160" ht="12.75" customHeight="1" x14ac:dyDescent="0.2"/>
    <row r="1161" ht="12.75" customHeight="1" x14ac:dyDescent="0.2"/>
    <row r="1162" ht="12.75" customHeight="1" x14ac:dyDescent="0.2"/>
    <row r="1163" ht="12.75" customHeight="1" x14ac:dyDescent="0.2"/>
    <row r="1164" ht="12.75" customHeight="1" x14ac:dyDescent="0.2"/>
    <row r="1165" ht="12.75" customHeight="1" x14ac:dyDescent="0.2"/>
    <row r="1166" ht="12.75" customHeight="1" x14ac:dyDescent="0.2"/>
    <row r="1167" ht="12.75" customHeight="1" x14ac:dyDescent="0.2"/>
    <row r="1168" ht="12.75" customHeight="1" x14ac:dyDescent="0.2"/>
    <row r="1169" ht="12.75" customHeight="1" x14ac:dyDescent="0.2"/>
    <row r="1170" ht="12.75" customHeight="1" x14ac:dyDescent="0.2"/>
    <row r="1171" ht="12.75" customHeight="1" x14ac:dyDescent="0.2"/>
    <row r="1172" ht="12.75" customHeight="1" x14ac:dyDescent="0.2"/>
    <row r="1173" ht="12.75" customHeight="1" x14ac:dyDescent="0.2"/>
    <row r="1174" ht="12.75" customHeight="1" x14ac:dyDescent="0.2"/>
    <row r="1175" ht="12.75" customHeight="1" x14ac:dyDescent="0.2"/>
    <row r="1176" ht="12.75" customHeight="1" x14ac:dyDescent="0.2"/>
    <row r="1177" ht="12.75" customHeight="1" x14ac:dyDescent="0.2"/>
    <row r="1178" ht="12.75" customHeight="1" x14ac:dyDescent="0.2"/>
    <row r="1179" ht="12.75" customHeight="1" x14ac:dyDescent="0.2"/>
    <row r="1180" ht="12.75" customHeight="1" x14ac:dyDescent="0.2"/>
    <row r="1181" ht="12.75" customHeight="1" x14ac:dyDescent="0.2"/>
    <row r="1182" ht="12.75" customHeight="1" x14ac:dyDescent="0.2"/>
    <row r="1183" ht="12.75" customHeight="1" x14ac:dyDescent="0.2"/>
    <row r="1184" ht="12.75" customHeight="1" x14ac:dyDescent="0.2"/>
    <row r="1185" ht="12.75" customHeight="1" x14ac:dyDescent="0.2"/>
    <row r="1186" ht="12.75" customHeight="1" x14ac:dyDescent="0.2"/>
    <row r="1187" ht="12.75" customHeight="1" x14ac:dyDescent="0.2"/>
    <row r="1188" ht="12.75" customHeight="1" x14ac:dyDescent="0.2"/>
    <row r="1189" ht="12.75" customHeight="1" x14ac:dyDescent="0.2"/>
    <row r="1190" ht="12.75" customHeight="1" x14ac:dyDescent="0.2"/>
    <row r="1191" ht="12.75" customHeight="1" x14ac:dyDescent="0.2"/>
    <row r="1192" ht="12.75" customHeight="1" x14ac:dyDescent="0.2"/>
    <row r="1193" ht="12.75" customHeight="1" x14ac:dyDescent="0.2"/>
    <row r="1194" ht="12.75" customHeight="1" x14ac:dyDescent="0.2"/>
    <row r="1195" ht="12.75" customHeight="1" x14ac:dyDescent="0.2"/>
    <row r="1196" ht="12.75" customHeight="1" x14ac:dyDescent="0.2"/>
    <row r="1197" ht="12.75" customHeight="1" x14ac:dyDescent="0.2"/>
    <row r="1198" ht="12.75" customHeight="1" x14ac:dyDescent="0.2"/>
    <row r="1199" ht="12.75" customHeight="1" x14ac:dyDescent="0.2"/>
    <row r="1200" ht="12.75" customHeight="1" x14ac:dyDescent="0.2"/>
    <row r="1201" ht="12.75" customHeight="1" x14ac:dyDescent="0.2"/>
    <row r="1202" ht="12.75" customHeight="1" x14ac:dyDescent="0.2"/>
    <row r="1203" ht="12.75" customHeight="1" x14ac:dyDescent="0.2"/>
    <row r="1204" ht="12.75" customHeight="1" x14ac:dyDescent="0.2"/>
    <row r="1205" ht="12.75" customHeight="1" x14ac:dyDescent="0.2"/>
    <row r="1206" ht="12.75" customHeight="1" x14ac:dyDescent="0.2"/>
    <row r="1207" ht="12.75" customHeight="1" x14ac:dyDescent="0.2"/>
    <row r="1208" ht="12.75" customHeight="1" x14ac:dyDescent="0.2"/>
    <row r="1209" ht="12.75" customHeight="1" x14ac:dyDescent="0.2"/>
    <row r="1210" ht="12.75" customHeight="1" x14ac:dyDescent="0.2"/>
    <row r="1211" ht="12.75" customHeight="1" x14ac:dyDescent="0.2"/>
    <row r="1212" ht="12.75" customHeight="1" x14ac:dyDescent="0.2"/>
    <row r="1213" ht="12.75" customHeight="1" x14ac:dyDescent="0.2"/>
    <row r="1214" ht="12.75" customHeight="1" x14ac:dyDescent="0.2"/>
    <row r="1215" ht="12.75" customHeight="1" x14ac:dyDescent="0.2"/>
    <row r="1216" ht="12.75" customHeight="1" x14ac:dyDescent="0.2"/>
    <row r="1217" ht="12.75" customHeight="1" x14ac:dyDescent="0.2"/>
    <row r="1218" ht="12.75" customHeight="1" x14ac:dyDescent="0.2"/>
    <row r="1219" ht="12.75" customHeight="1" x14ac:dyDescent="0.2"/>
    <row r="1220" ht="12.75" customHeight="1" x14ac:dyDescent="0.2"/>
    <row r="1221" ht="12.75" customHeight="1" x14ac:dyDescent="0.2"/>
    <row r="1222" ht="12.75" customHeight="1" x14ac:dyDescent="0.2"/>
    <row r="1223" ht="12.75" customHeight="1" x14ac:dyDescent="0.2"/>
    <row r="1224" ht="12.75" customHeight="1" x14ac:dyDescent="0.2"/>
    <row r="1225" ht="12.75" customHeight="1" x14ac:dyDescent="0.2"/>
    <row r="1226" ht="12.75" customHeight="1" x14ac:dyDescent="0.2"/>
    <row r="1227" ht="12.75" customHeight="1" x14ac:dyDescent="0.2"/>
    <row r="1228" ht="12.75" customHeight="1" x14ac:dyDescent="0.2"/>
    <row r="1229" ht="12.75" customHeight="1" x14ac:dyDescent="0.2"/>
    <row r="1230" ht="12.75" customHeight="1" x14ac:dyDescent="0.2"/>
    <row r="1231" ht="12.75" customHeight="1" x14ac:dyDescent="0.2"/>
    <row r="1232" ht="12.75" customHeight="1" x14ac:dyDescent="0.2"/>
    <row r="1233" ht="12.75" customHeight="1" x14ac:dyDescent="0.2"/>
    <row r="1234" ht="12.75" customHeight="1" x14ac:dyDescent="0.2"/>
    <row r="1235" ht="12.75" customHeight="1" x14ac:dyDescent="0.2"/>
    <row r="1236" ht="12.75" customHeight="1" x14ac:dyDescent="0.2"/>
    <row r="1237" ht="12.75" customHeight="1" x14ac:dyDescent="0.2"/>
    <row r="1238" ht="12.75" customHeight="1" x14ac:dyDescent="0.2"/>
    <row r="1239" ht="12.75" customHeight="1" x14ac:dyDescent="0.2"/>
    <row r="1240" ht="12.75" customHeight="1" x14ac:dyDescent="0.2"/>
    <row r="1241" ht="12.75" customHeight="1" x14ac:dyDescent="0.2"/>
    <row r="1242" ht="12.75" customHeight="1" x14ac:dyDescent="0.2"/>
    <row r="1243" ht="12.75" customHeight="1" x14ac:dyDescent="0.2"/>
    <row r="1244" ht="12.75" customHeight="1" x14ac:dyDescent="0.2"/>
    <row r="1245" ht="12.75" customHeight="1" x14ac:dyDescent="0.2"/>
    <row r="1246" ht="12.75" customHeight="1" x14ac:dyDescent="0.2"/>
    <row r="1247" ht="12.75" customHeight="1" x14ac:dyDescent="0.2"/>
    <row r="1248" ht="12.75" customHeight="1" x14ac:dyDescent="0.2"/>
    <row r="1249" ht="12.75" customHeight="1" x14ac:dyDescent="0.2"/>
    <row r="1250" ht="12.75" customHeight="1" x14ac:dyDescent="0.2"/>
    <row r="1251" ht="12.75" customHeight="1" x14ac:dyDescent="0.2"/>
    <row r="1252" ht="12.75" customHeight="1" x14ac:dyDescent="0.2"/>
    <row r="1253" ht="12.75" customHeight="1" x14ac:dyDescent="0.2"/>
    <row r="1254" ht="12.75" customHeight="1" x14ac:dyDescent="0.2"/>
    <row r="1255" ht="12.75" customHeight="1" x14ac:dyDescent="0.2"/>
    <row r="1256" ht="12.75" customHeight="1" x14ac:dyDescent="0.2"/>
    <row r="1257" ht="12.75" customHeight="1" x14ac:dyDescent="0.2"/>
    <row r="1258" ht="12.75" customHeight="1" x14ac:dyDescent="0.2"/>
    <row r="1259" ht="12.75" customHeight="1" x14ac:dyDescent="0.2"/>
    <row r="1260" ht="12.75" customHeight="1" x14ac:dyDescent="0.2"/>
    <row r="1261" ht="12.75" customHeight="1" x14ac:dyDescent="0.2"/>
    <row r="1262" ht="12.75" customHeight="1" x14ac:dyDescent="0.2"/>
    <row r="1263" ht="12.75" customHeight="1" x14ac:dyDescent="0.2"/>
    <row r="1264" ht="12.75" customHeight="1" x14ac:dyDescent="0.2"/>
    <row r="1265" ht="12.75" customHeight="1" x14ac:dyDescent="0.2"/>
    <row r="1266" ht="12.75" customHeight="1" x14ac:dyDescent="0.2"/>
    <row r="1267" ht="12.75" customHeight="1" x14ac:dyDescent="0.2"/>
    <row r="1268" ht="12.75" customHeight="1" x14ac:dyDescent="0.2"/>
    <row r="1269" ht="12.75" customHeight="1" x14ac:dyDescent="0.2"/>
    <row r="1270" ht="12.75" customHeight="1" x14ac:dyDescent="0.2"/>
    <row r="1271" ht="12.75" customHeight="1" x14ac:dyDescent="0.2"/>
    <row r="1272" ht="12.75" customHeight="1" x14ac:dyDescent="0.2"/>
    <row r="1273" ht="12.75" customHeight="1" x14ac:dyDescent="0.2"/>
    <row r="1274" ht="12.75" customHeight="1" x14ac:dyDescent="0.2"/>
    <row r="1275" ht="12.75" customHeight="1" x14ac:dyDescent="0.2"/>
    <row r="1276" ht="12.75" customHeight="1" x14ac:dyDescent="0.2"/>
    <row r="1277" ht="12.75" customHeight="1" x14ac:dyDescent="0.2"/>
    <row r="1278" ht="12.75" customHeight="1" x14ac:dyDescent="0.2"/>
    <row r="1279" ht="12.75" customHeight="1" x14ac:dyDescent="0.2"/>
    <row r="1280" ht="12.75" customHeight="1" x14ac:dyDescent="0.2"/>
    <row r="1281" ht="12.75" customHeight="1" x14ac:dyDescent="0.2"/>
    <row r="1282" ht="12.75" customHeight="1" x14ac:dyDescent="0.2"/>
    <row r="1283" ht="12.75" customHeight="1" x14ac:dyDescent="0.2"/>
    <row r="1284" ht="12.75" customHeight="1" x14ac:dyDescent="0.2"/>
    <row r="1285" ht="12.75" customHeight="1" x14ac:dyDescent="0.2"/>
    <row r="1286" ht="12.75" customHeight="1" x14ac:dyDescent="0.2"/>
    <row r="1287" ht="12.75" customHeight="1" x14ac:dyDescent="0.2"/>
    <row r="1288" ht="12.75" customHeight="1" x14ac:dyDescent="0.2"/>
    <row r="1289" ht="12.75" customHeight="1" x14ac:dyDescent="0.2"/>
    <row r="1290" ht="12.75" customHeight="1" x14ac:dyDescent="0.2"/>
    <row r="1291" ht="12.75" customHeight="1" x14ac:dyDescent="0.2"/>
    <row r="1292" ht="12.75" customHeight="1" x14ac:dyDescent="0.2"/>
    <row r="1293" ht="12.75" customHeight="1" x14ac:dyDescent="0.2"/>
    <row r="1294" ht="12.75" customHeight="1" x14ac:dyDescent="0.2"/>
    <row r="1295" ht="12.75" customHeight="1" x14ac:dyDescent="0.2"/>
    <row r="1296" ht="12.75" customHeight="1" x14ac:dyDescent="0.2"/>
    <row r="1297" ht="12.75" customHeight="1" x14ac:dyDescent="0.2"/>
    <row r="1298" ht="12.75" customHeight="1" x14ac:dyDescent="0.2"/>
    <row r="1299" ht="12.75" customHeight="1" x14ac:dyDescent="0.2"/>
    <row r="1300" ht="12.75" customHeight="1" x14ac:dyDescent="0.2"/>
    <row r="1301" ht="12.75" customHeight="1" x14ac:dyDescent="0.2"/>
    <row r="1302" ht="12.75" customHeight="1" x14ac:dyDescent="0.2"/>
    <row r="1303" ht="12.75" customHeight="1" x14ac:dyDescent="0.2"/>
    <row r="1304" ht="12.75" customHeight="1" x14ac:dyDescent="0.2"/>
    <row r="1305" ht="12.75" customHeight="1" x14ac:dyDescent="0.2"/>
    <row r="1306" ht="12.75" customHeight="1" x14ac:dyDescent="0.2"/>
    <row r="1307" ht="12.75" customHeight="1" x14ac:dyDescent="0.2"/>
    <row r="1308" ht="12.75" customHeight="1" x14ac:dyDescent="0.2"/>
    <row r="1309" ht="12.75" customHeight="1" x14ac:dyDescent="0.2"/>
    <row r="1310" ht="12.75" customHeight="1" x14ac:dyDescent="0.2"/>
    <row r="1311" ht="12.75" customHeight="1" x14ac:dyDescent="0.2"/>
    <row r="1312" ht="12.75" customHeight="1" x14ac:dyDescent="0.2"/>
    <row r="1313" ht="12.75" customHeight="1" x14ac:dyDescent="0.2"/>
    <row r="1314" ht="12.75" customHeight="1" x14ac:dyDescent="0.2"/>
    <row r="1315" ht="12.75" customHeight="1" x14ac:dyDescent="0.2"/>
    <row r="1316" ht="12.75" customHeight="1" x14ac:dyDescent="0.2"/>
    <row r="1317" ht="12.75" customHeight="1" x14ac:dyDescent="0.2"/>
    <row r="1318" ht="12.75" customHeight="1" x14ac:dyDescent="0.2"/>
    <row r="1319" ht="12.75" customHeight="1" x14ac:dyDescent="0.2"/>
    <row r="1320" ht="12.75" customHeight="1" x14ac:dyDescent="0.2"/>
    <row r="1321" ht="12.75" customHeight="1" x14ac:dyDescent="0.2"/>
    <row r="1322" ht="12.75" customHeight="1" x14ac:dyDescent="0.2"/>
    <row r="1323" ht="12.75" customHeight="1" x14ac:dyDescent="0.2"/>
    <row r="1324" ht="12.75" customHeight="1" x14ac:dyDescent="0.2"/>
    <row r="1325" ht="12.75" customHeight="1" x14ac:dyDescent="0.2"/>
    <row r="1326" ht="12.75" customHeight="1" x14ac:dyDescent="0.2"/>
    <row r="1327" ht="12.75" customHeight="1" x14ac:dyDescent="0.2"/>
    <row r="1328" ht="12.75" customHeight="1" x14ac:dyDescent="0.2"/>
    <row r="1329" ht="12.75" customHeight="1" x14ac:dyDescent="0.2"/>
    <row r="1330" ht="12.75" customHeight="1" x14ac:dyDescent="0.2"/>
    <row r="1331" ht="12.75" customHeight="1" x14ac:dyDescent="0.2"/>
    <row r="1332" ht="12.75" customHeight="1" x14ac:dyDescent="0.2"/>
    <row r="1333" ht="12.75" customHeight="1" x14ac:dyDescent="0.2"/>
    <row r="1334" ht="12.75" customHeight="1" x14ac:dyDescent="0.2"/>
    <row r="1335" ht="12.75" customHeight="1" x14ac:dyDescent="0.2"/>
    <row r="1336" ht="12.75" customHeight="1" x14ac:dyDescent="0.2"/>
    <row r="1337" ht="12.75" customHeight="1" x14ac:dyDescent="0.2"/>
    <row r="1338" ht="12.75" customHeight="1" x14ac:dyDescent="0.2"/>
    <row r="1339" ht="12.75" customHeight="1" x14ac:dyDescent="0.2"/>
    <row r="1340" ht="12.75" customHeight="1" x14ac:dyDescent="0.2"/>
    <row r="1341" ht="12.75" customHeight="1" x14ac:dyDescent="0.2"/>
    <row r="1342" ht="12.75" customHeight="1" x14ac:dyDescent="0.2"/>
    <row r="1343" ht="12.75" customHeight="1" x14ac:dyDescent="0.2"/>
    <row r="1344" ht="12.75" customHeight="1" x14ac:dyDescent="0.2"/>
    <row r="1345" ht="12.75" customHeight="1" x14ac:dyDescent="0.2"/>
    <row r="1346" ht="12.75" customHeight="1" x14ac:dyDescent="0.2"/>
    <row r="1347" ht="12.75" customHeight="1" x14ac:dyDescent="0.2"/>
    <row r="1348" ht="12.75" customHeight="1" x14ac:dyDescent="0.2"/>
    <row r="1349" ht="12.75" customHeight="1" x14ac:dyDescent="0.2"/>
    <row r="1350" ht="12.75" customHeight="1" x14ac:dyDescent="0.2"/>
    <row r="1351" ht="12.75" customHeight="1" x14ac:dyDescent="0.2"/>
    <row r="1352" ht="12.75" customHeight="1" x14ac:dyDescent="0.2"/>
    <row r="1353" ht="12.75" customHeight="1" x14ac:dyDescent="0.2"/>
    <row r="1354" ht="12.75" customHeight="1" x14ac:dyDescent="0.2"/>
    <row r="1355" ht="12.75" customHeight="1" x14ac:dyDescent="0.2"/>
    <row r="1356" ht="12.75" customHeight="1" x14ac:dyDescent="0.2"/>
    <row r="1357" ht="12.75" customHeight="1" x14ac:dyDescent="0.2"/>
    <row r="1358" ht="12.75" customHeight="1" x14ac:dyDescent="0.2"/>
    <row r="1359" ht="12.75" customHeight="1" x14ac:dyDescent="0.2"/>
    <row r="1360" ht="12.75" customHeight="1" x14ac:dyDescent="0.2"/>
    <row r="1361" ht="12.75" customHeight="1" x14ac:dyDescent="0.2"/>
    <row r="1362" ht="12.75" customHeight="1" x14ac:dyDescent="0.2"/>
    <row r="1363" ht="12.75" customHeight="1" x14ac:dyDescent="0.2"/>
    <row r="1364" ht="12.75" customHeight="1" x14ac:dyDescent="0.2"/>
    <row r="1365" ht="12.75" customHeight="1" x14ac:dyDescent="0.2"/>
    <row r="1366" ht="12.75" customHeight="1" x14ac:dyDescent="0.2"/>
    <row r="1367" ht="12.75" customHeight="1" x14ac:dyDescent="0.2"/>
    <row r="1368" ht="12.75" customHeight="1" x14ac:dyDescent="0.2"/>
    <row r="1369" ht="12.75" customHeight="1" x14ac:dyDescent="0.2"/>
    <row r="1370" ht="12.75" customHeight="1" x14ac:dyDescent="0.2"/>
    <row r="1371" ht="12.75" customHeight="1" x14ac:dyDescent="0.2"/>
    <row r="1372" ht="12.75" customHeight="1" x14ac:dyDescent="0.2"/>
    <row r="1373" ht="12.75" customHeight="1" x14ac:dyDescent="0.2"/>
    <row r="1374" ht="12.75" customHeight="1" x14ac:dyDescent="0.2"/>
    <row r="1375" ht="12.75" customHeight="1" x14ac:dyDescent="0.2"/>
    <row r="1376" ht="12.75" customHeight="1" x14ac:dyDescent="0.2"/>
    <row r="1377" ht="12.75" customHeight="1" x14ac:dyDescent="0.2"/>
    <row r="1378" ht="12.75" customHeight="1" x14ac:dyDescent="0.2"/>
    <row r="1379" ht="12.75" customHeight="1" x14ac:dyDescent="0.2"/>
    <row r="1380" ht="12.75" customHeight="1" x14ac:dyDescent="0.2"/>
    <row r="1381" ht="12.75" customHeight="1" x14ac:dyDescent="0.2"/>
    <row r="1382" ht="12.75" customHeight="1" x14ac:dyDescent="0.2"/>
    <row r="1383" ht="12.75" customHeight="1" x14ac:dyDescent="0.2"/>
    <row r="1384" ht="12.75" customHeight="1" x14ac:dyDescent="0.2"/>
    <row r="1385" ht="12.75" customHeight="1" x14ac:dyDescent="0.2"/>
    <row r="1386" ht="12.75" customHeight="1" x14ac:dyDescent="0.2"/>
    <row r="1387" ht="12.75" customHeight="1" x14ac:dyDescent="0.2"/>
    <row r="1388" ht="12.75" customHeight="1" x14ac:dyDescent="0.2"/>
    <row r="1389" ht="12.75" customHeight="1" x14ac:dyDescent="0.2"/>
    <row r="1390" ht="12.75" customHeight="1" x14ac:dyDescent="0.2"/>
    <row r="1391" ht="12.75" customHeight="1" x14ac:dyDescent="0.2"/>
    <row r="1392" ht="12.75" customHeight="1" x14ac:dyDescent="0.2"/>
    <row r="1393" ht="12.75" customHeight="1" x14ac:dyDescent="0.2"/>
    <row r="1394" ht="12.75" customHeight="1" x14ac:dyDescent="0.2"/>
    <row r="1395" ht="12.75" customHeight="1" x14ac:dyDescent="0.2"/>
    <row r="1396" ht="12.75" customHeight="1" x14ac:dyDescent="0.2"/>
    <row r="1397" ht="12.75" customHeight="1" x14ac:dyDescent="0.2"/>
    <row r="1398" ht="12.75" customHeight="1" x14ac:dyDescent="0.2"/>
    <row r="1399" ht="12.75" customHeight="1" x14ac:dyDescent="0.2"/>
    <row r="1400" ht="12.75" customHeight="1" x14ac:dyDescent="0.2"/>
    <row r="1401" ht="12.75" customHeight="1" x14ac:dyDescent="0.2"/>
    <row r="1402" ht="12.75" customHeight="1" x14ac:dyDescent="0.2"/>
    <row r="1403" ht="12.75" customHeight="1" x14ac:dyDescent="0.2"/>
    <row r="1404" ht="12.75" customHeight="1" x14ac:dyDescent="0.2"/>
    <row r="1405" ht="12.75" customHeight="1" x14ac:dyDescent="0.2"/>
    <row r="1406" ht="12.75" customHeight="1" x14ac:dyDescent="0.2"/>
    <row r="1407" ht="12.75" customHeight="1" x14ac:dyDescent="0.2"/>
    <row r="1408" ht="12.75" customHeight="1" x14ac:dyDescent="0.2"/>
    <row r="1409" ht="12.75" customHeight="1" x14ac:dyDescent="0.2"/>
    <row r="1410" ht="12.75" customHeight="1" x14ac:dyDescent="0.2"/>
    <row r="1411" ht="12.75" customHeight="1" x14ac:dyDescent="0.2"/>
    <row r="1412" ht="12.75" customHeight="1" x14ac:dyDescent="0.2"/>
    <row r="1413" ht="12.75" customHeight="1" x14ac:dyDescent="0.2"/>
    <row r="1414" ht="12.75" customHeight="1" x14ac:dyDescent="0.2"/>
    <row r="1415" ht="12.75" customHeight="1" x14ac:dyDescent="0.2"/>
    <row r="1416" ht="12.75" customHeight="1" x14ac:dyDescent="0.2"/>
    <row r="1417" ht="12.75" customHeight="1" x14ac:dyDescent="0.2"/>
    <row r="1418" ht="12.75" customHeight="1" x14ac:dyDescent="0.2"/>
    <row r="1419" ht="12.75" customHeight="1" x14ac:dyDescent="0.2"/>
    <row r="1420" ht="12.75" customHeight="1" x14ac:dyDescent="0.2"/>
    <row r="1421" ht="12.75" customHeight="1" x14ac:dyDescent="0.2"/>
    <row r="1422" ht="12.75" customHeight="1" x14ac:dyDescent="0.2"/>
    <row r="1423" ht="12.75" customHeight="1" x14ac:dyDescent="0.2"/>
    <row r="1424" ht="12.75" customHeight="1" x14ac:dyDescent="0.2"/>
    <row r="1425" ht="12.75" customHeight="1" x14ac:dyDescent="0.2"/>
    <row r="1426" ht="12.75" customHeight="1" x14ac:dyDescent="0.2"/>
    <row r="1427" ht="12.75" customHeight="1" x14ac:dyDescent="0.2"/>
    <row r="1428" ht="12.75" customHeight="1" x14ac:dyDescent="0.2"/>
    <row r="1429" ht="12.75" customHeight="1" x14ac:dyDescent="0.2"/>
    <row r="1430" ht="12.75" customHeight="1" x14ac:dyDescent="0.2"/>
    <row r="1431" ht="12.75" customHeight="1" x14ac:dyDescent="0.2"/>
    <row r="1432" ht="12.75" customHeight="1" x14ac:dyDescent="0.2"/>
    <row r="1433" ht="12.75" customHeight="1" x14ac:dyDescent="0.2"/>
    <row r="1434" ht="12.75" customHeight="1" x14ac:dyDescent="0.2"/>
    <row r="1435" ht="12.75" customHeight="1" x14ac:dyDescent="0.2"/>
    <row r="1436" ht="12.75" customHeight="1" x14ac:dyDescent="0.2"/>
    <row r="1437" ht="12.75" customHeight="1" x14ac:dyDescent="0.2"/>
    <row r="1438" ht="12.75" customHeight="1" x14ac:dyDescent="0.2"/>
    <row r="1439" ht="12.75" customHeight="1" x14ac:dyDescent="0.2"/>
    <row r="1440" ht="12.75" customHeight="1" x14ac:dyDescent="0.2"/>
    <row r="1441" ht="12.75" customHeight="1" x14ac:dyDescent="0.2"/>
    <row r="1442" ht="12.75" customHeight="1" x14ac:dyDescent="0.2"/>
    <row r="1443" ht="12.75" customHeight="1" x14ac:dyDescent="0.2"/>
    <row r="1444" ht="12.75" customHeight="1" x14ac:dyDescent="0.2"/>
    <row r="1445" ht="12.75" customHeight="1" x14ac:dyDescent="0.2"/>
    <row r="1446" ht="12.75" customHeight="1" x14ac:dyDescent="0.2"/>
    <row r="1447" ht="12.75" customHeight="1" x14ac:dyDescent="0.2"/>
    <row r="1448" ht="12.75" customHeight="1" x14ac:dyDescent="0.2"/>
    <row r="1449" ht="12.75" customHeight="1" x14ac:dyDescent="0.2"/>
    <row r="1450" ht="12.75" customHeight="1" x14ac:dyDescent="0.2"/>
    <row r="1451" ht="12.75" customHeight="1" x14ac:dyDescent="0.2"/>
    <row r="1452" ht="12.75" customHeight="1" x14ac:dyDescent="0.2"/>
    <row r="1453" ht="12.75" customHeight="1" x14ac:dyDescent="0.2"/>
    <row r="1454" ht="12.75" customHeight="1" x14ac:dyDescent="0.2"/>
    <row r="1455" ht="12.75" customHeight="1" x14ac:dyDescent="0.2"/>
    <row r="1456" ht="12.75" customHeight="1" x14ac:dyDescent="0.2"/>
    <row r="1457" ht="12.75" customHeight="1" x14ac:dyDescent="0.2"/>
    <row r="1458" ht="12.75" customHeight="1" x14ac:dyDescent="0.2"/>
    <row r="1459" ht="12.75" customHeight="1" x14ac:dyDescent="0.2"/>
    <row r="1460" ht="12.75" customHeight="1" x14ac:dyDescent="0.2"/>
    <row r="1461" ht="12.75" customHeight="1" x14ac:dyDescent="0.2"/>
    <row r="1462" ht="12.75" customHeight="1" x14ac:dyDescent="0.2"/>
    <row r="1463" ht="12.75" customHeight="1" x14ac:dyDescent="0.2"/>
    <row r="1464" ht="12.75" customHeight="1" x14ac:dyDescent="0.2"/>
    <row r="1465" ht="12.75" customHeight="1" x14ac:dyDescent="0.2"/>
    <row r="1466" ht="12.75" customHeight="1" x14ac:dyDescent="0.2"/>
    <row r="1467" ht="12.75" customHeight="1" x14ac:dyDescent="0.2"/>
    <row r="1468" ht="12.75" customHeight="1" x14ac:dyDescent="0.2"/>
    <row r="1469" ht="12.75" customHeight="1" x14ac:dyDescent="0.2"/>
    <row r="1470" ht="12.75" customHeight="1" x14ac:dyDescent="0.2"/>
    <row r="1471" ht="12.75" customHeight="1" x14ac:dyDescent="0.2"/>
    <row r="1472" ht="12.75" customHeight="1" x14ac:dyDescent="0.2"/>
    <row r="1473" ht="12.75" customHeight="1" x14ac:dyDescent="0.2"/>
    <row r="1474" ht="12.75" customHeight="1" x14ac:dyDescent="0.2"/>
    <row r="1475" ht="12.75" customHeight="1" x14ac:dyDescent="0.2"/>
    <row r="1476" ht="12.75" customHeight="1" x14ac:dyDescent="0.2"/>
    <row r="1477" ht="12.75" customHeight="1" x14ac:dyDescent="0.2"/>
    <row r="1478" ht="12.75" customHeight="1" x14ac:dyDescent="0.2"/>
    <row r="1479" ht="12.75" customHeight="1" x14ac:dyDescent="0.2"/>
    <row r="1480" ht="12.75" customHeight="1" x14ac:dyDescent="0.2"/>
    <row r="1481" ht="12.75" customHeight="1" x14ac:dyDescent="0.2"/>
    <row r="1482" ht="12.75" customHeight="1" x14ac:dyDescent="0.2"/>
    <row r="1483" ht="12.75" customHeight="1" x14ac:dyDescent="0.2"/>
    <row r="1484" ht="12.75" customHeight="1" x14ac:dyDescent="0.2"/>
    <row r="1485" ht="12.75" customHeight="1" x14ac:dyDescent="0.2"/>
    <row r="1486" ht="12.75" customHeight="1" x14ac:dyDescent="0.2"/>
    <row r="1487" ht="12.75" customHeight="1" x14ac:dyDescent="0.2"/>
    <row r="1488" ht="12.75" customHeight="1" x14ac:dyDescent="0.2"/>
    <row r="1489" ht="12.75" customHeight="1" x14ac:dyDescent="0.2"/>
    <row r="1490" ht="12.75" customHeight="1" x14ac:dyDescent="0.2"/>
    <row r="1491" ht="12.75" customHeight="1" x14ac:dyDescent="0.2"/>
    <row r="1492" ht="12.75" customHeight="1" x14ac:dyDescent="0.2"/>
    <row r="1493" ht="12.75" customHeight="1" x14ac:dyDescent="0.2"/>
    <row r="1494" ht="12.75" customHeight="1" x14ac:dyDescent="0.2"/>
    <row r="1495" ht="12.75" customHeight="1" x14ac:dyDescent="0.2"/>
    <row r="1496" ht="12.75" customHeight="1" x14ac:dyDescent="0.2"/>
    <row r="1497" ht="12.75" customHeight="1" x14ac:dyDescent="0.2"/>
    <row r="1498" ht="12.75" customHeight="1" x14ac:dyDescent="0.2"/>
    <row r="1499" ht="12.75" customHeight="1" x14ac:dyDescent="0.2"/>
    <row r="1500" ht="12.75" customHeight="1" x14ac:dyDescent="0.2"/>
    <row r="1501" ht="12.75" customHeight="1" x14ac:dyDescent="0.2"/>
    <row r="1502" ht="12.75" customHeight="1" x14ac:dyDescent="0.2"/>
    <row r="1503" ht="12.75" customHeight="1" x14ac:dyDescent="0.2"/>
    <row r="1504" ht="12.75" customHeight="1" x14ac:dyDescent="0.2"/>
    <row r="1505" ht="12.75" customHeight="1" x14ac:dyDescent="0.2"/>
    <row r="1506" ht="12.75" customHeight="1" x14ac:dyDescent="0.2"/>
    <row r="1507" ht="12.75" customHeight="1" x14ac:dyDescent="0.2"/>
    <row r="1508" ht="12.75" customHeight="1" x14ac:dyDescent="0.2"/>
    <row r="1509" ht="12.75" customHeight="1" x14ac:dyDescent="0.2"/>
    <row r="1510" ht="12.75" customHeight="1" x14ac:dyDescent="0.2"/>
    <row r="1511" ht="12.75" customHeight="1" x14ac:dyDescent="0.2"/>
    <row r="1512" ht="12.75" customHeight="1" x14ac:dyDescent="0.2"/>
    <row r="1513" ht="12.75" customHeight="1" x14ac:dyDescent="0.2"/>
    <row r="1514" ht="12.75" customHeight="1" x14ac:dyDescent="0.2"/>
    <row r="1515" ht="12.75" customHeight="1" x14ac:dyDescent="0.2"/>
    <row r="1516" ht="12.75" customHeight="1" x14ac:dyDescent="0.2"/>
    <row r="1517" ht="12.75" customHeight="1" x14ac:dyDescent="0.2"/>
    <row r="1518" ht="12.75" customHeight="1" x14ac:dyDescent="0.2"/>
    <row r="1519" ht="12.75" customHeight="1" x14ac:dyDescent="0.2"/>
    <row r="1520" ht="12.75" customHeight="1" x14ac:dyDescent="0.2"/>
    <row r="1521" ht="12.75" customHeight="1" x14ac:dyDescent="0.2"/>
    <row r="1522" ht="12.75" customHeight="1" x14ac:dyDescent="0.2"/>
    <row r="1523" ht="12.75" customHeight="1" x14ac:dyDescent="0.2"/>
    <row r="1524" ht="12.75" customHeight="1" x14ac:dyDescent="0.2"/>
    <row r="1525" ht="12.75" customHeight="1" x14ac:dyDescent="0.2"/>
    <row r="1526" ht="12.75" customHeight="1" x14ac:dyDescent="0.2"/>
    <row r="1527" ht="12.75" customHeight="1" x14ac:dyDescent="0.2"/>
    <row r="1528" ht="12.75" customHeight="1" x14ac:dyDescent="0.2"/>
    <row r="1529" ht="12.75" customHeight="1" x14ac:dyDescent="0.2"/>
    <row r="1530" ht="12.75" customHeight="1" x14ac:dyDescent="0.2"/>
    <row r="1531" ht="12.75" customHeight="1" x14ac:dyDescent="0.2"/>
    <row r="1532" ht="12.75" customHeight="1" x14ac:dyDescent="0.2"/>
    <row r="1533" ht="12.75" customHeight="1" x14ac:dyDescent="0.2"/>
    <row r="1534" ht="12.75" customHeight="1" x14ac:dyDescent="0.2"/>
    <row r="1535" ht="12.75" customHeight="1" x14ac:dyDescent="0.2"/>
    <row r="1536" ht="12.75" customHeight="1" x14ac:dyDescent="0.2"/>
    <row r="1537" ht="12.75" customHeight="1" x14ac:dyDescent="0.2"/>
    <row r="1538" ht="12.75" customHeight="1" x14ac:dyDescent="0.2"/>
    <row r="1539" ht="12.75" customHeight="1" x14ac:dyDescent="0.2"/>
    <row r="1540" ht="12.75" customHeight="1" x14ac:dyDescent="0.2"/>
    <row r="1541" ht="12.75" customHeight="1" x14ac:dyDescent="0.2"/>
    <row r="1542" ht="12.75" customHeight="1" x14ac:dyDescent="0.2"/>
    <row r="1543" ht="12.75" customHeight="1" x14ac:dyDescent="0.2"/>
    <row r="1544" ht="12.75" customHeight="1" x14ac:dyDescent="0.2"/>
    <row r="1545" ht="12.75" customHeight="1" x14ac:dyDescent="0.2"/>
    <row r="1546" ht="12.75" customHeight="1" x14ac:dyDescent="0.2"/>
    <row r="1547" ht="12.75" customHeight="1" x14ac:dyDescent="0.2"/>
    <row r="1548" ht="12.75" customHeight="1" x14ac:dyDescent="0.2"/>
    <row r="1549" ht="12.75" customHeight="1" x14ac:dyDescent="0.2"/>
    <row r="1550" ht="12.75" customHeight="1" x14ac:dyDescent="0.2"/>
    <row r="1551" ht="12.75" customHeight="1" x14ac:dyDescent="0.2"/>
    <row r="1552" ht="12.75" customHeight="1" x14ac:dyDescent="0.2"/>
    <row r="1553" ht="12.75" customHeight="1" x14ac:dyDescent="0.2"/>
    <row r="1554" ht="12.75" customHeight="1" x14ac:dyDescent="0.2"/>
    <row r="1555" ht="12.75" customHeight="1" x14ac:dyDescent="0.2"/>
    <row r="1556" ht="12.75" customHeight="1" x14ac:dyDescent="0.2"/>
    <row r="1557" ht="12.75" customHeight="1" x14ac:dyDescent="0.2"/>
  </sheetData>
  <sheetProtection password="DFB1" sheet="1" objects="1" scenarios="1"/>
  <phoneticPr fontId="0" type="noConversion"/>
  <dataValidations count="1">
    <dataValidation type="list" allowBlank="1" showInputMessage="1" showErrorMessage="1" sqref="F31">
      <formula1>"ja,nee"</formula1>
    </dataValidation>
  </dataValidations>
  <pageMargins left="0.74803149606299213" right="0.74803149606299213"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rowBreaks count="2" manualBreakCount="2">
    <brk id="81" min="1" max="13" man="1"/>
    <brk id="168" min="1" max="12"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B1:Q32"/>
  <sheetViews>
    <sheetView zoomScale="85" zoomScaleNormal="85" workbookViewId="0">
      <selection activeCell="B2" sqref="B2"/>
    </sheetView>
  </sheetViews>
  <sheetFormatPr defaultColWidth="9.140625" defaultRowHeight="12.75" x14ac:dyDescent="0.2"/>
  <cols>
    <col min="1" max="1" width="3.7109375" style="86" customWidth="1"/>
    <col min="2" max="3" width="2.7109375" style="86" customWidth="1"/>
    <col min="4" max="4" width="45.7109375" style="86" customWidth="1"/>
    <col min="5" max="5" width="2.7109375" style="86" customWidth="1"/>
    <col min="6" max="8" width="14.85546875" style="86" customWidth="1"/>
    <col min="9" max="9" width="14.85546875" style="433" customWidth="1"/>
    <col min="10" max="15" width="14.85546875" style="86" customWidth="1"/>
    <col min="16" max="17" width="2.7109375" style="86" customWidth="1"/>
    <col min="18" max="16384" width="9.140625" style="86"/>
  </cols>
  <sheetData>
    <row r="1" spans="2:17" ht="12.75" customHeight="1" x14ac:dyDescent="0.2"/>
    <row r="2" spans="2:17" x14ac:dyDescent="0.2">
      <c r="B2" s="81"/>
      <c r="C2" s="82"/>
      <c r="D2" s="82"/>
      <c r="E2" s="82"/>
      <c r="F2" s="82"/>
      <c r="G2" s="82"/>
      <c r="H2" s="82"/>
      <c r="I2" s="867"/>
      <c r="J2" s="82"/>
      <c r="K2" s="82"/>
      <c r="L2" s="82"/>
      <c r="M2" s="82"/>
      <c r="N2" s="82"/>
      <c r="O2" s="82"/>
      <c r="P2" s="82"/>
      <c r="Q2" s="85"/>
    </row>
    <row r="3" spans="2:17" x14ac:dyDescent="0.2">
      <c r="B3" s="87"/>
      <c r="C3" s="88"/>
      <c r="D3" s="88"/>
      <c r="E3" s="88"/>
      <c r="F3" s="88"/>
      <c r="G3" s="88"/>
      <c r="H3" s="88"/>
      <c r="I3" s="540"/>
      <c r="J3" s="88"/>
      <c r="K3" s="88"/>
      <c r="L3" s="88"/>
      <c r="M3" s="88"/>
      <c r="N3" s="88"/>
      <c r="O3" s="88"/>
      <c r="P3" s="88"/>
      <c r="Q3" s="91"/>
    </row>
    <row r="4" spans="2:17" s="868" customFormat="1" ht="18.75" x14ac:dyDescent="0.3">
      <c r="B4" s="98"/>
      <c r="C4" s="94" t="s">
        <v>113</v>
      </c>
      <c r="D4" s="254"/>
      <c r="E4" s="869"/>
      <c r="F4" s="869"/>
      <c r="G4" s="869"/>
      <c r="H4" s="100"/>
      <c r="I4" s="100"/>
      <c r="J4" s="100"/>
      <c r="K4" s="869"/>
      <c r="L4" s="869"/>
      <c r="M4" s="869"/>
      <c r="N4" s="869"/>
      <c r="O4" s="869"/>
      <c r="P4" s="869"/>
      <c r="Q4" s="870"/>
    </row>
    <row r="5" spans="2:17" s="871" customFormat="1" ht="18" customHeight="1" x14ac:dyDescent="0.3">
      <c r="B5" s="872"/>
      <c r="C5" s="414" t="str">
        <f>geg!G12</f>
        <v>Basisschool</v>
      </c>
      <c r="D5" s="873"/>
      <c r="E5" s="99"/>
      <c r="F5" s="99"/>
      <c r="G5" s="99"/>
      <c r="H5" s="88"/>
      <c r="I5" s="88"/>
      <c r="J5" s="88"/>
      <c r="K5" s="99"/>
      <c r="L5" s="99"/>
      <c r="M5" s="99"/>
      <c r="N5" s="99"/>
      <c r="O5" s="99"/>
      <c r="P5" s="99"/>
      <c r="Q5" s="874"/>
    </row>
    <row r="6" spans="2:17" s="871" customFormat="1" ht="12" customHeight="1" x14ac:dyDescent="0.3">
      <c r="B6" s="872"/>
      <c r="C6" s="89"/>
      <c r="D6" s="873"/>
      <c r="E6" s="99"/>
      <c r="F6" s="99"/>
      <c r="G6" s="99"/>
      <c r="H6" s="88"/>
      <c r="I6" s="88"/>
      <c r="J6" s="88"/>
      <c r="K6" s="99"/>
      <c r="L6" s="99"/>
      <c r="M6" s="99"/>
      <c r="N6" s="99"/>
      <c r="O6" s="99"/>
      <c r="P6" s="99"/>
      <c r="Q6" s="874"/>
    </row>
    <row r="7" spans="2:17" s="871" customFormat="1" ht="12" customHeight="1" x14ac:dyDescent="0.3">
      <c r="B7" s="872"/>
      <c r="C7" s="89"/>
      <c r="D7" s="873"/>
      <c r="E7" s="99"/>
      <c r="F7" s="99"/>
      <c r="G7" s="99"/>
      <c r="H7" s="88"/>
      <c r="I7" s="88"/>
      <c r="J7" s="88"/>
      <c r="K7" s="99"/>
      <c r="L7" s="99"/>
      <c r="M7" s="99"/>
      <c r="N7" s="99"/>
      <c r="O7" s="99"/>
      <c r="P7" s="99"/>
      <c r="Q7" s="874"/>
    </row>
    <row r="8" spans="2:17" s="871" customFormat="1" ht="12" customHeight="1" x14ac:dyDescent="0.3">
      <c r="B8" s="872"/>
      <c r="C8" s="89"/>
      <c r="D8" s="875" t="s">
        <v>115</v>
      </c>
      <c r="E8" s="99"/>
      <c r="F8" s="99"/>
      <c r="G8" s="99"/>
      <c r="H8" s="88"/>
      <c r="I8" s="88"/>
      <c r="J8" s="88"/>
      <c r="K8" s="99"/>
      <c r="L8" s="99"/>
      <c r="M8" s="99"/>
      <c r="N8" s="99"/>
      <c r="O8" s="99"/>
      <c r="P8" s="99"/>
      <c r="Q8" s="874"/>
    </row>
    <row r="9" spans="2:17" s="871" customFormat="1" ht="12" customHeight="1" x14ac:dyDescent="0.3">
      <c r="B9" s="872"/>
      <c r="C9" s="89"/>
      <c r="D9" s="877" t="s">
        <v>581</v>
      </c>
      <c r="E9" s="99"/>
      <c r="F9" s="99"/>
      <c r="G9" s="99"/>
      <c r="H9" s="88"/>
      <c r="I9" s="88"/>
      <c r="J9" s="88"/>
      <c r="K9" s="99"/>
      <c r="L9" s="99"/>
      <c r="M9" s="99"/>
      <c r="N9" s="99"/>
      <c r="O9" s="99"/>
      <c r="P9" s="99"/>
      <c r="Q9" s="874"/>
    </row>
    <row r="10" spans="2:17" s="871" customFormat="1" ht="12" customHeight="1" x14ac:dyDescent="0.3">
      <c r="B10" s="872"/>
      <c r="C10" s="89"/>
      <c r="D10" s="877" t="s">
        <v>634</v>
      </c>
      <c r="E10" s="99"/>
      <c r="F10" s="99"/>
      <c r="G10" s="99"/>
      <c r="H10" s="88"/>
      <c r="I10" s="88"/>
      <c r="J10" s="88"/>
      <c r="K10" s="99"/>
      <c r="L10" s="99"/>
      <c r="M10" s="99"/>
      <c r="N10" s="99"/>
      <c r="O10" s="99"/>
      <c r="P10" s="99"/>
      <c r="Q10" s="874"/>
    </row>
    <row r="11" spans="2:17" s="871" customFormat="1" ht="12" customHeight="1" x14ac:dyDescent="0.3">
      <c r="B11" s="872"/>
      <c r="C11" s="878"/>
      <c r="D11" s="878"/>
      <c r="E11" s="99"/>
      <c r="F11" s="99"/>
      <c r="G11" s="99"/>
      <c r="H11" s="88"/>
      <c r="I11" s="88"/>
      <c r="J11" s="88"/>
      <c r="K11" s="99"/>
      <c r="L11" s="99"/>
      <c r="M11" s="99"/>
      <c r="N11" s="99"/>
      <c r="O11" s="99"/>
      <c r="P11" s="99"/>
      <c r="Q11" s="874"/>
    </row>
    <row r="12" spans="2:17" ht="12" customHeight="1" x14ac:dyDescent="0.2">
      <c r="B12" s="879"/>
      <c r="C12" s="89"/>
      <c r="D12" s="456"/>
      <c r="E12" s="88"/>
      <c r="F12" s="88"/>
      <c r="G12" s="90"/>
      <c r="H12" s="88"/>
      <c r="I12" s="88"/>
      <c r="J12" s="88"/>
      <c r="K12" s="88"/>
      <c r="L12" s="88"/>
      <c r="M12" s="88"/>
      <c r="N12" s="88"/>
      <c r="O12" s="88"/>
      <c r="P12" s="88"/>
      <c r="Q12" s="91"/>
    </row>
    <row r="13" spans="2:17" s="205" customFormat="1" ht="12" customHeight="1" x14ac:dyDescent="0.2">
      <c r="B13" s="768"/>
      <c r="C13" s="102"/>
      <c r="D13" s="880"/>
      <c r="E13" s="100"/>
      <c r="F13" s="123">
        <f>tab!D4</f>
        <v>2013</v>
      </c>
      <c r="G13" s="123">
        <f t="shared" ref="G13:O13" si="0">F13+1</f>
        <v>2014</v>
      </c>
      <c r="H13" s="123">
        <f t="shared" si="0"/>
        <v>2015</v>
      </c>
      <c r="I13" s="123">
        <f t="shared" si="0"/>
        <v>2016</v>
      </c>
      <c r="J13" s="123">
        <f t="shared" si="0"/>
        <v>2017</v>
      </c>
      <c r="K13" s="123">
        <f t="shared" si="0"/>
        <v>2018</v>
      </c>
      <c r="L13" s="123">
        <f t="shared" si="0"/>
        <v>2019</v>
      </c>
      <c r="M13" s="123">
        <f t="shared" si="0"/>
        <v>2020</v>
      </c>
      <c r="N13" s="123">
        <f t="shared" si="0"/>
        <v>2021</v>
      </c>
      <c r="O13" s="123">
        <f t="shared" si="0"/>
        <v>2022</v>
      </c>
      <c r="P13" s="100"/>
      <c r="Q13" s="130"/>
    </row>
    <row r="14" spans="2:17" ht="12" customHeight="1" x14ac:dyDescent="0.2">
      <c r="B14" s="879"/>
      <c r="C14" s="89"/>
      <c r="D14" s="456"/>
      <c r="E14" s="88"/>
      <c r="F14" s="88"/>
      <c r="G14" s="88"/>
      <c r="H14" s="88"/>
      <c r="I14" s="88"/>
      <c r="J14" s="88"/>
      <c r="K14" s="88"/>
      <c r="L14" s="88"/>
      <c r="M14" s="88"/>
      <c r="N14" s="88"/>
      <c r="O14" s="88"/>
      <c r="P14" s="88"/>
      <c r="Q14" s="91"/>
    </row>
    <row r="15" spans="2:17" x14ac:dyDescent="0.2">
      <c r="B15" s="87"/>
      <c r="C15" s="881"/>
      <c r="D15" s="882"/>
      <c r="F15" s="104"/>
      <c r="G15" s="105"/>
      <c r="H15" s="105"/>
      <c r="I15" s="105"/>
      <c r="J15" s="105"/>
      <c r="K15" s="468"/>
      <c r="L15" s="468"/>
      <c r="M15" s="468"/>
      <c r="N15" s="468"/>
      <c r="O15" s="468"/>
      <c r="P15" s="186"/>
      <c r="Q15" s="91"/>
    </row>
    <row r="16" spans="2:17" x14ac:dyDescent="0.2">
      <c r="B16" s="87"/>
      <c r="C16" s="883"/>
      <c r="D16" s="363" t="s">
        <v>117</v>
      </c>
      <c r="E16" s="884"/>
      <c r="F16" s="885">
        <v>0</v>
      </c>
      <c r="G16" s="262">
        <f>F19</f>
        <v>0</v>
      </c>
      <c r="H16" s="262">
        <f t="shared" ref="H16:O16" si="1">G19</f>
        <v>0</v>
      </c>
      <c r="I16" s="262">
        <f t="shared" si="1"/>
        <v>0</v>
      </c>
      <c r="J16" s="262">
        <f t="shared" si="1"/>
        <v>0</v>
      </c>
      <c r="K16" s="262">
        <f t="shared" si="1"/>
        <v>0</v>
      </c>
      <c r="L16" s="262">
        <f t="shared" si="1"/>
        <v>0</v>
      </c>
      <c r="M16" s="262">
        <f t="shared" si="1"/>
        <v>0</v>
      </c>
      <c r="N16" s="262">
        <f t="shared" si="1"/>
        <v>0</v>
      </c>
      <c r="O16" s="262">
        <f t="shared" si="1"/>
        <v>0</v>
      </c>
      <c r="P16" s="188"/>
      <c r="Q16" s="91"/>
    </row>
    <row r="17" spans="2:17" x14ac:dyDescent="0.2">
      <c r="B17" s="87"/>
      <c r="C17" s="883"/>
      <c r="D17" s="363" t="s">
        <v>144</v>
      </c>
      <c r="E17" s="864"/>
      <c r="F17" s="885">
        <v>0</v>
      </c>
      <c r="G17" s="886">
        <v>0</v>
      </c>
      <c r="H17" s="886">
        <v>0</v>
      </c>
      <c r="I17" s="886">
        <v>0</v>
      </c>
      <c r="J17" s="886">
        <v>0</v>
      </c>
      <c r="K17" s="886">
        <v>0</v>
      </c>
      <c r="L17" s="886">
        <v>0</v>
      </c>
      <c r="M17" s="886">
        <v>0</v>
      </c>
      <c r="N17" s="886">
        <v>0</v>
      </c>
      <c r="O17" s="886">
        <v>0</v>
      </c>
      <c r="P17" s="188"/>
      <c r="Q17" s="91"/>
    </row>
    <row r="18" spans="2:17" x14ac:dyDescent="0.2">
      <c r="B18" s="87"/>
      <c r="C18" s="883"/>
      <c r="D18" s="363" t="s">
        <v>145</v>
      </c>
      <c r="E18" s="884"/>
      <c r="F18" s="885">
        <v>0</v>
      </c>
      <c r="G18" s="886">
        <v>0</v>
      </c>
      <c r="H18" s="886">
        <v>0</v>
      </c>
      <c r="I18" s="886">
        <v>0</v>
      </c>
      <c r="J18" s="886">
        <v>0</v>
      </c>
      <c r="K18" s="886">
        <v>0</v>
      </c>
      <c r="L18" s="886">
        <v>0</v>
      </c>
      <c r="M18" s="886">
        <v>0</v>
      </c>
      <c r="N18" s="886">
        <v>0</v>
      </c>
      <c r="O18" s="886">
        <v>0</v>
      </c>
      <c r="P18" s="188"/>
      <c r="Q18" s="91"/>
    </row>
    <row r="19" spans="2:17" x14ac:dyDescent="0.2">
      <c r="B19" s="87"/>
      <c r="C19" s="887"/>
      <c r="D19" s="566" t="s">
        <v>331</v>
      </c>
      <c r="E19" s="864"/>
      <c r="F19" s="888">
        <f>SUM(F16:F17)-F18</f>
        <v>0</v>
      </c>
      <c r="G19" s="889">
        <f t="shared" ref="G19:O19" si="2">SUM(G16:G17)-G18</f>
        <v>0</v>
      </c>
      <c r="H19" s="889">
        <f t="shared" si="2"/>
        <v>0</v>
      </c>
      <c r="I19" s="889">
        <f t="shared" si="2"/>
        <v>0</v>
      </c>
      <c r="J19" s="889">
        <f t="shared" si="2"/>
        <v>0</v>
      </c>
      <c r="K19" s="889">
        <f t="shared" si="2"/>
        <v>0</v>
      </c>
      <c r="L19" s="889">
        <f t="shared" si="2"/>
        <v>0</v>
      </c>
      <c r="M19" s="889">
        <f t="shared" si="2"/>
        <v>0</v>
      </c>
      <c r="N19" s="889">
        <f t="shared" si="2"/>
        <v>0</v>
      </c>
      <c r="O19" s="889">
        <f t="shared" si="2"/>
        <v>0</v>
      </c>
      <c r="P19" s="188"/>
      <c r="Q19" s="91"/>
    </row>
    <row r="20" spans="2:17" x14ac:dyDescent="0.2">
      <c r="B20" s="87"/>
      <c r="C20" s="433"/>
      <c r="F20" s="116"/>
      <c r="G20" s="117"/>
      <c r="H20" s="536"/>
      <c r="I20" s="117"/>
      <c r="J20" s="117"/>
      <c r="K20" s="117"/>
      <c r="L20" s="117"/>
      <c r="M20" s="117"/>
      <c r="N20" s="117"/>
      <c r="O20" s="117"/>
      <c r="P20" s="151"/>
      <c r="Q20" s="91"/>
    </row>
    <row r="21" spans="2:17" ht="12.75" customHeight="1" x14ac:dyDescent="0.2">
      <c r="B21" s="879"/>
      <c r="C21" s="89"/>
      <c r="D21" s="456"/>
      <c r="E21" s="88"/>
      <c r="F21" s="88"/>
      <c r="G21" s="88"/>
      <c r="H21" s="540"/>
      <c r="I21" s="88"/>
      <c r="J21" s="88"/>
      <c r="K21" s="88"/>
      <c r="L21" s="88"/>
      <c r="M21" s="88"/>
      <c r="N21" s="88"/>
      <c r="O21" s="88"/>
      <c r="P21" s="88"/>
      <c r="Q21" s="91"/>
    </row>
    <row r="22" spans="2:17" ht="12.75" customHeight="1" x14ac:dyDescent="0.2">
      <c r="B22" s="879"/>
      <c r="C22" s="89"/>
      <c r="D22" s="456"/>
      <c r="E22" s="88"/>
      <c r="F22" s="88"/>
      <c r="G22" s="88"/>
      <c r="H22" s="540"/>
      <c r="I22" s="88"/>
      <c r="J22" s="88"/>
      <c r="K22" s="88"/>
      <c r="L22" s="88"/>
      <c r="M22" s="88"/>
      <c r="N22" s="88"/>
      <c r="O22" s="88"/>
      <c r="P22" s="88"/>
      <c r="Q22" s="91"/>
    </row>
    <row r="23" spans="2:17" s="205" customFormat="1" ht="12.75" customHeight="1" x14ac:dyDescent="0.2">
      <c r="B23" s="890"/>
      <c r="C23" s="102"/>
      <c r="D23" s="880"/>
      <c r="E23" s="100"/>
      <c r="F23" s="123">
        <f>O13+1</f>
        <v>2023</v>
      </c>
      <c r="G23" s="123">
        <f t="shared" ref="G23:O23" si="3">F23+1</f>
        <v>2024</v>
      </c>
      <c r="H23" s="123">
        <f t="shared" si="3"/>
        <v>2025</v>
      </c>
      <c r="I23" s="123">
        <f t="shared" si="3"/>
        <v>2026</v>
      </c>
      <c r="J23" s="123">
        <f t="shared" si="3"/>
        <v>2027</v>
      </c>
      <c r="K23" s="123">
        <f t="shared" si="3"/>
        <v>2028</v>
      </c>
      <c r="L23" s="123">
        <f t="shared" si="3"/>
        <v>2029</v>
      </c>
      <c r="M23" s="123">
        <f t="shared" si="3"/>
        <v>2030</v>
      </c>
      <c r="N23" s="123">
        <f t="shared" si="3"/>
        <v>2031</v>
      </c>
      <c r="O23" s="123">
        <f t="shared" si="3"/>
        <v>2032</v>
      </c>
      <c r="P23" s="891"/>
      <c r="Q23" s="130"/>
    </row>
    <row r="24" spans="2:17" ht="12.75" customHeight="1" x14ac:dyDescent="0.2">
      <c r="B24" s="879"/>
      <c r="C24" s="89"/>
      <c r="D24" s="456"/>
      <c r="E24" s="88"/>
      <c r="F24" s="88"/>
      <c r="G24" s="88"/>
      <c r="H24" s="88"/>
      <c r="I24" s="88"/>
      <c r="J24" s="88"/>
      <c r="K24" s="88"/>
      <c r="L24" s="88"/>
      <c r="M24" s="88"/>
      <c r="N24" s="88"/>
      <c r="O24" s="88"/>
      <c r="P24" s="88"/>
      <c r="Q24" s="91"/>
    </row>
    <row r="25" spans="2:17" ht="12.75" customHeight="1" x14ac:dyDescent="0.2">
      <c r="B25" s="879"/>
      <c r="C25" s="881"/>
      <c r="D25" s="882"/>
      <c r="F25" s="104"/>
      <c r="G25" s="105"/>
      <c r="H25" s="105"/>
      <c r="I25" s="105"/>
      <c r="J25" s="105"/>
      <c r="K25" s="105"/>
      <c r="L25" s="105"/>
      <c r="M25" s="105"/>
      <c r="N25" s="105"/>
      <c r="O25" s="105"/>
      <c r="P25" s="186"/>
      <c r="Q25" s="91"/>
    </row>
    <row r="26" spans="2:17" ht="12.75" customHeight="1" x14ac:dyDescent="0.2">
      <c r="B26" s="879"/>
      <c r="C26" s="883"/>
      <c r="D26" s="363" t="s">
        <v>117</v>
      </c>
      <c r="E26" s="884"/>
      <c r="F26" s="892">
        <f>O19</f>
        <v>0</v>
      </c>
      <c r="G26" s="262">
        <f>F29</f>
        <v>0</v>
      </c>
      <c r="H26" s="262">
        <f t="shared" ref="H26:O26" si="4">G29</f>
        <v>0</v>
      </c>
      <c r="I26" s="262">
        <f t="shared" si="4"/>
        <v>0</v>
      </c>
      <c r="J26" s="262">
        <f t="shared" si="4"/>
        <v>0</v>
      </c>
      <c r="K26" s="262">
        <f t="shared" si="4"/>
        <v>0</v>
      </c>
      <c r="L26" s="262">
        <f t="shared" si="4"/>
        <v>0</v>
      </c>
      <c r="M26" s="262">
        <f t="shared" si="4"/>
        <v>0</v>
      </c>
      <c r="N26" s="262">
        <f t="shared" si="4"/>
        <v>0</v>
      </c>
      <c r="O26" s="262">
        <f t="shared" si="4"/>
        <v>0</v>
      </c>
      <c r="P26" s="188"/>
      <c r="Q26" s="91"/>
    </row>
    <row r="27" spans="2:17" ht="12.75" customHeight="1" x14ac:dyDescent="0.2">
      <c r="B27" s="879"/>
      <c r="C27" s="883"/>
      <c r="D27" s="363" t="s">
        <v>144</v>
      </c>
      <c r="E27" s="864"/>
      <c r="F27" s="885">
        <v>0</v>
      </c>
      <c r="G27" s="886">
        <v>0</v>
      </c>
      <c r="H27" s="886">
        <v>0</v>
      </c>
      <c r="I27" s="886">
        <v>0</v>
      </c>
      <c r="J27" s="886">
        <v>0</v>
      </c>
      <c r="K27" s="886">
        <v>0</v>
      </c>
      <c r="L27" s="886">
        <v>0</v>
      </c>
      <c r="M27" s="886">
        <v>0</v>
      </c>
      <c r="N27" s="886">
        <v>0</v>
      </c>
      <c r="O27" s="886">
        <v>0</v>
      </c>
      <c r="P27" s="188"/>
      <c r="Q27" s="91"/>
    </row>
    <row r="28" spans="2:17" ht="12.75" customHeight="1" x14ac:dyDescent="0.2">
      <c r="B28" s="879"/>
      <c r="C28" s="883"/>
      <c r="D28" s="363" t="s">
        <v>145</v>
      </c>
      <c r="E28" s="884"/>
      <c r="F28" s="885">
        <v>0</v>
      </c>
      <c r="G28" s="886">
        <v>0</v>
      </c>
      <c r="H28" s="886">
        <v>0</v>
      </c>
      <c r="I28" s="886">
        <v>0</v>
      </c>
      <c r="J28" s="886">
        <v>0</v>
      </c>
      <c r="K28" s="886">
        <v>0</v>
      </c>
      <c r="L28" s="886">
        <v>0</v>
      </c>
      <c r="M28" s="886">
        <v>0</v>
      </c>
      <c r="N28" s="886">
        <v>0</v>
      </c>
      <c r="O28" s="886">
        <v>0</v>
      </c>
      <c r="P28" s="188"/>
      <c r="Q28" s="91"/>
    </row>
    <row r="29" spans="2:17" ht="12.75" customHeight="1" x14ac:dyDescent="0.2">
      <c r="B29" s="879"/>
      <c r="C29" s="887"/>
      <c r="D29" s="566" t="s">
        <v>331</v>
      </c>
      <c r="E29" s="864"/>
      <c r="F29" s="888">
        <f t="shared" ref="F29:O29" si="5">SUM(F26:F27)-F28</f>
        <v>0</v>
      </c>
      <c r="G29" s="889">
        <f t="shared" si="5"/>
        <v>0</v>
      </c>
      <c r="H29" s="889">
        <f t="shared" si="5"/>
        <v>0</v>
      </c>
      <c r="I29" s="889">
        <f t="shared" si="5"/>
        <v>0</v>
      </c>
      <c r="J29" s="889">
        <f t="shared" si="5"/>
        <v>0</v>
      </c>
      <c r="K29" s="889">
        <f t="shared" si="5"/>
        <v>0</v>
      </c>
      <c r="L29" s="889">
        <f t="shared" si="5"/>
        <v>0</v>
      </c>
      <c r="M29" s="889">
        <f t="shared" si="5"/>
        <v>0</v>
      </c>
      <c r="N29" s="889">
        <f t="shared" si="5"/>
        <v>0</v>
      </c>
      <c r="O29" s="889">
        <f t="shared" si="5"/>
        <v>0</v>
      </c>
      <c r="P29" s="188"/>
      <c r="Q29" s="91"/>
    </row>
    <row r="30" spans="2:17" ht="12.75" customHeight="1" x14ac:dyDescent="0.2">
      <c r="B30" s="879"/>
      <c r="C30" s="433"/>
      <c r="F30" s="116"/>
      <c r="G30" s="117"/>
      <c r="H30" s="117"/>
      <c r="I30" s="117"/>
      <c r="J30" s="117"/>
      <c r="K30" s="117"/>
      <c r="L30" s="117"/>
      <c r="M30" s="117"/>
      <c r="N30" s="117"/>
      <c r="O30" s="117"/>
      <c r="P30" s="151"/>
      <c r="Q30" s="91"/>
    </row>
    <row r="31" spans="2:17" ht="12.75" customHeight="1" x14ac:dyDescent="0.2">
      <c r="B31" s="879"/>
      <c r="C31" s="89"/>
      <c r="D31" s="456"/>
      <c r="E31" s="88"/>
      <c r="F31" s="88"/>
      <c r="G31" s="88"/>
      <c r="H31" s="88"/>
      <c r="I31" s="88"/>
      <c r="J31" s="88"/>
      <c r="K31" s="88"/>
      <c r="L31" s="88"/>
      <c r="M31" s="88"/>
      <c r="N31" s="88"/>
      <c r="O31" s="88"/>
      <c r="P31" s="88"/>
      <c r="Q31" s="91"/>
    </row>
    <row r="32" spans="2:17" s="80" customFormat="1" ht="12" customHeight="1" collapsed="1" x14ac:dyDescent="0.25">
      <c r="B32" s="199"/>
      <c r="C32" s="200"/>
      <c r="D32" s="200"/>
      <c r="E32" s="200"/>
      <c r="F32" s="200"/>
      <c r="G32" s="200"/>
      <c r="H32" s="200"/>
      <c r="I32" s="200"/>
      <c r="J32" s="200"/>
      <c r="K32" s="200"/>
      <c r="L32" s="200"/>
      <c r="M32" s="200"/>
      <c r="N32" s="200"/>
      <c r="O32" s="200"/>
      <c r="P32" s="176" t="s">
        <v>629</v>
      </c>
      <c r="Q32" s="201"/>
    </row>
  </sheetData>
  <sheetProtection password="DFB1" sheet="1" objects="1" scenarios="1"/>
  <phoneticPr fontId="0" type="noConversion"/>
  <pageMargins left="0.74803149606299213" right="0.74803149606299213" top="0.98425196850393704" bottom="0.98425196850393704" header="0.51181102362204722" footer="0.51181102362204722"/>
  <pageSetup paperSize="9" scale="60" orientation="landscape" r:id="rId1"/>
  <headerFooter alignWithMargins="0">
    <oddHeader>&amp;L&amp;"Arial,Vet"&amp;F&amp;R&amp;"Arial,Vet"&amp;A</oddHeader>
    <oddFooter>&amp;L&amp;"Arial,Vet"PO-Raad&amp;C&amp;"Arial,Vet"&amp;D&amp;R&amp;"Arial,Vet"pagina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19</vt:i4>
      </vt:variant>
      <vt:variant>
        <vt:lpstr>Benoemde bereiken</vt:lpstr>
      </vt:variant>
      <vt:variant>
        <vt:i4>26</vt:i4>
      </vt:variant>
    </vt:vector>
  </HeadingPairs>
  <TitlesOfParts>
    <vt:vector size="45" baseType="lpstr">
      <vt:lpstr>toel</vt:lpstr>
      <vt:lpstr>geg</vt:lpstr>
      <vt:lpstr>rugzak</vt:lpstr>
      <vt:lpstr>pers</vt:lpstr>
      <vt:lpstr>dir</vt:lpstr>
      <vt:lpstr>op</vt:lpstr>
      <vt:lpstr>obp</vt:lpstr>
      <vt:lpstr>mat</vt:lpstr>
      <vt:lpstr>mop</vt:lpstr>
      <vt:lpstr>mip</vt:lpstr>
      <vt:lpstr>act</vt:lpstr>
      <vt:lpstr>beleid</vt:lpstr>
      <vt:lpstr>begr</vt:lpstr>
      <vt:lpstr>bal</vt:lpstr>
      <vt:lpstr>liq</vt:lpstr>
      <vt:lpstr>ken</vt:lpstr>
      <vt:lpstr>graf</vt:lpstr>
      <vt:lpstr>som</vt:lpstr>
      <vt:lpstr>tab</vt:lpstr>
      <vt:lpstr>act!Afdrukbereik</vt:lpstr>
      <vt:lpstr>bal!Afdrukbereik</vt:lpstr>
      <vt:lpstr>begr!Afdrukbereik</vt:lpstr>
      <vt:lpstr>beleid!Afdrukbereik</vt:lpstr>
      <vt:lpstr>dir!Afdrukbereik</vt:lpstr>
      <vt:lpstr>geg!Afdrukbereik</vt:lpstr>
      <vt:lpstr>graf!Afdrukbereik</vt:lpstr>
      <vt:lpstr>ken!Afdrukbereik</vt:lpstr>
      <vt:lpstr>liq!Afdrukbereik</vt:lpstr>
      <vt:lpstr>mat!Afdrukbereik</vt:lpstr>
      <vt:lpstr>mip!Afdrukbereik</vt:lpstr>
      <vt:lpstr>mop!Afdrukbereik</vt:lpstr>
      <vt:lpstr>obp!Afdrukbereik</vt:lpstr>
      <vt:lpstr>op!Afdrukbereik</vt:lpstr>
      <vt:lpstr>pers!Afdrukbereik</vt:lpstr>
      <vt:lpstr>rugzak!Afdrukbereik</vt:lpstr>
      <vt:lpstr>som!Afdrukbereik</vt:lpstr>
      <vt:lpstr>tab!Afdrukbereik</vt:lpstr>
      <vt:lpstr>toel!Afdrukbereik</vt:lpstr>
      <vt:lpstr>groepenleerlingennu</vt:lpstr>
      <vt:lpstr>Postcode_gebieden</vt:lpstr>
      <vt:lpstr>regels2011</vt:lpstr>
      <vt:lpstr>rugzakmat</vt:lpstr>
      <vt:lpstr>rugzakpers</vt:lpstr>
      <vt:lpstr>schaal2011</vt:lpstr>
      <vt:lpstr>vloeroppervlaknu</vt:lpstr>
    </vt:vector>
  </TitlesOfParts>
  <Company>VOS/ABB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drs. R.M. Goedhart / Bé Keizer</dc:creator>
  <cp:lastModifiedBy>Keizer</cp:lastModifiedBy>
  <cp:lastPrinted>2014-03-31T12:50:17Z</cp:lastPrinted>
  <dcterms:created xsi:type="dcterms:W3CDTF">2002-03-02T17:48:17Z</dcterms:created>
  <dcterms:modified xsi:type="dcterms:W3CDTF">2014-03-31T12:55:46Z</dcterms:modified>
</cp:coreProperties>
</file>