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0" windowWidth="7650" windowHeight="9255" tabRatio="925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1" sheetId="11" r:id="rId10"/>
    <sheet name="2" sheetId="33" r:id="rId11"/>
    <sheet name="3" sheetId="34" r:id="rId12"/>
    <sheet name="4" sheetId="35" r:id="rId13"/>
    <sheet name="5" sheetId="36" r:id="rId14"/>
    <sheet name="6" sheetId="37" r:id="rId15"/>
    <sheet name="7" sheetId="38" r:id="rId16"/>
    <sheet name="8" sheetId="39" r:id="rId17"/>
    <sheet name="9" sheetId="40" r:id="rId18"/>
    <sheet name="10" sheetId="41" r:id="rId19"/>
    <sheet name="11" sheetId="42" r:id="rId20"/>
    <sheet name="12" sheetId="43" r:id="rId21"/>
    <sheet name="13" sheetId="44" r:id="rId22"/>
    <sheet name="14" sheetId="45" r:id="rId23"/>
    <sheet name="15" sheetId="46" r:id="rId24"/>
    <sheet name="16" sheetId="47" r:id="rId25"/>
    <sheet name="17" sheetId="48" r:id="rId26"/>
    <sheet name="18" sheetId="49" r:id="rId27"/>
    <sheet name="19" sheetId="50" r:id="rId28"/>
    <sheet name="20" sheetId="51" r:id="rId29"/>
    <sheet name="tab" sheetId="32" r:id="rId30"/>
    <sheet name="Module1" sheetId="31" state="veryHidden" r:id="rId31"/>
  </sheets>
  <definedNames>
    <definedName name="_xlnm._FilterDatabase" localSheetId="4" hidden="1">mip!$I$8:$I$149</definedName>
    <definedName name="_xlnm.Print_Area" localSheetId="9">'1'!$B$2:$K$80</definedName>
    <definedName name="_xlnm.Print_Area" localSheetId="18">'10'!$B$2:$K$80</definedName>
    <definedName name="_xlnm.Print_Area" localSheetId="19">'11'!$B$2:$K$80</definedName>
    <definedName name="_xlnm.Print_Area" localSheetId="20">'12'!$B$2:$K$80</definedName>
    <definedName name="_xlnm.Print_Area" localSheetId="21">'13'!$B$2:$K$80</definedName>
    <definedName name="_xlnm.Print_Area" localSheetId="22">'14'!$B$2:$K$80</definedName>
    <definedName name="_xlnm.Print_Area" localSheetId="23">'15'!$B$2:$K$80</definedName>
    <definedName name="_xlnm.Print_Area" localSheetId="24">'16'!$B$2:$K$80</definedName>
    <definedName name="_xlnm.Print_Area" localSheetId="25">'17'!$B$2:$K$80</definedName>
    <definedName name="_xlnm.Print_Area" localSheetId="26">'18'!$B$2:$K$80</definedName>
    <definedName name="_xlnm.Print_Area" localSheetId="27">'19'!$B$2:$K$80</definedName>
    <definedName name="_xlnm.Print_Area" localSheetId="10">'2'!$B$2:$K$80</definedName>
    <definedName name="_xlnm.Print_Area" localSheetId="28">'20'!$B$2:$K$80</definedName>
    <definedName name="_xlnm.Print_Area" localSheetId="11">'3'!$B$2:$K$80</definedName>
    <definedName name="_xlnm.Print_Area" localSheetId="12">'4'!$B$2:$K$80</definedName>
    <definedName name="_xlnm.Print_Area" localSheetId="13">'5'!$B$2:$K$80</definedName>
    <definedName name="_xlnm.Print_Area" localSheetId="14">'6'!$B$2:$K$80</definedName>
    <definedName name="_xlnm.Print_Area" localSheetId="15">'7'!$B$2:$K$80</definedName>
    <definedName name="_xlnm.Print_Area" localSheetId="16">'8'!$B$2:$K$80</definedName>
    <definedName name="_xlnm.Print_Area" localSheetId="17">'9'!$B$2:$K$80</definedName>
    <definedName name="_xlnm.Print_Area" localSheetId="5">act!$B$2:$L$64</definedName>
    <definedName name="_xlnm.Print_Area" localSheetId="7">bal!$B$2:$K$77</definedName>
    <definedName name="_xlnm.Print_Area" localSheetId="1">'begr(bk)'!$B$2:$M$182</definedName>
    <definedName name="_xlnm.Print_Area" localSheetId="6">'begr(tot)'!$B$2:$M$45</definedName>
    <definedName name="_xlnm.Print_Area" localSheetId="8">ken!$B$2:$K$167</definedName>
    <definedName name="_xlnm.Print_Area" localSheetId="2">loon!$B$2:$X$69</definedName>
    <definedName name="_xlnm.Print_Area" localSheetId="4">mip!$B$2:$AD$150</definedName>
    <definedName name="_xlnm.Print_Area" localSheetId="3">mop!$B$2:$Q$31</definedName>
    <definedName name="_xlnm.Print_Area" localSheetId="29">tab!$A$1:$W$63</definedName>
    <definedName name="_xlnm.Print_Area" localSheetId="0">toel!$B$2:$Q$111</definedName>
    <definedName name="regels">tab!$W$15:$W$57</definedName>
    <definedName name="schaal">tab!$A$15:$A$57</definedName>
  </definedNames>
  <calcPr calcId="145621"/>
</workbook>
</file>

<file path=xl/calcChain.xml><?xml version="1.0" encoding="utf-8"?>
<calcChain xmlns="http://schemas.openxmlformats.org/spreadsheetml/2006/main">
  <c r="I62" i="32" l="1"/>
  <c r="H62" i="32"/>
  <c r="E62" i="32"/>
  <c r="E61" i="32"/>
  <c r="H61" i="32" s="1"/>
  <c r="I24" i="2" l="1"/>
  <c r="J24" i="2" s="1"/>
  <c r="K24" i="2" s="1"/>
  <c r="J23" i="2"/>
  <c r="K23" i="2" s="1"/>
  <c r="I23" i="2"/>
  <c r="I20" i="2"/>
  <c r="J20" i="2" s="1"/>
  <c r="K20" i="2" s="1"/>
  <c r="J19" i="2"/>
  <c r="K19" i="2" s="1"/>
  <c r="I19" i="2"/>
  <c r="I18" i="2"/>
  <c r="J18" i="2" s="1"/>
  <c r="K18" i="2" s="1"/>
  <c r="O163" i="3" l="1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15" i="3"/>
  <c r="W56" i="32"/>
  <c r="W57" i="32"/>
  <c r="D27" i="32" l="1"/>
  <c r="F38" i="7" l="1"/>
  <c r="F22" i="7"/>
  <c r="F21" i="7"/>
  <c r="F27" i="7" s="1"/>
  <c r="F19" i="7"/>
  <c r="F8" i="7"/>
  <c r="G38" i="7"/>
  <c r="G22" i="7"/>
  <c r="G21" i="7"/>
  <c r="G27" i="7" s="1"/>
  <c r="G19" i="7"/>
  <c r="D2" i="32"/>
  <c r="E2" i="32" s="1"/>
  <c r="F2" i="32" s="1"/>
  <c r="G2" i="32" s="1"/>
  <c r="H2" i="32" s="1"/>
  <c r="G8" i="7" l="1"/>
  <c r="G29" i="7"/>
  <c r="G42" i="7" s="1"/>
  <c r="F29" i="7"/>
  <c r="F42" i="7" s="1"/>
  <c r="H54" i="2"/>
  <c r="F143" i="9" l="1"/>
  <c r="I50" i="2"/>
  <c r="J50" i="2" s="1"/>
  <c r="K50" i="2" s="1"/>
  <c r="I49" i="2"/>
  <c r="J49" i="2" s="1"/>
  <c r="K49" i="2" s="1"/>
  <c r="I48" i="2"/>
  <c r="J48" i="2" s="1"/>
  <c r="K48" i="2" s="1"/>
  <c r="C28" i="32"/>
  <c r="C29" i="32"/>
  <c r="C27" i="32"/>
  <c r="I44" i="2" l="1"/>
  <c r="J44" i="2" s="1"/>
  <c r="K44" i="2" s="1"/>
  <c r="G135" i="9"/>
  <c r="H135" i="9" s="1"/>
  <c r="G129" i="9"/>
  <c r="H129" i="9" s="1"/>
  <c r="G123" i="9"/>
  <c r="H123" i="9" s="1"/>
  <c r="I123" i="9" s="1"/>
  <c r="G122" i="9"/>
  <c r="H122" i="9" s="1"/>
  <c r="G104" i="9"/>
  <c r="H104" i="9" s="1"/>
  <c r="H66" i="3"/>
  <c r="H99" i="3" s="1"/>
  <c r="H131" i="3" s="1"/>
  <c r="H163" i="3" s="1"/>
  <c r="H65" i="3"/>
  <c r="H98" i="3" s="1"/>
  <c r="H130" i="3" s="1"/>
  <c r="H162" i="3" s="1"/>
  <c r="H64" i="3"/>
  <c r="H97" i="3" s="1"/>
  <c r="H129" i="3" s="1"/>
  <c r="H161" i="3" s="1"/>
  <c r="H63" i="3"/>
  <c r="H96" i="3" s="1"/>
  <c r="H128" i="3" s="1"/>
  <c r="H160" i="3" s="1"/>
  <c r="H62" i="3"/>
  <c r="H95" i="3" s="1"/>
  <c r="H127" i="3" s="1"/>
  <c r="H159" i="3" s="1"/>
  <c r="H61" i="3"/>
  <c r="H94" i="3" s="1"/>
  <c r="H126" i="3" s="1"/>
  <c r="H158" i="3" s="1"/>
  <c r="H60" i="3"/>
  <c r="H93" i="3" s="1"/>
  <c r="H125" i="3" s="1"/>
  <c r="H157" i="3" s="1"/>
  <c r="H59" i="3"/>
  <c r="H92" i="3" s="1"/>
  <c r="H124" i="3" s="1"/>
  <c r="H156" i="3" s="1"/>
  <c r="H58" i="3"/>
  <c r="H91" i="3" s="1"/>
  <c r="H123" i="3" s="1"/>
  <c r="H155" i="3" s="1"/>
  <c r="H57" i="3"/>
  <c r="H90" i="3" s="1"/>
  <c r="H122" i="3" s="1"/>
  <c r="H154" i="3" s="1"/>
  <c r="H56" i="3"/>
  <c r="H89" i="3" s="1"/>
  <c r="H121" i="3" s="1"/>
  <c r="H153" i="3" s="1"/>
  <c r="H55" i="3"/>
  <c r="H88" i="3" s="1"/>
  <c r="H120" i="3" s="1"/>
  <c r="H152" i="3" s="1"/>
  <c r="H54" i="3"/>
  <c r="H87" i="3" s="1"/>
  <c r="H119" i="3" s="1"/>
  <c r="H151" i="3" s="1"/>
  <c r="H53" i="3"/>
  <c r="H86" i="3" s="1"/>
  <c r="H118" i="3" s="1"/>
  <c r="H150" i="3" s="1"/>
  <c r="H52" i="3"/>
  <c r="H85" i="3" s="1"/>
  <c r="H117" i="3" s="1"/>
  <c r="H149" i="3" s="1"/>
  <c r="H51" i="3"/>
  <c r="H84" i="3" s="1"/>
  <c r="H116" i="3" s="1"/>
  <c r="H148" i="3" s="1"/>
  <c r="H50" i="3"/>
  <c r="H83" i="3" s="1"/>
  <c r="H115" i="3" s="1"/>
  <c r="H147" i="3" s="1"/>
  <c r="H49" i="3"/>
  <c r="H82" i="3" s="1"/>
  <c r="H114" i="3" s="1"/>
  <c r="H146" i="3" s="1"/>
  <c r="H48" i="3"/>
  <c r="H81" i="3" s="1"/>
  <c r="H113" i="3" s="1"/>
  <c r="H145" i="3" s="1"/>
  <c r="H47" i="3"/>
  <c r="H80" i="3" s="1"/>
  <c r="H112" i="3" s="1"/>
  <c r="H144" i="3" s="1"/>
  <c r="W49" i="32"/>
  <c r="W48" i="32"/>
  <c r="W47" i="32"/>
  <c r="W46" i="32"/>
  <c r="W45" i="32"/>
  <c r="W44" i="32"/>
  <c r="W43" i="32"/>
  <c r="W41" i="32"/>
  <c r="W40" i="32"/>
  <c r="W39" i="32"/>
  <c r="W38" i="32"/>
  <c r="W37" i="32"/>
  <c r="W36" i="32"/>
  <c r="W35" i="32"/>
  <c r="W34" i="32"/>
  <c r="W33" i="32"/>
  <c r="W32" i="32"/>
  <c r="W31" i="32"/>
  <c r="W30" i="32"/>
  <c r="W29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W15" i="32"/>
  <c r="Q45" i="3"/>
  <c r="W42" i="32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Q142" i="3"/>
  <c r="Q162" i="3" s="1"/>
  <c r="Q13" i="3"/>
  <c r="Q33" i="3" s="1"/>
  <c r="M55" i="32"/>
  <c r="L55" i="32"/>
  <c r="K55" i="32"/>
  <c r="J55" i="32"/>
  <c r="I55" i="32"/>
  <c r="H55" i="32"/>
  <c r="G55" i="32"/>
  <c r="F55" i="32"/>
  <c r="E55" i="32"/>
  <c r="D55" i="32"/>
  <c r="C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L50" i="32"/>
  <c r="K50" i="32"/>
  <c r="J50" i="32"/>
  <c r="I50" i="32"/>
  <c r="H50" i="32"/>
  <c r="G50" i="32"/>
  <c r="F50" i="32"/>
  <c r="E50" i="32"/>
  <c r="D50" i="32"/>
  <c r="C50" i="32"/>
  <c r="G43" i="8"/>
  <c r="H43" i="8" s="1"/>
  <c r="I43" i="8" s="1"/>
  <c r="G47" i="3"/>
  <c r="G80" i="3" s="1"/>
  <c r="G48" i="3"/>
  <c r="G81" i="3" s="1"/>
  <c r="U81" i="3" s="1"/>
  <c r="G49" i="3"/>
  <c r="G82" i="3" s="1"/>
  <c r="G50" i="3"/>
  <c r="G83" i="3" s="1"/>
  <c r="G51" i="3"/>
  <c r="G84" i="3" s="1"/>
  <c r="G52" i="3"/>
  <c r="G85" i="3" s="1"/>
  <c r="G53" i="3"/>
  <c r="G86" i="3" s="1"/>
  <c r="G54" i="3"/>
  <c r="G87" i="3" s="1"/>
  <c r="G55" i="3"/>
  <c r="G88" i="3" s="1"/>
  <c r="G56" i="3"/>
  <c r="G89" i="3" s="1"/>
  <c r="G57" i="3"/>
  <c r="G90" i="3" s="1"/>
  <c r="G58" i="3"/>
  <c r="G91" i="3" s="1"/>
  <c r="G59" i="3"/>
  <c r="G92" i="3" s="1"/>
  <c r="G60" i="3"/>
  <c r="G93" i="3" s="1"/>
  <c r="G61" i="3"/>
  <c r="G94" i="3" s="1"/>
  <c r="G62" i="3"/>
  <c r="G95" i="3" s="1"/>
  <c r="G63" i="3"/>
  <c r="G96" i="3" s="1"/>
  <c r="G64" i="3"/>
  <c r="G97" i="3" s="1"/>
  <c r="G65" i="3"/>
  <c r="G98" i="3" s="1"/>
  <c r="G66" i="3"/>
  <c r="G99" i="3" s="1"/>
  <c r="I47" i="3"/>
  <c r="E47" i="3"/>
  <c r="E80" i="3" s="1"/>
  <c r="E112" i="3" s="1"/>
  <c r="E144" i="3" s="1"/>
  <c r="K47" i="3"/>
  <c r="K80" i="3" s="1"/>
  <c r="U49" i="3"/>
  <c r="V49" i="3" s="1"/>
  <c r="U50" i="3"/>
  <c r="V50" i="3" s="1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61" i="3"/>
  <c r="V61" i="3" s="1"/>
  <c r="U62" i="3"/>
  <c r="V62" i="3" s="1"/>
  <c r="U63" i="3"/>
  <c r="V63" i="3" s="1"/>
  <c r="U64" i="3"/>
  <c r="V64" i="3" s="1"/>
  <c r="U65" i="3"/>
  <c r="V65" i="3" s="1"/>
  <c r="U15" i="3"/>
  <c r="V15" i="3" s="1"/>
  <c r="I51" i="9"/>
  <c r="H51" i="9"/>
  <c r="G51" i="9"/>
  <c r="F51" i="9"/>
  <c r="I46" i="9"/>
  <c r="H46" i="9"/>
  <c r="G46" i="9"/>
  <c r="F46" i="9"/>
  <c r="I53" i="8"/>
  <c r="H53" i="8"/>
  <c r="G53" i="8"/>
  <c r="G61" i="8" s="1"/>
  <c r="F53" i="8"/>
  <c r="F61" i="8" s="1"/>
  <c r="I48" i="8"/>
  <c r="H48" i="8"/>
  <c r="H51" i="8" s="1"/>
  <c r="G48" i="8"/>
  <c r="F48" i="8"/>
  <c r="F51" i="8" s="1"/>
  <c r="I41" i="8"/>
  <c r="H41" i="8"/>
  <c r="H46" i="8" s="1"/>
  <c r="G41" i="8"/>
  <c r="F41" i="8"/>
  <c r="I35" i="8"/>
  <c r="H35" i="8"/>
  <c r="G35" i="8"/>
  <c r="F35" i="8"/>
  <c r="G15" i="8"/>
  <c r="H15" i="8" s="1"/>
  <c r="I15" i="8" s="1"/>
  <c r="I20" i="8"/>
  <c r="H20" i="8"/>
  <c r="G20" i="8"/>
  <c r="F20" i="8"/>
  <c r="H156" i="2"/>
  <c r="H90" i="2"/>
  <c r="I134" i="2"/>
  <c r="J134" i="2" s="1"/>
  <c r="K134" i="2" s="1"/>
  <c r="I133" i="2"/>
  <c r="J133" i="2" s="1"/>
  <c r="K133" i="2" s="1"/>
  <c r="I132" i="2"/>
  <c r="J132" i="2" s="1"/>
  <c r="K132" i="2" s="1"/>
  <c r="E48" i="3"/>
  <c r="J48" i="3" s="1"/>
  <c r="I48" i="3"/>
  <c r="L48" i="3"/>
  <c r="K48" i="3"/>
  <c r="K81" i="3" s="1"/>
  <c r="E7" i="32"/>
  <c r="E49" i="3"/>
  <c r="E82" i="3" s="1"/>
  <c r="I49" i="3"/>
  <c r="L49" i="3"/>
  <c r="L82" i="3" s="1"/>
  <c r="K49" i="3"/>
  <c r="K82" i="3" s="1"/>
  <c r="K114" i="3" s="1"/>
  <c r="K146" i="3" s="1"/>
  <c r="E50" i="3"/>
  <c r="E83" i="3" s="1"/>
  <c r="I50" i="3"/>
  <c r="L50" i="3"/>
  <c r="L83" i="3" s="1"/>
  <c r="L115" i="3" s="1"/>
  <c r="L147" i="3" s="1"/>
  <c r="K50" i="3"/>
  <c r="K83" i="3" s="1"/>
  <c r="E51" i="3"/>
  <c r="I51" i="3"/>
  <c r="I84" i="3" s="1"/>
  <c r="I116" i="3" s="1"/>
  <c r="I148" i="3" s="1"/>
  <c r="L51" i="3"/>
  <c r="L84" i="3" s="1"/>
  <c r="K51" i="3"/>
  <c r="K84" i="3" s="1"/>
  <c r="K116" i="3" s="1"/>
  <c r="K148" i="3" s="1"/>
  <c r="E52" i="3"/>
  <c r="I52" i="3"/>
  <c r="L52" i="3"/>
  <c r="L85" i="3" s="1"/>
  <c r="L117" i="3" s="1"/>
  <c r="L149" i="3" s="1"/>
  <c r="K52" i="3"/>
  <c r="K85" i="3" s="1"/>
  <c r="E53" i="3"/>
  <c r="E54" i="3"/>
  <c r="E87" i="3" s="1"/>
  <c r="E55" i="3"/>
  <c r="E56" i="3"/>
  <c r="E57" i="3"/>
  <c r="E58" i="3"/>
  <c r="E59" i="3"/>
  <c r="E60" i="3"/>
  <c r="E61" i="3"/>
  <c r="E62" i="3"/>
  <c r="E63" i="3"/>
  <c r="E64" i="3"/>
  <c r="E65" i="3"/>
  <c r="E66" i="3"/>
  <c r="L47" i="3"/>
  <c r="M47" i="3" s="1"/>
  <c r="M48" i="3"/>
  <c r="M50" i="3"/>
  <c r="M16" i="3"/>
  <c r="D8" i="32"/>
  <c r="U16" i="3"/>
  <c r="V16" i="3"/>
  <c r="P17" i="3"/>
  <c r="M17" i="3"/>
  <c r="U17" i="3"/>
  <c r="V17" i="3"/>
  <c r="S18" i="3"/>
  <c r="M18" i="3"/>
  <c r="U18" i="3"/>
  <c r="V18" i="3"/>
  <c r="S19" i="3"/>
  <c r="M19" i="3"/>
  <c r="U19" i="3"/>
  <c r="V19" i="3" s="1"/>
  <c r="M20" i="3"/>
  <c r="U20" i="3"/>
  <c r="V20" i="3" s="1"/>
  <c r="S15" i="3"/>
  <c r="M15" i="3"/>
  <c r="M35" i="3" s="1"/>
  <c r="L53" i="3"/>
  <c r="L86" i="3" s="1"/>
  <c r="L54" i="3"/>
  <c r="L87" i="3" s="1"/>
  <c r="L55" i="3"/>
  <c r="L88" i="3" s="1"/>
  <c r="L56" i="3"/>
  <c r="L89" i="3" s="1"/>
  <c r="L57" i="3"/>
  <c r="L90" i="3" s="1"/>
  <c r="L58" i="3"/>
  <c r="L91" i="3" s="1"/>
  <c r="L59" i="3"/>
  <c r="L92" i="3" s="1"/>
  <c r="L60" i="3"/>
  <c r="L93" i="3" s="1"/>
  <c r="L61" i="3"/>
  <c r="L94" i="3" s="1"/>
  <c r="L62" i="3"/>
  <c r="L95" i="3" s="1"/>
  <c r="L63" i="3"/>
  <c r="L96" i="3" s="1"/>
  <c r="L64" i="3"/>
  <c r="L97" i="3" s="1"/>
  <c r="L65" i="3"/>
  <c r="L98" i="3" s="1"/>
  <c r="L66" i="3"/>
  <c r="L99" i="3" s="1"/>
  <c r="I34" i="2"/>
  <c r="J34" i="2" s="1"/>
  <c r="K34" i="2" s="1"/>
  <c r="I33" i="2"/>
  <c r="J33" i="2" s="1"/>
  <c r="F149" i="9"/>
  <c r="G34" i="6"/>
  <c r="H101" i="2" s="1"/>
  <c r="H34" i="6"/>
  <c r="I101" i="2" s="1"/>
  <c r="I34" i="6"/>
  <c r="J34" i="6"/>
  <c r="G36" i="6"/>
  <c r="H103" i="2" s="1"/>
  <c r="H36" i="6"/>
  <c r="I103" i="2" s="1"/>
  <c r="I36" i="6"/>
  <c r="J36" i="6"/>
  <c r="K103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6" i="6"/>
  <c r="F25" i="6"/>
  <c r="F34" i="6"/>
  <c r="F23" i="6"/>
  <c r="G23" i="6"/>
  <c r="H23" i="6"/>
  <c r="I23" i="6"/>
  <c r="J23" i="6"/>
  <c r="G25" i="6"/>
  <c r="H25" i="6"/>
  <c r="I25" i="6"/>
  <c r="J25" i="6"/>
  <c r="G28" i="6"/>
  <c r="H28" i="6"/>
  <c r="I28" i="6"/>
  <c r="J28" i="6"/>
  <c r="G38" i="8"/>
  <c r="H38" i="8" s="1"/>
  <c r="I38" i="8" s="1"/>
  <c r="G37" i="8"/>
  <c r="H37" i="8" s="1"/>
  <c r="I37" i="8" s="1"/>
  <c r="G36" i="8"/>
  <c r="H36" i="8" s="1"/>
  <c r="I36" i="8" s="1"/>
  <c r="G23" i="8"/>
  <c r="H23" i="8" s="1"/>
  <c r="I23" i="8" s="1"/>
  <c r="G22" i="8"/>
  <c r="H22" i="8" s="1"/>
  <c r="I22" i="8" s="1"/>
  <c r="G21" i="8"/>
  <c r="H21" i="8" s="1"/>
  <c r="I21" i="8" s="1"/>
  <c r="G17" i="8"/>
  <c r="H17" i="8" s="1"/>
  <c r="I17" i="8" s="1"/>
  <c r="G60" i="8"/>
  <c r="H60" i="8" s="1"/>
  <c r="I60" i="8" s="1"/>
  <c r="G59" i="8"/>
  <c r="H59" i="8"/>
  <c r="I59" i="8" s="1"/>
  <c r="G58" i="8"/>
  <c r="H58" i="8" s="1"/>
  <c r="I58" i="8" s="1"/>
  <c r="G57" i="8"/>
  <c r="H57" i="8" s="1"/>
  <c r="I57" i="8" s="1"/>
  <c r="G56" i="8"/>
  <c r="H56" i="8" s="1"/>
  <c r="I56" i="8" s="1"/>
  <c r="G55" i="8"/>
  <c r="H55" i="8" s="1"/>
  <c r="I55" i="8" s="1"/>
  <c r="G54" i="8"/>
  <c r="H54" i="8" s="1"/>
  <c r="G50" i="8"/>
  <c r="H50" i="8" s="1"/>
  <c r="G49" i="8"/>
  <c r="H49" i="8" s="1"/>
  <c r="G44" i="8"/>
  <c r="H44" i="8" s="1"/>
  <c r="I44" i="8" s="1"/>
  <c r="G45" i="8"/>
  <c r="H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D10" i="32"/>
  <c r="J48" i="6"/>
  <c r="I48" i="6"/>
  <c r="H48" i="6"/>
  <c r="G48" i="6"/>
  <c r="F48" i="6"/>
  <c r="F18" i="6"/>
  <c r="I15" i="2"/>
  <c r="J15" i="2"/>
  <c r="K15" i="2"/>
  <c r="H15" i="2"/>
  <c r="I14" i="2"/>
  <c r="J14" i="2"/>
  <c r="K14" i="2"/>
  <c r="H14" i="2"/>
  <c r="H26" i="2" s="1"/>
  <c r="G160" i="9"/>
  <c r="H160" i="9"/>
  <c r="I160" i="9"/>
  <c r="F160" i="9"/>
  <c r="G154" i="9"/>
  <c r="H154" i="9"/>
  <c r="I154" i="9"/>
  <c r="F154" i="9"/>
  <c r="G148" i="9"/>
  <c r="H148" i="9"/>
  <c r="I148" i="9"/>
  <c r="F148" i="9"/>
  <c r="G142" i="9"/>
  <c r="H142" i="9"/>
  <c r="I142" i="9"/>
  <c r="F142" i="9"/>
  <c r="F144" i="9" s="1"/>
  <c r="G134" i="9"/>
  <c r="G136" i="9" s="1"/>
  <c r="H134" i="9"/>
  <c r="I134" i="9"/>
  <c r="F134" i="9"/>
  <c r="F136" i="9" s="1"/>
  <c r="G128" i="9"/>
  <c r="G130" i="9" s="1"/>
  <c r="H128" i="9"/>
  <c r="I128" i="9"/>
  <c r="F128" i="9"/>
  <c r="G121" i="9"/>
  <c r="G124" i="9" s="1"/>
  <c r="H121" i="9"/>
  <c r="I121" i="9"/>
  <c r="F121" i="9"/>
  <c r="F124" i="9" s="1"/>
  <c r="G115" i="9"/>
  <c r="G117" i="9" s="1"/>
  <c r="H115" i="9"/>
  <c r="I115" i="9"/>
  <c r="F115" i="9"/>
  <c r="F117" i="9" s="1"/>
  <c r="G109" i="9"/>
  <c r="H109" i="9"/>
  <c r="I109" i="9"/>
  <c r="F109" i="9"/>
  <c r="G102" i="9"/>
  <c r="G105" i="9" s="1"/>
  <c r="H102" i="9"/>
  <c r="I102" i="9"/>
  <c r="F102" i="9"/>
  <c r="F105" i="9" s="1"/>
  <c r="G95" i="9"/>
  <c r="H95" i="9"/>
  <c r="I95" i="9"/>
  <c r="F95" i="9"/>
  <c r="F98" i="9" s="1"/>
  <c r="G82" i="9"/>
  <c r="H82" i="9"/>
  <c r="I82" i="9"/>
  <c r="F82" i="9"/>
  <c r="G76" i="9"/>
  <c r="H76" i="9"/>
  <c r="I76" i="9"/>
  <c r="F76" i="9"/>
  <c r="G70" i="9"/>
  <c r="H70" i="9"/>
  <c r="I70" i="9"/>
  <c r="F70" i="9"/>
  <c r="G64" i="9"/>
  <c r="H64" i="9"/>
  <c r="I64" i="9"/>
  <c r="F64" i="9"/>
  <c r="G58" i="9"/>
  <c r="H58" i="9"/>
  <c r="I58" i="9"/>
  <c r="F58" i="9"/>
  <c r="G37" i="9"/>
  <c r="H37" i="9"/>
  <c r="I37" i="9"/>
  <c r="G38" i="9"/>
  <c r="H38" i="9"/>
  <c r="I38" i="9"/>
  <c r="G39" i="9"/>
  <c r="H39" i="9"/>
  <c r="I39" i="9"/>
  <c r="F38" i="9"/>
  <c r="F39" i="9"/>
  <c r="F37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F23" i="9"/>
  <c r="F24" i="9"/>
  <c r="F25" i="9"/>
  <c r="F26" i="9"/>
  <c r="F27" i="9"/>
  <c r="F28" i="9"/>
  <c r="F29" i="9"/>
  <c r="F30" i="9"/>
  <c r="F31" i="9"/>
  <c r="F32" i="9"/>
  <c r="F33" i="9"/>
  <c r="F22" i="9"/>
  <c r="G19" i="9"/>
  <c r="H19" i="9"/>
  <c r="I19" i="9"/>
  <c r="F19" i="9"/>
  <c r="G18" i="9"/>
  <c r="H18" i="9"/>
  <c r="I18" i="9"/>
  <c r="F18" i="9"/>
  <c r="G12" i="9"/>
  <c r="H12" i="9"/>
  <c r="I12" i="9"/>
  <c r="G13" i="9"/>
  <c r="H13" i="9"/>
  <c r="I13" i="9"/>
  <c r="G14" i="9"/>
  <c r="H14" i="9"/>
  <c r="I14" i="9"/>
  <c r="G15" i="9"/>
  <c r="H15" i="9"/>
  <c r="I15" i="9"/>
  <c r="F15" i="9"/>
  <c r="F14" i="9"/>
  <c r="F13" i="9"/>
  <c r="F12" i="9"/>
  <c r="G51" i="8"/>
  <c r="F14" i="8"/>
  <c r="G14" i="8"/>
  <c r="H14" i="8"/>
  <c r="I14" i="8"/>
  <c r="H36" i="7"/>
  <c r="H35" i="7"/>
  <c r="K53" i="3"/>
  <c r="M53" i="3" s="1"/>
  <c r="K54" i="3"/>
  <c r="M54" i="3" s="1"/>
  <c r="K55" i="3"/>
  <c r="K56" i="3"/>
  <c r="M56" i="3" s="1"/>
  <c r="K57" i="3"/>
  <c r="M57" i="3" s="1"/>
  <c r="K58" i="3"/>
  <c r="M58" i="3" s="1"/>
  <c r="K59" i="3"/>
  <c r="M59" i="3" s="1"/>
  <c r="K60" i="3"/>
  <c r="K61" i="3"/>
  <c r="M61" i="3" s="1"/>
  <c r="K62" i="3"/>
  <c r="M62" i="3" s="1"/>
  <c r="K63" i="3"/>
  <c r="M63" i="3" s="1"/>
  <c r="K64" i="3"/>
  <c r="M64" i="3" s="1"/>
  <c r="K65" i="3"/>
  <c r="M65" i="3" s="1"/>
  <c r="K66" i="3"/>
  <c r="M66" i="3" s="1"/>
  <c r="J103" i="2"/>
  <c r="I114" i="2"/>
  <c r="J114" i="2"/>
  <c r="K114" i="2"/>
  <c r="H114" i="2"/>
  <c r="H125" i="2" s="1"/>
  <c r="H25" i="7" s="1"/>
  <c r="H18" i="7"/>
  <c r="I45" i="2"/>
  <c r="H17" i="7"/>
  <c r="H16" i="7"/>
  <c r="H38" i="2"/>
  <c r="H15" i="7" s="1"/>
  <c r="H22" i="7"/>
  <c r="H26" i="7"/>
  <c r="I73" i="2"/>
  <c r="J73" i="2" s="1"/>
  <c r="K73" i="2" s="1"/>
  <c r="I69" i="2"/>
  <c r="J69" i="2" s="1"/>
  <c r="K69" i="2" s="1"/>
  <c r="I70" i="2"/>
  <c r="I71" i="2"/>
  <c r="J71" i="2" s="1"/>
  <c r="K71" i="2" s="1"/>
  <c r="I72" i="2"/>
  <c r="J72" i="2" s="1"/>
  <c r="K72" i="2" s="1"/>
  <c r="I74" i="2"/>
  <c r="J74" i="2" s="1"/>
  <c r="K74" i="2" s="1"/>
  <c r="I75" i="2"/>
  <c r="J75" i="2" s="1"/>
  <c r="K75" i="2" s="1"/>
  <c r="I76" i="2"/>
  <c r="J76" i="2" s="1"/>
  <c r="K76" i="2" s="1"/>
  <c r="I77" i="2"/>
  <c r="J77" i="2" s="1"/>
  <c r="K77" i="2" s="1"/>
  <c r="I78" i="2"/>
  <c r="J78" i="2" s="1"/>
  <c r="K78" i="2" s="1"/>
  <c r="I79" i="2"/>
  <c r="J79" i="2" s="1"/>
  <c r="K79" i="2" s="1"/>
  <c r="I80" i="2"/>
  <c r="I81" i="2"/>
  <c r="J81" i="2" s="1"/>
  <c r="K81" i="2" s="1"/>
  <c r="I82" i="2"/>
  <c r="J82" i="2" s="1"/>
  <c r="K82" i="2" s="1"/>
  <c r="I83" i="2"/>
  <c r="J83" i="2" s="1"/>
  <c r="K83" i="2" s="1"/>
  <c r="I84" i="2"/>
  <c r="J84" i="2" s="1"/>
  <c r="K84" i="2" s="1"/>
  <c r="I85" i="2"/>
  <c r="J85" i="2" s="1"/>
  <c r="K85" i="2" s="1"/>
  <c r="I86" i="2"/>
  <c r="J86" i="2" s="1"/>
  <c r="K86" i="2" s="1"/>
  <c r="I87" i="2"/>
  <c r="J87" i="2" s="1"/>
  <c r="K87" i="2" s="1"/>
  <c r="I88" i="2"/>
  <c r="J88" i="2" s="1"/>
  <c r="K88" i="2" s="1"/>
  <c r="I115" i="2"/>
  <c r="J115" i="2" s="1"/>
  <c r="K115" i="2" s="1"/>
  <c r="I116" i="2"/>
  <c r="J116" i="2" s="1"/>
  <c r="I117" i="2"/>
  <c r="J117" i="2" s="1"/>
  <c r="K117" i="2" s="1"/>
  <c r="I118" i="2"/>
  <c r="J118" i="2" s="1"/>
  <c r="K118" i="2" s="1"/>
  <c r="I119" i="2"/>
  <c r="J119" i="2" s="1"/>
  <c r="K119" i="2" s="1"/>
  <c r="I120" i="2"/>
  <c r="J120" i="2" s="1"/>
  <c r="K120" i="2" s="1"/>
  <c r="I121" i="2"/>
  <c r="J121" i="2" s="1"/>
  <c r="K121" i="2" s="1"/>
  <c r="I122" i="2"/>
  <c r="J122" i="2" s="1"/>
  <c r="K122" i="2" s="1"/>
  <c r="I123" i="2"/>
  <c r="J123" i="2" s="1"/>
  <c r="I131" i="2"/>
  <c r="J131" i="2" s="1"/>
  <c r="I135" i="2"/>
  <c r="J135" i="2" s="1"/>
  <c r="K135" i="2" s="1"/>
  <c r="I136" i="2"/>
  <c r="J136" i="2" s="1"/>
  <c r="K136" i="2" s="1"/>
  <c r="I137" i="2"/>
  <c r="J137" i="2" s="1"/>
  <c r="K137" i="2" s="1"/>
  <c r="I138" i="2"/>
  <c r="J138" i="2" s="1"/>
  <c r="K138" i="2" s="1"/>
  <c r="I139" i="2"/>
  <c r="J139" i="2" s="1"/>
  <c r="K139" i="2" s="1"/>
  <c r="I140" i="2"/>
  <c r="J140" i="2" s="1"/>
  <c r="K140" i="2" s="1"/>
  <c r="I141" i="2"/>
  <c r="J141" i="2" s="1"/>
  <c r="K141" i="2" s="1"/>
  <c r="I142" i="2"/>
  <c r="J142" i="2" s="1"/>
  <c r="K142" i="2" s="1"/>
  <c r="I143" i="2"/>
  <c r="J143" i="2" s="1"/>
  <c r="K143" i="2" s="1"/>
  <c r="I144" i="2"/>
  <c r="J144" i="2" s="1"/>
  <c r="K144" i="2" s="1"/>
  <c r="I145" i="2"/>
  <c r="J145" i="2" s="1"/>
  <c r="K145" i="2" s="1"/>
  <c r="I146" i="2"/>
  <c r="J146" i="2" s="1"/>
  <c r="K146" i="2" s="1"/>
  <c r="I147" i="2"/>
  <c r="J147" i="2" s="1"/>
  <c r="K147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 s="1"/>
  <c r="K154" i="2" s="1"/>
  <c r="I32" i="2"/>
  <c r="J32" i="2" s="1"/>
  <c r="K32" i="2" s="1"/>
  <c r="I35" i="2"/>
  <c r="J35" i="2" s="1"/>
  <c r="K35" i="2" s="1"/>
  <c r="I36" i="2"/>
  <c r="J36" i="2" s="1"/>
  <c r="K36" i="2" s="1"/>
  <c r="I46" i="2"/>
  <c r="J46" i="2" s="1"/>
  <c r="I47" i="2"/>
  <c r="G71" i="9" s="1"/>
  <c r="I51" i="2"/>
  <c r="J51" i="2" s="1"/>
  <c r="K51" i="2" s="1"/>
  <c r="I52" i="2"/>
  <c r="J52" i="2" s="1"/>
  <c r="K52" i="2" s="1"/>
  <c r="I171" i="2"/>
  <c r="J171" i="2" s="1"/>
  <c r="I172" i="2"/>
  <c r="J172" i="2" s="1"/>
  <c r="K172" i="2" s="1"/>
  <c r="K36" i="7" s="1"/>
  <c r="J80" i="2"/>
  <c r="K80" i="2" s="1"/>
  <c r="F71" i="9"/>
  <c r="F72" i="9" s="1"/>
  <c r="F65" i="9"/>
  <c r="H174" i="2"/>
  <c r="I66" i="3"/>
  <c r="I99" i="3" s="1"/>
  <c r="I65" i="3"/>
  <c r="I98" i="3" s="1"/>
  <c r="I64" i="3"/>
  <c r="I97" i="3" s="1"/>
  <c r="I63" i="3"/>
  <c r="I96" i="3" s="1"/>
  <c r="I62" i="3"/>
  <c r="I95" i="3" s="1"/>
  <c r="I61" i="3"/>
  <c r="I94" i="3" s="1"/>
  <c r="I60" i="3"/>
  <c r="I93" i="3" s="1"/>
  <c r="I59" i="3"/>
  <c r="I92" i="3" s="1"/>
  <c r="I58" i="3"/>
  <c r="I91" i="3" s="1"/>
  <c r="I57" i="3"/>
  <c r="I90" i="3" s="1"/>
  <c r="I56" i="3"/>
  <c r="I89" i="3" s="1"/>
  <c r="I55" i="3"/>
  <c r="I88" i="3" s="1"/>
  <c r="I120" i="3" s="1"/>
  <c r="I152" i="3" s="1"/>
  <c r="I54" i="3"/>
  <c r="I87" i="3" s="1"/>
  <c r="I53" i="3"/>
  <c r="I86" i="3" s="1"/>
  <c r="I118" i="3" s="1"/>
  <c r="I150" i="3" s="1"/>
  <c r="G161" i="9"/>
  <c r="F161" i="9"/>
  <c r="I161" i="9"/>
  <c r="H161" i="9"/>
  <c r="H162" i="9" s="1"/>
  <c r="G96" i="9"/>
  <c r="H96" i="9" s="1"/>
  <c r="G116" i="9"/>
  <c r="H116" i="9" s="1"/>
  <c r="G103" i="9"/>
  <c r="H103" i="9" s="1"/>
  <c r="I103" i="9" s="1"/>
  <c r="G97" i="9"/>
  <c r="H97" i="9" s="1"/>
  <c r="F130" i="9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K87" i="3"/>
  <c r="K119" i="3" s="1"/>
  <c r="K151" i="3" s="1"/>
  <c r="K88" i="3"/>
  <c r="K120" i="3" s="1"/>
  <c r="K152" i="3" s="1"/>
  <c r="K91" i="3"/>
  <c r="K95" i="3"/>
  <c r="K127" i="3" s="1"/>
  <c r="K96" i="3"/>
  <c r="K128" i="3" s="1"/>
  <c r="K160" i="3" s="1"/>
  <c r="K97" i="3"/>
  <c r="K129" i="3" s="1"/>
  <c r="K161" i="3" s="1"/>
  <c r="K99" i="3"/>
  <c r="K131" i="3" s="1"/>
  <c r="K163" i="3" s="1"/>
  <c r="K92" i="3"/>
  <c r="K124" i="3" s="1"/>
  <c r="K156" i="3" s="1"/>
  <c r="K93" i="3"/>
  <c r="K125" i="3" s="1"/>
  <c r="K157" i="3" s="1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/>
  <c r="L41" i="5"/>
  <c r="O41" i="5"/>
  <c r="L42" i="5"/>
  <c r="O42" i="5"/>
  <c r="L43" i="5"/>
  <c r="O43" i="5"/>
  <c r="L44" i="5"/>
  <c r="O44" i="5"/>
  <c r="L45" i="5"/>
  <c r="O45" i="5"/>
  <c r="L46" i="5"/>
  <c r="O46" i="5"/>
  <c r="L47" i="5"/>
  <c r="O47" i="5"/>
  <c r="L48" i="5"/>
  <c r="O48" i="5"/>
  <c r="L49" i="5"/>
  <c r="O49" i="5"/>
  <c r="L50" i="5"/>
  <c r="O50" i="5"/>
  <c r="L51" i="5"/>
  <c r="O51" i="5"/>
  <c r="L52" i="5"/>
  <c r="O52" i="5"/>
  <c r="L53" i="5"/>
  <c r="O53" i="5"/>
  <c r="L54" i="5"/>
  <c r="O54" i="5"/>
  <c r="L55" i="5"/>
  <c r="O55" i="5"/>
  <c r="L56" i="5"/>
  <c r="O56" i="5"/>
  <c r="L57" i="5"/>
  <c r="O57" i="5"/>
  <c r="L58" i="5"/>
  <c r="O58" i="5"/>
  <c r="L59" i="5"/>
  <c r="O59" i="5"/>
  <c r="L60" i="5"/>
  <c r="O60" i="5"/>
  <c r="L61" i="5"/>
  <c r="O61" i="5"/>
  <c r="L62" i="5"/>
  <c r="O62" i="5"/>
  <c r="L63" i="5"/>
  <c r="O63" i="5"/>
  <c r="L64" i="5"/>
  <c r="O64" i="5"/>
  <c r="L65" i="5"/>
  <c r="O65" i="5"/>
  <c r="L66" i="5"/>
  <c r="O66" i="5"/>
  <c r="L67" i="5"/>
  <c r="O67" i="5"/>
  <c r="L68" i="5"/>
  <c r="O68" i="5"/>
  <c r="L69" i="5"/>
  <c r="O69" i="5"/>
  <c r="L70" i="5"/>
  <c r="O70" i="5"/>
  <c r="L71" i="5"/>
  <c r="O71" i="5"/>
  <c r="L72" i="5"/>
  <c r="O72" i="5"/>
  <c r="L73" i="5"/>
  <c r="O73" i="5"/>
  <c r="L74" i="5"/>
  <c r="O74" i="5"/>
  <c r="L75" i="5"/>
  <c r="O75" i="5"/>
  <c r="L76" i="5"/>
  <c r="O76" i="5"/>
  <c r="L77" i="5"/>
  <c r="O77" i="5"/>
  <c r="L78" i="5"/>
  <c r="O78" i="5"/>
  <c r="L79" i="5"/>
  <c r="O79" i="5"/>
  <c r="L80" i="5"/>
  <c r="O80" i="5"/>
  <c r="L81" i="5"/>
  <c r="O81" i="5"/>
  <c r="L82" i="5"/>
  <c r="O82" i="5"/>
  <c r="L83" i="5"/>
  <c r="O83" i="5"/>
  <c r="L84" i="5"/>
  <c r="O84" i="5"/>
  <c r="L85" i="5"/>
  <c r="O85" i="5"/>
  <c r="L86" i="5"/>
  <c r="O86" i="5"/>
  <c r="L87" i="5"/>
  <c r="O87" i="5"/>
  <c r="L88" i="5"/>
  <c r="O88" i="5"/>
  <c r="L89" i="5"/>
  <c r="O89" i="5"/>
  <c r="L90" i="5"/>
  <c r="O90" i="5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E137" i="3"/>
  <c r="E136" i="3"/>
  <c r="E105" i="3"/>
  <c r="E104" i="3"/>
  <c r="E73" i="3"/>
  <c r="E72" i="3"/>
  <c r="E40" i="3"/>
  <c r="E39" i="3"/>
  <c r="E8" i="3"/>
  <c r="E7" i="3"/>
  <c r="U21" i="3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V33" i="3" s="1"/>
  <c r="U34" i="3"/>
  <c r="V34" i="3" s="1"/>
  <c r="J66" i="3"/>
  <c r="S66" i="3" s="1"/>
  <c r="J65" i="3"/>
  <c r="P65" i="3" s="1"/>
  <c r="J64" i="3"/>
  <c r="J63" i="3"/>
  <c r="P63" i="3"/>
  <c r="J62" i="3"/>
  <c r="J61" i="3"/>
  <c r="J60" i="3"/>
  <c r="J59" i="3"/>
  <c r="J58" i="3"/>
  <c r="J57" i="3"/>
  <c r="J56" i="3"/>
  <c r="J55" i="3"/>
  <c r="J54" i="3"/>
  <c r="S54" i="3" s="1"/>
  <c r="J53" i="3"/>
  <c r="F66" i="3"/>
  <c r="D66" i="3"/>
  <c r="F65" i="3"/>
  <c r="F98" i="3" s="1"/>
  <c r="F130" i="3" s="1"/>
  <c r="F162" i="3" s="1"/>
  <c r="D65" i="3"/>
  <c r="F64" i="3"/>
  <c r="D64" i="3"/>
  <c r="F63" i="3"/>
  <c r="F96" i="3" s="1"/>
  <c r="F128" i="3" s="1"/>
  <c r="F160" i="3" s="1"/>
  <c r="D63" i="3"/>
  <c r="F62" i="3"/>
  <c r="D62" i="3"/>
  <c r="F61" i="3"/>
  <c r="F94" i="3" s="1"/>
  <c r="F126" i="3" s="1"/>
  <c r="F158" i="3" s="1"/>
  <c r="D61" i="3"/>
  <c r="F60" i="3"/>
  <c r="D60" i="3"/>
  <c r="F59" i="3"/>
  <c r="F92" i="3" s="1"/>
  <c r="F124" i="3" s="1"/>
  <c r="F156" i="3" s="1"/>
  <c r="D59" i="3"/>
  <c r="F58" i="3"/>
  <c r="F91" i="3" s="1"/>
  <c r="F123" i="3" s="1"/>
  <c r="F155" i="3" s="1"/>
  <c r="D58" i="3"/>
  <c r="D91" i="3" s="1"/>
  <c r="D123" i="3" s="1"/>
  <c r="D155" i="3" s="1"/>
  <c r="F57" i="3"/>
  <c r="F90" i="3" s="1"/>
  <c r="F122" i="3" s="1"/>
  <c r="F154" i="3" s="1"/>
  <c r="D57" i="3"/>
  <c r="F56" i="3"/>
  <c r="F89" i="3" s="1"/>
  <c r="F121" i="3" s="1"/>
  <c r="F153" i="3" s="1"/>
  <c r="D56" i="3"/>
  <c r="D89" i="3" s="1"/>
  <c r="D121" i="3" s="1"/>
  <c r="D153" i="3" s="1"/>
  <c r="F55" i="3"/>
  <c r="D55" i="3"/>
  <c r="F54" i="3"/>
  <c r="D54" i="3"/>
  <c r="D87" i="3" s="1"/>
  <c r="D119" i="3" s="1"/>
  <c r="D151" i="3" s="1"/>
  <c r="F53" i="3"/>
  <c r="F86" i="3" s="1"/>
  <c r="F118" i="3" s="1"/>
  <c r="F150" i="3" s="1"/>
  <c r="D53" i="3"/>
  <c r="F52" i="3"/>
  <c r="F85" i="3" s="1"/>
  <c r="F117" i="3" s="1"/>
  <c r="F149" i="3" s="1"/>
  <c r="D52" i="3"/>
  <c r="D85" i="3"/>
  <c r="D117" i="3" s="1"/>
  <c r="D149" i="3" s="1"/>
  <c r="F51" i="3"/>
  <c r="F84" i="3" s="1"/>
  <c r="F116" i="3" s="1"/>
  <c r="F148" i="3" s="1"/>
  <c r="D51" i="3"/>
  <c r="D84" i="3" s="1"/>
  <c r="D116" i="3" s="1"/>
  <c r="D148" i="3" s="1"/>
  <c r="F50" i="3"/>
  <c r="F83" i="3" s="1"/>
  <c r="F115" i="3" s="1"/>
  <c r="F147" i="3" s="1"/>
  <c r="D50" i="3"/>
  <c r="D83" i="3" s="1"/>
  <c r="D115" i="3" s="1"/>
  <c r="D147" i="3" s="1"/>
  <c r="F49" i="3"/>
  <c r="F82" i="3" s="1"/>
  <c r="F114" i="3" s="1"/>
  <c r="F146" i="3" s="1"/>
  <c r="D49" i="3"/>
  <c r="D82" i="3" s="1"/>
  <c r="D114" i="3" s="1"/>
  <c r="D146" i="3" s="1"/>
  <c r="F48" i="3"/>
  <c r="F81" i="3" s="1"/>
  <c r="F113" i="3" s="1"/>
  <c r="F145" i="3" s="1"/>
  <c r="D48" i="3"/>
  <c r="D81" i="3" s="1"/>
  <c r="D113" i="3" s="1"/>
  <c r="D145" i="3" s="1"/>
  <c r="F47" i="3"/>
  <c r="F80" i="3" s="1"/>
  <c r="F112" i="3" s="1"/>
  <c r="F144" i="3" s="1"/>
  <c r="D47" i="3"/>
  <c r="D80" i="3" s="1"/>
  <c r="D112" i="3" s="1"/>
  <c r="D144" i="3" s="1"/>
  <c r="P33" i="3"/>
  <c r="R33" i="3" s="1"/>
  <c r="P31" i="3"/>
  <c r="R31" i="3" s="1"/>
  <c r="P29" i="3"/>
  <c r="R29" i="3" s="1"/>
  <c r="P25" i="3"/>
  <c r="P24" i="3"/>
  <c r="P23" i="3"/>
  <c r="P22" i="3"/>
  <c r="P21" i="3"/>
  <c r="K67" i="3"/>
  <c r="K35" i="3"/>
  <c r="D86" i="3"/>
  <c r="D118" i="3" s="1"/>
  <c r="D150" i="3" s="1"/>
  <c r="F87" i="3"/>
  <c r="F119" i="3" s="1"/>
  <c r="F151" i="3" s="1"/>
  <c r="D88" i="3"/>
  <c r="D120" i="3" s="1"/>
  <c r="D152" i="3" s="1"/>
  <c r="F88" i="3"/>
  <c r="F120" i="3" s="1"/>
  <c r="F152" i="3" s="1"/>
  <c r="D90" i="3"/>
  <c r="D122" i="3" s="1"/>
  <c r="D154" i="3" s="1"/>
  <c r="D92" i="3"/>
  <c r="D124" i="3" s="1"/>
  <c r="D156" i="3" s="1"/>
  <c r="D93" i="3"/>
  <c r="D125" i="3" s="1"/>
  <c r="D157" i="3" s="1"/>
  <c r="F93" i="3"/>
  <c r="F125" i="3" s="1"/>
  <c r="F157" i="3" s="1"/>
  <c r="D94" i="3"/>
  <c r="D126" i="3" s="1"/>
  <c r="D158" i="3" s="1"/>
  <c r="D95" i="3"/>
  <c r="D127" i="3" s="1"/>
  <c r="D159" i="3" s="1"/>
  <c r="F95" i="3"/>
  <c r="F127" i="3" s="1"/>
  <c r="F159" i="3" s="1"/>
  <c r="D96" i="3"/>
  <c r="D128" i="3" s="1"/>
  <c r="D160" i="3" s="1"/>
  <c r="D97" i="3"/>
  <c r="D129" i="3" s="1"/>
  <c r="D161" i="3" s="1"/>
  <c r="F97" i="3"/>
  <c r="F129" i="3" s="1"/>
  <c r="F161" i="3" s="1"/>
  <c r="D98" i="3"/>
  <c r="D130" i="3" s="1"/>
  <c r="D162" i="3" s="1"/>
  <c r="D99" i="3"/>
  <c r="D131" i="3" s="1"/>
  <c r="D163" i="3" s="1"/>
  <c r="F99" i="3"/>
  <c r="F131" i="3" s="1"/>
  <c r="F163" i="3" s="1"/>
  <c r="L35" i="3"/>
  <c r="E9" i="32"/>
  <c r="F42" i="8"/>
  <c r="K98" i="3"/>
  <c r="K130" i="3" s="1"/>
  <c r="K94" i="3"/>
  <c r="K126" i="3" s="1"/>
  <c r="K158" i="3" s="1"/>
  <c r="K90" i="3"/>
  <c r="K122" i="3" s="1"/>
  <c r="K86" i="3"/>
  <c r="K118" i="3" s="1"/>
  <c r="J45" i="2"/>
  <c r="J17" i="7" s="1"/>
  <c r="J70" i="2"/>
  <c r="K70" i="2" s="1"/>
  <c r="H42" i="8"/>
  <c r="I96" i="9"/>
  <c r="G65" i="9"/>
  <c r="K116" i="2"/>
  <c r="I36" i="7"/>
  <c r="K123" i="3"/>
  <c r="K155" i="3" s="1"/>
  <c r="J101" i="2"/>
  <c r="K101" i="2"/>
  <c r="P16" i="3"/>
  <c r="L81" i="3"/>
  <c r="L113" i="3" s="1"/>
  <c r="L145" i="3" s="1"/>
  <c r="P34" i="3"/>
  <c r="J50" i="3"/>
  <c r="N14" i="5"/>
  <c r="F25" i="8"/>
  <c r="I42" i="8"/>
  <c r="G42" i="8"/>
  <c r="J52" i="3"/>
  <c r="S52" i="3" s="1"/>
  <c r="P15" i="3"/>
  <c r="P20" i="3"/>
  <c r="S17" i="3"/>
  <c r="J51" i="3"/>
  <c r="I83" i="3"/>
  <c r="I115" i="3" s="1"/>
  <c r="E99" i="3"/>
  <c r="E131" i="3" s="1"/>
  <c r="S55" i="3"/>
  <c r="M91" i="3"/>
  <c r="S16" i="3"/>
  <c r="I85" i="3"/>
  <c r="I117" i="3" s="1"/>
  <c r="I149" i="3" s="1"/>
  <c r="P19" i="3"/>
  <c r="P18" i="3"/>
  <c r="S20" i="3"/>
  <c r="I49" i="8"/>
  <c r="S63" i="3"/>
  <c r="L123" i="3"/>
  <c r="L155" i="3" s="1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S56" i="3"/>
  <c r="P56" i="3"/>
  <c r="K115" i="3"/>
  <c r="M115" i="3" s="1"/>
  <c r="M83" i="3"/>
  <c r="L116" i="3"/>
  <c r="M84" i="3"/>
  <c r="M55" i="3"/>
  <c r="M51" i="3"/>
  <c r="K89" i="3"/>
  <c r="K121" i="3" s="1"/>
  <c r="K153" i="3" s="1"/>
  <c r="I50" i="8"/>
  <c r="I51" i="8" s="1"/>
  <c r="I45" i="8"/>
  <c r="I46" i="8" s="1"/>
  <c r="I54" i="8"/>
  <c r="Q145" i="3"/>
  <c r="Q149" i="3"/>
  <c r="Q153" i="3"/>
  <c r="Q157" i="3"/>
  <c r="Q161" i="3"/>
  <c r="Q144" i="3"/>
  <c r="Q148" i="3"/>
  <c r="Q152" i="3"/>
  <c r="Q156" i="3"/>
  <c r="Q160" i="3"/>
  <c r="Q147" i="3"/>
  <c r="Q151" i="3"/>
  <c r="Q155" i="3"/>
  <c r="Q159" i="3"/>
  <c r="Q163" i="3"/>
  <c r="Q146" i="3"/>
  <c r="Q150" i="3"/>
  <c r="Q154" i="3"/>
  <c r="Q158" i="3"/>
  <c r="Q16" i="3"/>
  <c r="R16" i="3" s="1"/>
  <c r="Q20" i="3"/>
  <c r="Q24" i="3"/>
  <c r="R24" i="3" s="1"/>
  <c r="Q28" i="3"/>
  <c r="Q32" i="3"/>
  <c r="Q15" i="3"/>
  <c r="Q19" i="3"/>
  <c r="R19" i="3" s="1"/>
  <c r="Q23" i="3"/>
  <c r="R23" i="3" s="1"/>
  <c r="Q27" i="3"/>
  <c r="Q31" i="3"/>
  <c r="Q18" i="3"/>
  <c r="Q22" i="3"/>
  <c r="R22" i="3" s="1"/>
  <c r="Q26" i="3"/>
  <c r="Q30" i="3"/>
  <c r="Q34" i="3"/>
  <c r="Q17" i="3"/>
  <c r="R17" i="3" s="1"/>
  <c r="Q21" i="3"/>
  <c r="R21" i="3" s="1"/>
  <c r="Q25" i="3"/>
  <c r="Q29" i="3"/>
  <c r="G131" i="3"/>
  <c r="U131" i="3" s="1"/>
  <c r="V131" i="3" s="1"/>
  <c r="U99" i="3"/>
  <c r="L80" i="3"/>
  <c r="K117" i="3"/>
  <c r="M117" i="3" s="1"/>
  <c r="M85" i="3"/>
  <c r="G130" i="3"/>
  <c r="G162" i="3" s="1"/>
  <c r="U162" i="3" s="1"/>
  <c r="V162" i="3" s="1"/>
  <c r="U98" i="3"/>
  <c r="L118" i="3"/>
  <c r="M118" i="3" s="1"/>
  <c r="M86" i="3"/>
  <c r="G123" i="3"/>
  <c r="G155" i="3" s="1"/>
  <c r="U155" i="3" s="1"/>
  <c r="V155" i="3" s="1"/>
  <c r="U91" i="3"/>
  <c r="I147" i="3"/>
  <c r="K162" i="3"/>
  <c r="L114" i="3"/>
  <c r="L146" i="3" s="1"/>
  <c r="M146" i="3" s="1"/>
  <c r="G119" i="3"/>
  <c r="G151" i="3" s="1"/>
  <c r="U151" i="3" s="1"/>
  <c r="V151" i="3" s="1"/>
  <c r="U87" i="3"/>
  <c r="G126" i="3"/>
  <c r="U94" i="3"/>
  <c r="U130" i="3"/>
  <c r="V130" i="3" s="1"/>
  <c r="G127" i="3"/>
  <c r="U127" i="3" s="1"/>
  <c r="V127" i="3" s="1"/>
  <c r="U95" i="3"/>
  <c r="K150" i="3"/>
  <c r="M88" i="3"/>
  <c r="L120" i="3"/>
  <c r="L152" i="3" s="1"/>
  <c r="M152" i="3" s="1"/>
  <c r="G128" i="3"/>
  <c r="G160" i="3" s="1"/>
  <c r="U160" i="3" s="1"/>
  <c r="V160" i="3" s="1"/>
  <c r="U96" i="3"/>
  <c r="G124" i="3"/>
  <c r="G156" i="3" s="1"/>
  <c r="U156" i="3" s="1"/>
  <c r="V156" i="3" s="1"/>
  <c r="U92" i="3"/>
  <c r="G118" i="3"/>
  <c r="U86" i="3"/>
  <c r="K123" i="2"/>
  <c r="K33" i="2"/>
  <c r="G129" i="3"/>
  <c r="U129" i="3" s="1"/>
  <c r="V129" i="3" s="1"/>
  <c r="U97" i="3"/>
  <c r="G121" i="3"/>
  <c r="U121" i="3" s="1"/>
  <c r="V121" i="3" s="1"/>
  <c r="U89" i="3"/>
  <c r="G114" i="3"/>
  <c r="G146" i="3" s="1"/>
  <c r="U146" i="3" s="1"/>
  <c r="V146" i="3" s="1"/>
  <c r="U82" i="3"/>
  <c r="G125" i="3"/>
  <c r="G157" i="3" s="1"/>
  <c r="U157" i="3" s="1"/>
  <c r="V157" i="3" s="1"/>
  <c r="U93" i="3"/>
  <c r="G117" i="3"/>
  <c r="G149" i="3" s="1"/>
  <c r="U149" i="3" s="1"/>
  <c r="V149" i="3" s="1"/>
  <c r="U85" i="3"/>
  <c r="U80" i="3"/>
  <c r="G112" i="3"/>
  <c r="U112" i="3" s="1"/>
  <c r="V112" i="3" s="1"/>
  <c r="V21" i="3"/>
  <c r="U128" i="3"/>
  <c r="V128" i="3" s="1"/>
  <c r="G113" i="3"/>
  <c r="G145" i="3" s="1"/>
  <c r="U145" i="3" s="1"/>
  <c r="V145" i="3" s="1"/>
  <c r="M52" i="3"/>
  <c r="L148" i="3"/>
  <c r="M148" i="3" s="1"/>
  <c r="M116" i="3"/>
  <c r="L112" i="3"/>
  <c r="L144" i="3" s="1"/>
  <c r="L150" i="3"/>
  <c r="M120" i="3"/>
  <c r="G150" i="3"/>
  <c r="U150" i="3" s="1"/>
  <c r="V150" i="3" s="1"/>
  <c r="U118" i="3"/>
  <c r="V118" i="3" s="1"/>
  <c r="U126" i="3"/>
  <c r="V126" i="3" s="1"/>
  <c r="G158" i="3"/>
  <c r="U158" i="3" s="1"/>
  <c r="V158" i="3" s="1"/>
  <c r="G144" i="3"/>
  <c r="U144" i="3" s="1"/>
  <c r="U125" i="3"/>
  <c r="V125" i="3" s="1"/>
  <c r="G153" i="3"/>
  <c r="U153" i="3" s="1"/>
  <c r="V153" i="3" s="1"/>
  <c r="G161" i="3"/>
  <c r="U161" i="3" s="1"/>
  <c r="V161" i="3" s="1"/>
  <c r="E114" i="3" l="1"/>
  <c r="E146" i="3" s="1"/>
  <c r="J82" i="3"/>
  <c r="J47" i="3"/>
  <c r="J49" i="3"/>
  <c r="S49" i="3" s="1"/>
  <c r="M114" i="3"/>
  <c r="U35" i="3"/>
  <c r="U48" i="3"/>
  <c r="V48" i="3" s="1"/>
  <c r="I81" i="3"/>
  <c r="O48" i="3"/>
  <c r="M82" i="3"/>
  <c r="M49" i="3"/>
  <c r="I82" i="3"/>
  <c r="O49" i="3"/>
  <c r="F162" i="9"/>
  <c r="F66" i="9"/>
  <c r="G106" i="9"/>
  <c r="F118" i="9"/>
  <c r="G137" i="9"/>
  <c r="G131" i="9"/>
  <c r="F99" i="9"/>
  <c r="F131" i="9"/>
  <c r="G46" i="8"/>
  <c r="F55" i="6"/>
  <c r="G12" i="6" s="1"/>
  <c r="F57" i="6"/>
  <c r="G14" i="6" s="1"/>
  <c r="G57" i="6" s="1"/>
  <c r="H14" i="6" s="1"/>
  <c r="H57" i="6" s="1"/>
  <c r="I14" i="6" s="1"/>
  <c r="I57" i="6" s="1"/>
  <c r="J14" i="6" s="1"/>
  <c r="J57" i="6" s="1"/>
  <c r="I80" i="3"/>
  <c r="O47" i="3"/>
  <c r="J26" i="2"/>
  <c r="J14" i="7" s="1"/>
  <c r="K26" i="2"/>
  <c r="K14" i="7" s="1"/>
  <c r="I26" i="2"/>
  <c r="I14" i="7" s="1"/>
  <c r="I125" i="2"/>
  <c r="I25" i="7" s="1"/>
  <c r="I35" i="7"/>
  <c r="J16" i="7"/>
  <c r="J36" i="7"/>
  <c r="I16" i="7"/>
  <c r="G118" i="9"/>
  <c r="G125" i="9"/>
  <c r="F46" i="8"/>
  <c r="I162" i="9"/>
  <c r="I163" i="9" s="1"/>
  <c r="G162" i="9"/>
  <c r="G163" i="9" s="1"/>
  <c r="K45" i="2"/>
  <c r="K17" i="7" s="1"/>
  <c r="W52" i="32"/>
  <c r="I38" i="2"/>
  <c r="I15" i="7" s="1"/>
  <c r="W55" i="32"/>
  <c r="U114" i="3"/>
  <c r="V114" i="3" s="1"/>
  <c r="E10" i="32"/>
  <c r="F10" i="32"/>
  <c r="E8" i="32"/>
  <c r="F8" i="32"/>
  <c r="F58" i="6"/>
  <c r="G15" i="6" s="1"/>
  <c r="G58" i="6" s="1"/>
  <c r="H15" i="6" s="1"/>
  <c r="H58" i="6" s="1"/>
  <c r="I15" i="6" s="1"/>
  <c r="I58" i="6" s="1"/>
  <c r="J15" i="6" s="1"/>
  <c r="J58" i="6" s="1"/>
  <c r="M150" i="3"/>
  <c r="I61" i="8"/>
  <c r="M123" i="3"/>
  <c r="J174" i="2"/>
  <c r="G143" i="9"/>
  <c r="G144" i="9" s="1"/>
  <c r="G145" i="9" s="1"/>
  <c r="K38" i="2"/>
  <c r="K15" i="7" s="1"/>
  <c r="G98" i="9"/>
  <c r="H61" i="8"/>
  <c r="W53" i="32"/>
  <c r="L129" i="3"/>
  <c r="M129" i="3" s="1"/>
  <c r="M97" i="3"/>
  <c r="U119" i="3"/>
  <c r="V119" i="3" s="1"/>
  <c r="G163" i="3"/>
  <c r="U163" i="3" s="1"/>
  <c r="V163" i="3" s="1"/>
  <c r="U124" i="3"/>
  <c r="V124" i="3" s="1"/>
  <c r="U117" i="3"/>
  <c r="V117" i="3" s="1"/>
  <c r="F145" i="9"/>
  <c r="I149" i="9"/>
  <c r="I150" i="9" s="1"/>
  <c r="I151" i="9" s="1"/>
  <c r="I143" i="9"/>
  <c r="I144" i="9" s="1"/>
  <c r="I145" i="9" s="1"/>
  <c r="H149" i="9"/>
  <c r="H150" i="9" s="1"/>
  <c r="H151" i="9" s="1"/>
  <c r="H143" i="9"/>
  <c r="H144" i="9" s="1"/>
  <c r="H145" i="9" s="1"/>
  <c r="G149" i="9"/>
  <c r="G150" i="9" s="1"/>
  <c r="G151" i="9" s="1"/>
  <c r="F150" i="9"/>
  <c r="F151" i="9" s="1"/>
  <c r="G99" i="9"/>
  <c r="K90" i="2"/>
  <c r="K22" i="7" s="1"/>
  <c r="K125" i="2"/>
  <c r="K25" i="7" s="1"/>
  <c r="J38" i="2"/>
  <c r="J15" i="7" s="1"/>
  <c r="J90" i="2"/>
  <c r="J22" i="7" s="1"/>
  <c r="J125" i="2"/>
  <c r="J25" i="7" s="1"/>
  <c r="J47" i="2"/>
  <c r="J54" i="2" s="1"/>
  <c r="I174" i="2"/>
  <c r="I156" i="2"/>
  <c r="I26" i="7" s="1"/>
  <c r="I90" i="2"/>
  <c r="I22" i="7" s="1"/>
  <c r="H38" i="7"/>
  <c r="W54" i="32"/>
  <c r="W50" i="32"/>
  <c r="W51" i="32"/>
  <c r="O16" i="5"/>
  <c r="F60" i="6"/>
  <c r="G17" i="6" s="1"/>
  <c r="G60" i="6" s="1"/>
  <c r="H17" i="6" s="1"/>
  <c r="H60" i="6" s="1"/>
  <c r="I17" i="6" s="1"/>
  <c r="I60" i="6" s="1"/>
  <c r="J17" i="6" s="1"/>
  <c r="J60" i="6" s="1"/>
  <c r="J80" i="3"/>
  <c r="L67" i="3"/>
  <c r="U47" i="3"/>
  <c r="V47" i="3" s="1"/>
  <c r="F71" i="8"/>
  <c r="G66" i="9"/>
  <c r="G67" i="9" s="1"/>
  <c r="F106" i="9"/>
  <c r="F125" i="9"/>
  <c r="F137" i="9"/>
  <c r="H163" i="9"/>
  <c r="F163" i="9"/>
  <c r="F67" i="9"/>
  <c r="F73" i="9"/>
  <c r="G72" i="9"/>
  <c r="G73" i="9" s="1"/>
  <c r="H14" i="7"/>
  <c r="H19" i="7" s="1"/>
  <c r="H58" i="2"/>
  <c r="F59" i="9" s="1"/>
  <c r="F60" i="9" s="1"/>
  <c r="F61" i="9" s="1"/>
  <c r="K46" i="2"/>
  <c r="I65" i="9" s="1"/>
  <c r="I66" i="9" s="1"/>
  <c r="I67" i="9" s="1"/>
  <c r="H65" i="9"/>
  <c r="H66" i="9" s="1"/>
  <c r="H67" i="9" s="1"/>
  <c r="J156" i="2"/>
  <c r="J26" i="7" s="1"/>
  <c r="K131" i="2"/>
  <c r="K156" i="2" s="1"/>
  <c r="K26" i="7" s="1"/>
  <c r="H98" i="9"/>
  <c r="H99" i="9" s="1"/>
  <c r="I97" i="9"/>
  <c r="I98" i="9" s="1"/>
  <c r="I99" i="9" s="1"/>
  <c r="H117" i="9"/>
  <c r="H118" i="9" s="1"/>
  <c r="I116" i="9"/>
  <c r="I117" i="9" s="1"/>
  <c r="I118" i="9" s="1"/>
  <c r="K171" i="2"/>
  <c r="J35" i="7"/>
  <c r="J38" i="7" s="1"/>
  <c r="I54" i="2"/>
  <c r="I17" i="7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F59" i="6"/>
  <c r="G16" i="6" s="1"/>
  <c r="G59" i="6" s="1"/>
  <c r="H16" i="6" s="1"/>
  <c r="H59" i="6" s="1"/>
  <c r="I16" i="6" s="1"/>
  <c r="I59" i="6" s="1"/>
  <c r="J16" i="6" s="1"/>
  <c r="J59" i="6" s="1"/>
  <c r="K16" i="7"/>
  <c r="I135" i="9"/>
  <c r="I136" i="9" s="1"/>
  <c r="I137" i="9" s="1"/>
  <c r="H136" i="9"/>
  <c r="H137" i="9" s="1"/>
  <c r="H130" i="9"/>
  <c r="H131" i="9" s="1"/>
  <c r="I129" i="9"/>
  <c r="I130" i="9" s="1"/>
  <c r="I131" i="9" s="1"/>
  <c r="H124" i="9"/>
  <c r="H125" i="9" s="1"/>
  <c r="I122" i="9"/>
  <c r="I124" i="9" s="1"/>
  <c r="I125" i="9" s="1"/>
  <c r="I104" i="9"/>
  <c r="I105" i="9" s="1"/>
  <c r="I106" i="9" s="1"/>
  <c r="H105" i="9"/>
  <c r="H106" i="9" s="1"/>
  <c r="M95" i="3"/>
  <c r="L127" i="3"/>
  <c r="L159" i="3" s="1"/>
  <c r="U88" i="3"/>
  <c r="G120" i="3"/>
  <c r="L131" i="3"/>
  <c r="M99" i="3"/>
  <c r="L121" i="3"/>
  <c r="M89" i="3"/>
  <c r="M87" i="3"/>
  <c r="L119" i="3"/>
  <c r="K113" i="3"/>
  <c r="K145" i="3" s="1"/>
  <c r="M145" i="3" s="1"/>
  <c r="M81" i="3"/>
  <c r="U84" i="3"/>
  <c r="G116" i="3"/>
  <c r="U113" i="3"/>
  <c r="V113" i="3" s="1"/>
  <c r="K147" i="3"/>
  <c r="M147" i="3" s="1"/>
  <c r="J99" i="3"/>
  <c r="K112" i="3"/>
  <c r="K100" i="3"/>
  <c r="M80" i="3"/>
  <c r="V35" i="3"/>
  <c r="J114" i="3"/>
  <c r="J146" i="3" s="1"/>
  <c r="S146" i="3" s="1"/>
  <c r="S53" i="3"/>
  <c r="P53" i="3"/>
  <c r="P55" i="3"/>
  <c r="S51" i="3"/>
  <c r="P51" i="3"/>
  <c r="S47" i="3"/>
  <c r="I38" i="7"/>
  <c r="Q65" i="3"/>
  <c r="Q48" i="3"/>
  <c r="Q64" i="3"/>
  <c r="Q47" i="3"/>
  <c r="Q63" i="3"/>
  <c r="Q50" i="3"/>
  <c r="Q66" i="3"/>
  <c r="Q61" i="3"/>
  <c r="Q60" i="3"/>
  <c r="Q59" i="3"/>
  <c r="Q62" i="3"/>
  <c r="Q57" i="3"/>
  <c r="Q56" i="3"/>
  <c r="Q55" i="3"/>
  <c r="Q58" i="3"/>
  <c r="Q53" i="3"/>
  <c r="Q52" i="3"/>
  <c r="Q51" i="3"/>
  <c r="R51" i="3" s="1"/>
  <c r="Q54" i="3"/>
  <c r="Q49" i="3"/>
  <c r="Q110" i="3"/>
  <c r="Q78" i="3"/>
  <c r="P49" i="3"/>
  <c r="R15" i="3"/>
  <c r="T15" i="3" s="1"/>
  <c r="P54" i="3"/>
  <c r="R54" i="3" s="1"/>
  <c r="T54" i="3" s="1"/>
  <c r="S35" i="3"/>
  <c r="R18" i="3"/>
  <c r="P66" i="3"/>
  <c r="P27" i="3"/>
  <c r="R27" i="3" s="1"/>
  <c r="E163" i="3"/>
  <c r="P58" i="3"/>
  <c r="R58" i="3" s="1"/>
  <c r="S58" i="3"/>
  <c r="P62" i="3"/>
  <c r="R62" i="3" s="1"/>
  <c r="S62" i="3"/>
  <c r="P57" i="3"/>
  <c r="R57" i="3" s="1"/>
  <c r="S57" i="3"/>
  <c r="P61" i="3"/>
  <c r="S61" i="3"/>
  <c r="S64" i="3"/>
  <c r="P64" i="3"/>
  <c r="S60" i="3"/>
  <c r="M93" i="3"/>
  <c r="L125" i="3"/>
  <c r="L100" i="3"/>
  <c r="S59" i="3"/>
  <c r="P59" i="3"/>
  <c r="R59" i="3" s="1"/>
  <c r="G122" i="3"/>
  <c r="U90" i="3"/>
  <c r="M155" i="3"/>
  <c r="K154" i="3"/>
  <c r="U123" i="3"/>
  <c r="V123" i="3" s="1"/>
  <c r="L161" i="3"/>
  <c r="O35" i="3"/>
  <c r="P28" i="3"/>
  <c r="P32" i="3"/>
  <c r="T29" i="3"/>
  <c r="T33" i="3"/>
  <c r="G159" i="3"/>
  <c r="U159" i="3" s="1"/>
  <c r="V159" i="3" s="1"/>
  <c r="R65" i="3"/>
  <c r="T65" i="3" s="1"/>
  <c r="R25" i="3"/>
  <c r="T25" i="3" s="1"/>
  <c r="S65" i="3"/>
  <c r="P26" i="3"/>
  <c r="P30" i="3"/>
  <c r="M60" i="3"/>
  <c r="P60" i="3" s="1"/>
  <c r="U66" i="3"/>
  <c r="T27" i="3"/>
  <c r="T31" i="3"/>
  <c r="R34" i="3"/>
  <c r="T34" i="3" s="1"/>
  <c r="G55" i="6"/>
  <c r="V144" i="3"/>
  <c r="V82" i="3"/>
  <c r="S82" i="3"/>
  <c r="P82" i="3"/>
  <c r="V80" i="3"/>
  <c r="K149" i="3"/>
  <c r="R56" i="3"/>
  <c r="T56" i="3" s="1"/>
  <c r="P52" i="3"/>
  <c r="R52" i="3" s="1"/>
  <c r="I122" i="3"/>
  <c r="I126" i="3"/>
  <c r="I130" i="3"/>
  <c r="L126" i="3"/>
  <c r="M94" i="3"/>
  <c r="T16" i="3"/>
  <c r="T21" i="3"/>
  <c r="P50" i="3"/>
  <c r="R50" i="3" s="1"/>
  <c r="S50" i="3"/>
  <c r="I121" i="3"/>
  <c r="I125" i="3"/>
  <c r="I129" i="3"/>
  <c r="P145" i="5"/>
  <c r="P134" i="5"/>
  <c r="R18" i="5"/>
  <c r="R36" i="5"/>
  <c r="R29" i="5"/>
  <c r="P39" i="5"/>
  <c r="P83" i="5"/>
  <c r="P127" i="5"/>
  <c r="P42" i="5"/>
  <c r="P86" i="5"/>
  <c r="P29" i="5"/>
  <c r="P69" i="5"/>
  <c r="P101" i="5"/>
  <c r="P133" i="5"/>
  <c r="P40" i="5"/>
  <c r="P72" i="5"/>
  <c r="P108" i="5"/>
  <c r="P147" i="5"/>
  <c r="R20" i="5"/>
  <c r="R112" i="5"/>
  <c r="R46" i="5"/>
  <c r="R32" i="5"/>
  <c r="R120" i="5"/>
  <c r="R119" i="5"/>
  <c r="R114" i="5"/>
  <c r="X8" i="5"/>
  <c r="R14" i="5"/>
  <c r="R148" i="5"/>
  <c r="R19" i="5"/>
  <c r="R52" i="5"/>
  <c r="P35" i="5"/>
  <c r="P79" i="5"/>
  <c r="P119" i="5"/>
  <c r="P38" i="5"/>
  <c r="P82" i="5"/>
  <c r="P25" i="5"/>
  <c r="P65" i="5"/>
  <c r="P97" i="5"/>
  <c r="P129" i="5"/>
  <c r="P36" i="5"/>
  <c r="P68" i="5"/>
  <c r="P104" i="5"/>
  <c r="P136" i="5"/>
  <c r="R31" i="5"/>
  <c r="R39" i="5"/>
  <c r="R132" i="5"/>
  <c r="R83" i="5"/>
  <c r="R95" i="5"/>
  <c r="R135" i="5"/>
  <c r="R130" i="5"/>
  <c r="P141" i="5"/>
  <c r="P88" i="5"/>
  <c r="R40" i="5"/>
  <c r="R60" i="5"/>
  <c r="P51" i="5"/>
  <c r="P95" i="5"/>
  <c r="P135" i="5"/>
  <c r="P54" i="5"/>
  <c r="P106" i="5"/>
  <c r="P41" i="5"/>
  <c r="P77" i="5"/>
  <c r="P109" i="5"/>
  <c r="P16" i="5"/>
  <c r="P48" i="5"/>
  <c r="P80" i="5"/>
  <c r="P116" i="5"/>
  <c r="R48" i="5"/>
  <c r="R82" i="5"/>
  <c r="R87" i="5"/>
  <c r="R26" i="5"/>
  <c r="R58" i="5"/>
  <c r="R111" i="5"/>
  <c r="R102" i="5"/>
  <c r="S8" i="5"/>
  <c r="P118" i="5"/>
  <c r="R30" i="5"/>
  <c r="R44" i="5"/>
  <c r="P47" i="5"/>
  <c r="P87" i="5"/>
  <c r="P131" i="5"/>
  <c r="P50" i="5"/>
  <c r="P90" i="5"/>
  <c r="P37" i="5"/>
  <c r="P73" i="5"/>
  <c r="P105" i="5"/>
  <c r="P137" i="5"/>
  <c r="P44" i="5"/>
  <c r="P76" i="5"/>
  <c r="P112" i="5"/>
  <c r="R33" i="5"/>
  <c r="R66" i="5"/>
  <c r="R71" i="5"/>
  <c r="R96" i="5"/>
  <c r="R42" i="5"/>
  <c r="P14" i="5"/>
  <c r="R103" i="5"/>
  <c r="R98" i="5"/>
  <c r="R16" i="5"/>
  <c r="M92" i="3"/>
  <c r="L124" i="3"/>
  <c r="T19" i="3"/>
  <c r="T24" i="3"/>
  <c r="T17" i="3"/>
  <c r="S48" i="3"/>
  <c r="P48" i="3"/>
  <c r="I124" i="3"/>
  <c r="I128" i="3"/>
  <c r="L130" i="3"/>
  <c r="M98" i="3"/>
  <c r="L122" i="3"/>
  <c r="M90" i="3"/>
  <c r="E115" i="3"/>
  <c r="J83" i="3"/>
  <c r="U83" i="3"/>
  <c r="G115" i="3"/>
  <c r="T18" i="3"/>
  <c r="T23" i="3"/>
  <c r="T52" i="3"/>
  <c r="K159" i="3"/>
  <c r="M159" i="3" s="1"/>
  <c r="M127" i="3"/>
  <c r="I119" i="3"/>
  <c r="I123" i="3"/>
  <c r="I127" i="3"/>
  <c r="I131" i="3"/>
  <c r="J131" i="3" s="1"/>
  <c r="S99" i="3"/>
  <c r="L128" i="3"/>
  <c r="M96" i="3"/>
  <c r="E119" i="3"/>
  <c r="J87" i="3"/>
  <c r="T22" i="3"/>
  <c r="R20" i="3"/>
  <c r="E98" i="3"/>
  <c r="E96" i="3"/>
  <c r="E94" i="3"/>
  <c r="E92" i="3"/>
  <c r="E90" i="3"/>
  <c r="E88" i="3"/>
  <c r="E86" i="3"/>
  <c r="E85" i="3"/>
  <c r="R64" i="3"/>
  <c r="T64" i="3" s="1"/>
  <c r="R63" i="3"/>
  <c r="T63" i="3" s="1"/>
  <c r="E97" i="3"/>
  <c r="E95" i="3"/>
  <c r="E93" i="3"/>
  <c r="E91" i="3"/>
  <c r="E89" i="3"/>
  <c r="E84" i="3"/>
  <c r="E81" i="3"/>
  <c r="I114" i="3" l="1"/>
  <c r="O82" i="3"/>
  <c r="I113" i="3"/>
  <c r="O81" i="3"/>
  <c r="O67" i="3"/>
  <c r="P47" i="3"/>
  <c r="I112" i="3"/>
  <c r="O80" i="3"/>
  <c r="S80" i="3" s="1"/>
  <c r="K132" i="3"/>
  <c r="M113" i="3"/>
  <c r="J112" i="3"/>
  <c r="K47" i="2"/>
  <c r="H71" i="9"/>
  <c r="H72" i="9" s="1"/>
  <c r="H73" i="9" s="1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48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18" i="7"/>
  <c r="I19" i="7" s="1"/>
  <c r="I58" i="2"/>
  <c r="G59" i="9" s="1"/>
  <c r="G60" i="9" s="1"/>
  <c r="G61" i="9" s="1"/>
  <c r="K35" i="7"/>
  <c r="K38" i="7" s="1"/>
  <c r="K174" i="2"/>
  <c r="F4" i="43"/>
  <c r="G4" i="43" s="1"/>
  <c r="H4" i="43" s="1"/>
  <c r="I4" i="43" s="1"/>
  <c r="F4" i="37"/>
  <c r="G4" i="37" s="1"/>
  <c r="H4" i="37" s="1"/>
  <c r="I4" i="37" s="1"/>
  <c r="F4" i="35"/>
  <c r="G4" i="35" s="1"/>
  <c r="H4" i="35" s="1"/>
  <c r="I4" i="35" s="1"/>
  <c r="F4" i="51"/>
  <c r="G4" i="51" s="1"/>
  <c r="H4" i="51" s="1"/>
  <c r="I4" i="51" s="1"/>
  <c r="F4" i="49"/>
  <c r="G4" i="49" s="1"/>
  <c r="H4" i="49" s="1"/>
  <c r="I4" i="49" s="1"/>
  <c r="I2" i="32"/>
  <c r="F4" i="40"/>
  <c r="G4" i="40" s="1"/>
  <c r="H4" i="40" s="1"/>
  <c r="I4" i="40" s="1"/>
  <c r="F4" i="38"/>
  <c r="G4" i="38" s="1"/>
  <c r="H4" i="38" s="1"/>
  <c r="I4" i="38" s="1"/>
  <c r="F4" i="36"/>
  <c r="G4" i="36" s="1"/>
  <c r="H4" i="36" s="1"/>
  <c r="I4" i="36" s="1"/>
  <c r="F4" i="41"/>
  <c r="G4" i="41" s="1"/>
  <c r="H4" i="41" s="1"/>
  <c r="I4" i="41" s="1"/>
  <c r="F4" i="46"/>
  <c r="G4" i="46" s="1"/>
  <c r="H4" i="46" s="1"/>
  <c r="I4" i="46" s="1"/>
  <c r="F4" i="33"/>
  <c r="G4" i="33" s="1"/>
  <c r="H4" i="33" s="1"/>
  <c r="I4" i="33" s="1"/>
  <c r="F4" i="42"/>
  <c r="G4" i="42" s="1"/>
  <c r="H4" i="42" s="1"/>
  <c r="I4" i="42" s="1"/>
  <c r="F4" i="45"/>
  <c r="G4" i="45" s="1"/>
  <c r="H4" i="45" s="1"/>
  <c r="I4" i="45" s="1"/>
  <c r="F4" i="50"/>
  <c r="G4" i="50" s="1"/>
  <c r="H4" i="50" s="1"/>
  <c r="I4" i="50" s="1"/>
  <c r="F4" i="11"/>
  <c r="G4" i="11" s="1"/>
  <c r="H4" i="11" s="1"/>
  <c r="I4" i="11" s="1"/>
  <c r="F4" i="44"/>
  <c r="G4" i="44" s="1"/>
  <c r="H4" i="44" s="1"/>
  <c r="I4" i="44" s="1"/>
  <c r="F4" i="47"/>
  <c r="G4" i="47" s="1"/>
  <c r="H4" i="47" s="1"/>
  <c r="I4" i="47" s="1"/>
  <c r="F4" i="34"/>
  <c r="G4" i="34" s="1"/>
  <c r="H4" i="34" s="1"/>
  <c r="I4" i="34" s="1"/>
  <c r="F4" i="39"/>
  <c r="G4" i="39" s="1"/>
  <c r="H4" i="39" s="1"/>
  <c r="I4" i="39" s="1"/>
  <c r="H8" i="7"/>
  <c r="H8" i="2"/>
  <c r="F4" i="48"/>
  <c r="G4" i="48" s="1"/>
  <c r="H4" i="48" s="1"/>
  <c r="I4" i="48" s="1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H59" i="9" s="1"/>
  <c r="H60" i="9" s="1"/>
  <c r="H61" i="9" s="1"/>
  <c r="J18" i="7"/>
  <c r="J19" i="7" s="1"/>
  <c r="M131" i="3"/>
  <c r="L163" i="3"/>
  <c r="M163" i="3" s="1"/>
  <c r="U116" i="3"/>
  <c r="V116" i="3" s="1"/>
  <c r="G148" i="3"/>
  <c r="U148" i="3" s="1"/>
  <c r="V148" i="3" s="1"/>
  <c r="M119" i="3"/>
  <c r="L151" i="3"/>
  <c r="M151" i="3" s="1"/>
  <c r="L153" i="3"/>
  <c r="M153" i="3" s="1"/>
  <c r="M121" i="3"/>
  <c r="G152" i="3"/>
  <c r="U152" i="3" s="1"/>
  <c r="V152" i="3" s="1"/>
  <c r="U120" i="3"/>
  <c r="V120" i="3" s="1"/>
  <c r="M112" i="3"/>
  <c r="K144" i="3"/>
  <c r="M144" i="3" s="1"/>
  <c r="P146" i="3"/>
  <c r="R146" i="3" s="1"/>
  <c r="R47" i="3"/>
  <c r="T47" i="3" s="1"/>
  <c r="T62" i="3"/>
  <c r="R55" i="3"/>
  <c r="T55" i="3" s="1"/>
  <c r="T50" i="3"/>
  <c r="T59" i="3"/>
  <c r="R53" i="3"/>
  <c r="T53" i="3" s="1"/>
  <c r="T57" i="3"/>
  <c r="T58" i="3"/>
  <c r="S67" i="3"/>
  <c r="T51" i="3"/>
  <c r="R66" i="3"/>
  <c r="T66" i="3" s="1"/>
  <c r="R61" i="3"/>
  <c r="T61" i="3" s="1"/>
  <c r="R49" i="3"/>
  <c r="T49" i="3" s="1"/>
  <c r="Q130" i="3"/>
  <c r="Q121" i="3"/>
  <c r="Q120" i="3"/>
  <c r="Q123" i="3"/>
  <c r="Q126" i="3"/>
  <c r="Q117" i="3"/>
  <c r="Q116" i="3"/>
  <c r="Q119" i="3"/>
  <c r="Q122" i="3"/>
  <c r="Q113" i="3"/>
  <c r="Q129" i="3"/>
  <c r="Q112" i="3"/>
  <c r="Q128" i="3"/>
  <c r="Q115" i="3"/>
  <c r="Q131" i="3"/>
  <c r="Q118" i="3"/>
  <c r="Q125" i="3"/>
  <c r="Q124" i="3"/>
  <c r="Q127" i="3"/>
  <c r="Q114" i="3"/>
  <c r="Q98" i="3"/>
  <c r="Q85" i="3"/>
  <c r="Q84" i="3"/>
  <c r="Q87" i="3"/>
  <c r="Q94" i="3"/>
  <c r="Q81" i="3"/>
  <c r="Q97" i="3"/>
  <c r="Q80" i="3"/>
  <c r="Q96" i="3"/>
  <c r="Q83" i="3"/>
  <c r="Q99" i="3"/>
  <c r="Q90" i="3"/>
  <c r="Q93" i="3"/>
  <c r="Q92" i="3"/>
  <c r="Q95" i="3"/>
  <c r="Q86" i="3"/>
  <c r="Q89" i="3"/>
  <c r="Q88" i="3"/>
  <c r="Q91" i="3"/>
  <c r="Q82" i="3"/>
  <c r="R82" i="3"/>
  <c r="T82" i="3" s="1"/>
  <c r="P35" i="3"/>
  <c r="T146" i="3"/>
  <c r="R60" i="3"/>
  <c r="T60" i="3" s="1"/>
  <c r="R32" i="3"/>
  <c r="T32" i="3" s="1"/>
  <c r="U122" i="3"/>
  <c r="V122" i="3" s="1"/>
  <c r="G154" i="3"/>
  <c r="U154" i="3" s="1"/>
  <c r="V154" i="3" s="1"/>
  <c r="P99" i="3"/>
  <c r="R26" i="3"/>
  <c r="T26" i="3" s="1"/>
  <c r="M161" i="3"/>
  <c r="R30" i="3"/>
  <c r="T30" i="3" s="1"/>
  <c r="L157" i="3"/>
  <c r="M125" i="3"/>
  <c r="V99" i="3"/>
  <c r="M67" i="3"/>
  <c r="F40" i="9" s="1"/>
  <c r="F41" i="9" s="1"/>
  <c r="V66" i="3"/>
  <c r="V67" i="3" s="1"/>
  <c r="F52" i="9" s="1"/>
  <c r="F53" i="9" s="1"/>
  <c r="U67" i="3"/>
  <c r="R28" i="3"/>
  <c r="T28" i="3"/>
  <c r="S87" i="3"/>
  <c r="V87" i="3"/>
  <c r="P87" i="3"/>
  <c r="J84" i="3"/>
  <c r="P84" i="3" s="1"/>
  <c r="E116" i="3"/>
  <c r="E124" i="3"/>
  <c r="J92" i="3"/>
  <c r="P92" i="3" s="1"/>
  <c r="I155" i="3"/>
  <c r="J81" i="3"/>
  <c r="P81" i="3" s="1"/>
  <c r="E113" i="3"/>
  <c r="J93" i="3"/>
  <c r="P93" i="3" s="1"/>
  <c r="E125" i="3"/>
  <c r="J90" i="3"/>
  <c r="S90" i="3" s="1"/>
  <c r="E122" i="3"/>
  <c r="E130" i="3"/>
  <c r="J98" i="3"/>
  <c r="P98" i="3" s="1"/>
  <c r="R98" i="3" s="1"/>
  <c r="J119" i="3"/>
  <c r="E151" i="3"/>
  <c r="G147" i="3"/>
  <c r="U147" i="3" s="1"/>
  <c r="U115" i="3"/>
  <c r="E147" i="3"/>
  <c r="J115" i="3"/>
  <c r="S115" i="3" s="1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Y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X140" i="5"/>
  <c r="X145" i="5"/>
  <c r="X142" i="5"/>
  <c r="X144" i="5"/>
  <c r="X146" i="5"/>
  <c r="X143" i="5"/>
  <c r="X141" i="5"/>
  <c r="X148" i="5"/>
  <c r="X16" i="5"/>
  <c r="X19" i="5"/>
  <c r="X83" i="5"/>
  <c r="X22" i="5"/>
  <c r="X86" i="5"/>
  <c r="X29" i="5"/>
  <c r="X93" i="5"/>
  <c r="X36" i="5"/>
  <c r="X100" i="5"/>
  <c r="X47" i="5"/>
  <c r="X111" i="5"/>
  <c r="X50" i="5"/>
  <c r="X114" i="5"/>
  <c r="X57" i="5"/>
  <c r="X121" i="5"/>
  <c r="X64" i="5"/>
  <c r="X128" i="5"/>
  <c r="X75" i="5"/>
  <c r="X139" i="5"/>
  <c r="X78" i="5"/>
  <c r="X21" i="5"/>
  <c r="X85" i="5"/>
  <c r="X28" i="5"/>
  <c r="X92" i="5"/>
  <c r="X23" i="5"/>
  <c r="X87" i="5"/>
  <c r="X26" i="5"/>
  <c r="X90" i="5"/>
  <c r="X33" i="5"/>
  <c r="X97" i="5"/>
  <c r="X40" i="5"/>
  <c r="X104" i="5"/>
  <c r="X14" i="5"/>
  <c r="X67" i="5"/>
  <c r="X131" i="5"/>
  <c r="X70" i="5"/>
  <c r="X134" i="5"/>
  <c r="X77" i="5"/>
  <c r="X20" i="5"/>
  <c r="X84" i="5"/>
  <c r="X31" i="5"/>
  <c r="X95" i="5"/>
  <c r="X34" i="5"/>
  <c r="X98" i="5"/>
  <c r="X41" i="5"/>
  <c r="X105" i="5"/>
  <c r="X48" i="5"/>
  <c r="X112" i="5"/>
  <c r="X59" i="5"/>
  <c r="X123" i="5"/>
  <c r="X62" i="5"/>
  <c r="X126" i="5"/>
  <c r="X69" i="5"/>
  <c r="X133" i="5"/>
  <c r="X76" i="5"/>
  <c r="X147" i="5"/>
  <c r="X71" i="5"/>
  <c r="X135" i="5"/>
  <c r="X74" i="5"/>
  <c r="X138" i="5"/>
  <c r="X81" i="5"/>
  <c r="X24" i="5"/>
  <c r="X88" i="5"/>
  <c r="X17" i="5"/>
  <c r="X51" i="5"/>
  <c r="X115" i="5"/>
  <c r="X54" i="5"/>
  <c r="X118" i="5"/>
  <c r="X61" i="5"/>
  <c r="X125" i="5"/>
  <c r="X68" i="5"/>
  <c r="X132" i="5"/>
  <c r="X79" i="5"/>
  <c r="X18" i="5"/>
  <c r="X82" i="5"/>
  <c r="X25" i="5"/>
  <c r="X89" i="5"/>
  <c r="X32" i="5"/>
  <c r="X96" i="5"/>
  <c r="X43" i="5"/>
  <c r="X107" i="5"/>
  <c r="X46" i="5"/>
  <c r="X110" i="5"/>
  <c r="X53" i="5"/>
  <c r="X117" i="5"/>
  <c r="X60" i="5"/>
  <c r="X124" i="5"/>
  <c r="X55" i="5"/>
  <c r="X119" i="5"/>
  <c r="X58" i="5"/>
  <c r="X122" i="5"/>
  <c r="X65" i="5"/>
  <c r="X129" i="5"/>
  <c r="X72" i="5"/>
  <c r="X136" i="5"/>
  <c r="X15" i="5"/>
  <c r="X35" i="5"/>
  <c r="X99" i="5"/>
  <c r="X38" i="5"/>
  <c r="X102" i="5"/>
  <c r="X45" i="5"/>
  <c r="X109" i="5"/>
  <c r="X52" i="5"/>
  <c r="X116" i="5"/>
  <c r="X63" i="5"/>
  <c r="X127" i="5"/>
  <c r="X66" i="5"/>
  <c r="X130" i="5"/>
  <c r="X73" i="5"/>
  <c r="X137" i="5"/>
  <c r="X80" i="5"/>
  <c r="X27" i="5"/>
  <c r="X91" i="5"/>
  <c r="X30" i="5"/>
  <c r="X94" i="5"/>
  <c r="X37" i="5"/>
  <c r="X101" i="5"/>
  <c r="X44" i="5"/>
  <c r="X108" i="5"/>
  <c r="X39" i="5"/>
  <c r="X103" i="5"/>
  <c r="X42" i="5"/>
  <c r="X106" i="5"/>
  <c r="X49" i="5"/>
  <c r="X113" i="5"/>
  <c r="X56" i="5"/>
  <c r="X120" i="5"/>
  <c r="I161" i="3"/>
  <c r="I153" i="3"/>
  <c r="I162" i="3"/>
  <c r="I154" i="3"/>
  <c r="M149" i="3"/>
  <c r="E121" i="3"/>
  <c r="J89" i="3"/>
  <c r="P89" i="3" s="1"/>
  <c r="E126" i="3"/>
  <c r="J94" i="3"/>
  <c r="P94" i="3" s="1"/>
  <c r="R94" i="3" s="1"/>
  <c r="L160" i="3"/>
  <c r="M128" i="3"/>
  <c r="E127" i="3"/>
  <c r="J95" i="3"/>
  <c r="E117" i="3"/>
  <c r="J85" i="3"/>
  <c r="U100" i="3"/>
  <c r="V83" i="3"/>
  <c r="J91" i="3"/>
  <c r="P91" i="3" s="1"/>
  <c r="R91" i="3" s="1"/>
  <c r="E123" i="3"/>
  <c r="E120" i="3"/>
  <c r="J88" i="3"/>
  <c r="P88" i="3" s="1"/>
  <c r="R88" i="3" s="1"/>
  <c r="E128" i="3"/>
  <c r="J96" i="3"/>
  <c r="P96" i="3" s="1"/>
  <c r="I151" i="3"/>
  <c r="S119" i="3"/>
  <c r="L154" i="3"/>
  <c r="M122" i="3"/>
  <c r="L132" i="3"/>
  <c r="I160" i="3"/>
  <c r="R48" i="3"/>
  <c r="P67" i="3"/>
  <c r="U26" i="5"/>
  <c r="U24" i="5"/>
  <c r="U51" i="5"/>
  <c r="U70" i="5"/>
  <c r="U109" i="5"/>
  <c r="U116" i="5"/>
  <c r="U18" i="5"/>
  <c r="U25" i="5"/>
  <c r="U80" i="5"/>
  <c r="U46" i="5"/>
  <c r="U53" i="5"/>
  <c r="U60" i="5"/>
  <c r="U135" i="5"/>
  <c r="U90" i="5"/>
  <c r="U104" i="5"/>
  <c r="U99" i="5"/>
  <c r="U134" i="5"/>
  <c r="U36" i="5"/>
  <c r="U63" i="5"/>
  <c r="U66" i="5"/>
  <c r="U73" i="5"/>
  <c r="U128" i="5"/>
  <c r="U94" i="5"/>
  <c r="U101" i="5"/>
  <c r="U55" i="5"/>
  <c r="AA8" i="5"/>
  <c r="U113" i="5"/>
  <c r="U19" i="5"/>
  <c r="U22" i="5"/>
  <c r="U77" i="5"/>
  <c r="U84" i="5"/>
  <c r="U111" i="5"/>
  <c r="U114" i="5"/>
  <c r="U48" i="5"/>
  <c r="U75" i="5"/>
  <c r="U21" i="5"/>
  <c r="U28" i="5"/>
  <c r="U103" i="5"/>
  <c r="U42" i="5"/>
  <c r="U40" i="5"/>
  <c r="U67" i="5"/>
  <c r="U102" i="5"/>
  <c r="U125" i="5"/>
  <c r="U132" i="5"/>
  <c r="U34" i="5"/>
  <c r="U41" i="5"/>
  <c r="U96" i="5"/>
  <c r="U62" i="5"/>
  <c r="U69" i="5"/>
  <c r="U23" i="5"/>
  <c r="U146" i="5"/>
  <c r="U140" i="5"/>
  <c r="U56" i="5"/>
  <c r="U137" i="5"/>
  <c r="U88" i="5"/>
  <c r="U141" i="5"/>
  <c r="U15" i="5"/>
  <c r="U43" i="5"/>
  <c r="U108" i="5"/>
  <c r="U147" i="5"/>
  <c r="U138" i="5"/>
  <c r="U139" i="5"/>
  <c r="U47" i="5"/>
  <c r="U142" i="5"/>
  <c r="U81" i="5"/>
  <c r="U54" i="5"/>
  <c r="U121" i="5"/>
  <c r="U107" i="5"/>
  <c r="Z8" i="5"/>
  <c r="T134" i="5"/>
  <c r="T36" i="5"/>
  <c r="T18" i="5"/>
  <c r="T25" i="5"/>
  <c r="T80" i="5"/>
  <c r="T62" i="5"/>
  <c r="T69" i="5"/>
  <c r="T33" i="5"/>
  <c r="T99" i="5"/>
  <c r="T95" i="5"/>
  <c r="T129" i="5"/>
  <c r="T87" i="5"/>
  <c r="T22" i="5"/>
  <c r="T77" i="5"/>
  <c r="T84" i="5"/>
  <c r="T66" i="5"/>
  <c r="T73" i="5"/>
  <c r="T128" i="5"/>
  <c r="T110" i="5"/>
  <c r="T117" i="5"/>
  <c r="T28" i="5"/>
  <c r="T24" i="5"/>
  <c r="T133" i="5"/>
  <c r="T104" i="5"/>
  <c r="T135" i="5"/>
  <c r="T102" i="5"/>
  <c r="T125" i="5"/>
  <c r="T132" i="5"/>
  <c r="T114" i="5"/>
  <c r="T48" i="5"/>
  <c r="T30" i="5"/>
  <c r="T37" i="5"/>
  <c r="T58" i="5"/>
  <c r="T67" i="5"/>
  <c r="T63" i="5"/>
  <c r="T55" i="5"/>
  <c r="T51" i="5"/>
  <c r="T70" i="5"/>
  <c r="T109" i="5"/>
  <c r="T116" i="5"/>
  <c r="T98" i="5"/>
  <c r="T32" i="5"/>
  <c r="T59" i="5"/>
  <c r="T21" i="5"/>
  <c r="T42" i="5"/>
  <c r="T39" i="5"/>
  <c r="T35" i="5"/>
  <c r="T23" i="5"/>
  <c r="T19" i="5"/>
  <c r="T143" i="5"/>
  <c r="T146" i="5"/>
  <c r="T81" i="5"/>
  <c r="T54" i="5"/>
  <c r="T105" i="5"/>
  <c r="T107" i="5"/>
  <c r="T145" i="5"/>
  <c r="T43" i="5"/>
  <c r="T141" i="5"/>
  <c r="T49" i="5"/>
  <c r="T147" i="5"/>
  <c r="T106" i="5"/>
  <c r="T88" i="5"/>
  <c r="T76" i="5"/>
  <c r="T74" i="5"/>
  <c r="T92" i="5"/>
  <c r="T137" i="5"/>
  <c r="T123" i="5"/>
  <c r="S114" i="3"/>
  <c r="P114" i="3"/>
  <c r="T20" i="3"/>
  <c r="P83" i="3"/>
  <c r="S83" i="3"/>
  <c r="L162" i="3"/>
  <c r="M130" i="3"/>
  <c r="I157" i="3"/>
  <c r="M126" i="3"/>
  <c r="L158" i="3"/>
  <c r="I158" i="3"/>
  <c r="H12" i="6"/>
  <c r="E129" i="3"/>
  <c r="J97" i="3"/>
  <c r="P97" i="3" s="1"/>
  <c r="J86" i="3"/>
  <c r="E118" i="3"/>
  <c r="I159" i="3"/>
  <c r="I163" i="3"/>
  <c r="I156" i="3"/>
  <c r="M124" i="3"/>
  <c r="L156" i="3"/>
  <c r="M100" i="3"/>
  <c r="O113" i="3" l="1"/>
  <c r="I145" i="3"/>
  <c r="O145" i="3" s="1"/>
  <c r="O114" i="3"/>
  <c r="I146" i="3"/>
  <c r="O146" i="3" s="1"/>
  <c r="P80" i="3"/>
  <c r="S100" i="3"/>
  <c r="G47" i="9" s="1"/>
  <c r="G48" i="9" s="1"/>
  <c r="O112" i="3"/>
  <c r="I144" i="3"/>
  <c r="J144" i="3"/>
  <c r="R80" i="3"/>
  <c r="T80" i="3" s="1"/>
  <c r="I71" i="9"/>
  <c r="I72" i="9" s="1"/>
  <c r="I73" i="9" s="1"/>
  <c r="K54" i="2"/>
  <c r="F24" i="6"/>
  <c r="F56" i="6" s="1"/>
  <c r="G35" i="6"/>
  <c r="H102" i="2" s="1"/>
  <c r="H108" i="2" s="1"/>
  <c r="H24" i="7" s="1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T12" i="5" s="1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K164" i="3"/>
  <c r="R12" i="5"/>
  <c r="P12" i="5"/>
  <c r="F8" i="8"/>
  <c r="I8" i="7"/>
  <c r="F8" i="9"/>
  <c r="F91" i="9" s="1"/>
  <c r="H96" i="2"/>
  <c r="I8" i="2"/>
  <c r="F47" i="9"/>
  <c r="F48" i="9" s="1"/>
  <c r="R97" i="3"/>
  <c r="R92" i="3"/>
  <c r="R96" i="3"/>
  <c r="S131" i="3"/>
  <c r="P131" i="3"/>
  <c r="S95" i="3"/>
  <c r="V95" i="3"/>
  <c r="S94" i="3"/>
  <c r="V94" i="3"/>
  <c r="V98" i="3"/>
  <c r="S98" i="3"/>
  <c r="T98" i="3" s="1"/>
  <c r="T94" i="3"/>
  <c r="R93" i="3"/>
  <c r="V90" i="3"/>
  <c r="V96" i="3"/>
  <c r="S96" i="3"/>
  <c r="S91" i="3"/>
  <c r="T91" i="3" s="1"/>
  <c r="V91" i="3"/>
  <c r="S92" i="3"/>
  <c r="V92" i="3"/>
  <c r="P95" i="3"/>
  <c r="P90" i="3"/>
  <c r="V93" i="3"/>
  <c r="S93" i="3"/>
  <c r="R99" i="3"/>
  <c r="T99" i="3" s="1"/>
  <c r="S97" i="3"/>
  <c r="V97" i="3"/>
  <c r="M157" i="3"/>
  <c r="T35" i="3"/>
  <c r="J163" i="3"/>
  <c r="R35" i="3"/>
  <c r="R84" i="3"/>
  <c r="R81" i="3"/>
  <c r="M158" i="3"/>
  <c r="V86" i="3"/>
  <c r="S86" i="3"/>
  <c r="M162" i="3"/>
  <c r="S88" i="3"/>
  <c r="T88" i="3" s="1"/>
  <c r="V88" i="3"/>
  <c r="M160" i="3"/>
  <c r="S89" i="3"/>
  <c r="V89" i="3"/>
  <c r="J113" i="3"/>
  <c r="E145" i="3"/>
  <c r="E156" i="3"/>
  <c r="J124" i="3"/>
  <c r="S124" i="3" s="1"/>
  <c r="J116" i="3"/>
  <c r="S116" i="3" s="1"/>
  <c r="E148" i="3"/>
  <c r="S12" i="5"/>
  <c r="P119" i="3"/>
  <c r="M156" i="3"/>
  <c r="G40" i="9"/>
  <c r="G41" i="9" s="1"/>
  <c r="J118" i="3"/>
  <c r="S118" i="3" s="1"/>
  <c r="E150" i="3"/>
  <c r="R83" i="3"/>
  <c r="T83" i="3" s="1"/>
  <c r="R114" i="3"/>
  <c r="T114" i="3" s="1"/>
  <c r="Z144" i="5"/>
  <c r="Z146" i="5"/>
  <c r="Z143" i="5"/>
  <c r="Z141" i="5"/>
  <c r="Z140" i="5"/>
  <c r="Z145" i="5"/>
  <c r="Z142" i="5"/>
  <c r="Z36" i="5"/>
  <c r="Z100" i="5"/>
  <c r="Z47" i="5"/>
  <c r="Z111" i="5"/>
  <c r="Z50" i="5"/>
  <c r="Z114" i="5"/>
  <c r="Z57" i="5"/>
  <c r="Z121" i="5"/>
  <c r="Z64" i="5"/>
  <c r="Z128" i="5"/>
  <c r="Z75" i="5"/>
  <c r="Z139" i="5"/>
  <c r="Z78" i="5"/>
  <c r="Z21" i="5"/>
  <c r="Z85" i="5"/>
  <c r="Z28" i="5"/>
  <c r="Z92" i="5"/>
  <c r="Z23" i="5"/>
  <c r="Z87" i="5"/>
  <c r="Z26" i="5"/>
  <c r="Z90" i="5"/>
  <c r="Z33" i="5"/>
  <c r="Z97" i="5"/>
  <c r="Z40" i="5"/>
  <c r="Z104" i="5"/>
  <c r="Z35" i="5"/>
  <c r="Z99" i="5"/>
  <c r="Z38" i="5"/>
  <c r="Z102" i="5"/>
  <c r="Z45" i="5"/>
  <c r="Z109" i="5"/>
  <c r="Z14" i="5"/>
  <c r="Z20" i="5"/>
  <c r="Z84" i="5"/>
  <c r="Z31" i="5"/>
  <c r="Z95" i="5"/>
  <c r="Z34" i="5"/>
  <c r="Z98" i="5"/>
  <c r="Z41" i="5"/>
  <c r="Z105" i="5"/>
  <c r="Z48" i="5"/>
  <c r="Z112" i="5"/>
  <c r="Z59" i="5"/>
  <c r="Z123" i="5"/>
  <c r="Z62" i="5"/>
  <c r="Z126" i="5"/>
  <c r="Z69" i="5"/>
  <c r="Z133" i="5"/>
  <c r="Z76" i="5"/>
  <c r="Z147" i="5"/>
  <c r="Z71" i="5"/>
  <c r="Z135" i="5"/>
  <c r="Z74" i="5"/>
  <c r="Z138" i="5"/>
  <c r="Z81" i="5"/>
  <c r="Z24" i="5"/>
  <c r="Z88" i="5"/>
  <c r="Z19" i="5"/>
  <c r="Z83" i="5"/>
  <c r="Z22" i="5"/>
  <c r="Z86" i="5"/>
  <c r="Z29" i="5"/>
  <c r="Z93" i="5"/>
  <c r="Z15" i="5"/>
  <c r="Z16" i="5"/>
  <c r="Z68" i="5"/>
  <c r="Z132" i="5"/>
  <c r="Z79" i="5"/>
  <c r="Z18" i="5"/>
  <c r="Z82" i="5"/>
  <c r="Z25" i="5"/>
  <c r="Z89" i="5"/>
  <c r="Z32" i="5"/>
  <c r="Z96" i="5"/>
  <c r="Z43" i="5"/>
  <c r="Z107" i="5"/>
  <c r="Z46" i="5"/>
  <c r="Z110" i="5"/>
  <c r="Z53" i="5"/>
  <c r="Z117" i="5"/>
  <c r="Z60" i="5"/>
  <c r="Z124" i="5"/>
  <c r="Z55" i="5"/>
  <c r="Z119" i="5"/>
  <c r="Z58" i="5"/>
  <c r="Z122" i="5"/>
  <c r="Z65" i="5"/>
  <c r="Z129" i="5"/>
  <c r="Z72" i="5"/>
  <c r="Z136" i="5"/>
  <c r="Z67" i="5"/>
  <c r="Z131" i="5"/>
  <c r="Z70" i="5"/>
  <c r="Z134" i="5"/>
  <c r="Z77" i="5"/>
  <c r="Z148" i="5"/>
  <c r="Z17" i="5"/>
  <c r="Z52" i="5"/>
  <c r="Z116" i="5"/>
  <c r="Z63" i="5"/>
  <c r="Z127" i="5"/>
  <c r="Z66" i="5"/>
  <c r="Z130" i="5"/>
  <c r="Z73" i="5"/>
  <c r="Z137" i="5"/>
  <c r="Z80" i="5"/>
  <c r="Z27" i="5"/>
  <c r="Z91" i="5"/>
  <c r="Z30" i="5"/>
  <c r="Z94" i="5"/>
  <c r="Z37" i="5"/>
  <c r="Z101" i="5"/>
  <c r="Z44" i="5"/>
  <c r="Z108" i="5"/>
  <c r="Z39" i="5"/>
  <c r="Z103" i="5"/>
  <c r="Z42" i="5"/>
  <c r="Z106" i="5"/>
  <c r="Z49" i="5"/>
  <c r="Z113" i="5"/>
  <c r="Z56" i="5"/>
  <c r="Z120" i="5"/>
  <c r="Z51" i="5"/>
  <c r="Z115" i="5"/>
  <c r="Z54" i="5"/>
  <c r="Z118" i="5"/>
  <c r="Z61" i="5"/>
  <c r="Z125" i="5"/>
  <c r="M154" i="3"/>
  <c r="L164" i="3"/>
  <c r="J120" i="3"/>
  <c r="S120" i="3" s="1"/>
  <c r="E152" i="3"/>
  <c r="E149" i="3"/>
  <c r="J117" i="3"/>
  <c r="S117" i="3" s="1"/>
  <c r="J147" i="3"/>
  <c r="S147" i="3" s="1"/>
  <c r="J125" i="3"/>
  <c r="S125" i="3" s="1"/>
  <c r="E157" i="3"/>
  <c r="R89" i="3"/>
  <c r="J129" i="3"/>
  <c r="S129" i="3" s="1"/>
  <c r="E161" i="3"/>
  <c r="H55" i="6"/>
  <c r="R67" i="3"/>
  <c r="T48" i="3"/>
  <c r="T67" i="3" s="1"/>
  <c r="J123" i="3"/>
  <c r="S123" i="3" s="1"/>
  <c r="E155" i="3"/>
  <c r="V85" i="3"/>
  <c r="S85" i="3"/>
  <c r="E158" i="3"/>
  <c r="J126" i="3"/>
  <c r="S126" i="3" s="1"/>
  <c r="V144" i="5"/>
  <c r="V140" i="5"/>
  <c r="V148" i="5"/>
  <c r="V14" i="5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B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Y146" i="5"/>
  <c r="Y143" i="5"/>
  <c r="Y141" i="5"/>
  <c r="Y140" i="5"/>
  <c r="Y148" i="5"/>
  <c r="Y145" i="5"/>
  <c r="Y142" i="5"/>
  <c r="Y144" i="5"/>
  <c r="Y17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35" i="5"/>
  <c r="Y99" i="5"/>
  <c r="Y38" i="5"/>
  <c r="Y102" i="5"/>
  <c r="Y45" i="5"/>
  <c r="Y109" i="5"/>
  <c r="Y15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9" i="5"/>
  <c r="Y83" i="5"/>
  <c r="Y22" i="5"/>
  <c r="Y86" i="5"/>
  <c r="Y29" i="5"/>
  <c r="Y93" i="5"/>
  <c r="Y16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67" i="5"/>
  <c r="Y131" i="5"/>
  <c r="Y70" i="5"/>
  <c r="Y134" i="5"/>
  <c r="Y77" i="5"/>
  <c r="Y14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Y51" i="5"/>
  <c r="Y115" i="5"/>
  <c r="Y54" i="5"/>
  <c r="Y118" i="5"/>
  <c r="Y61" i="5"/>
  <c r="Y125" i="5"/>
  <c r="V147" i="3"/>
  <c r="V164" i="3" s="1"/>
  <c r="U164" i="3"/>
  <c r="V81" i="3"/>
  <c r="S81" i="3"/>
  <c r="O100" i="3"/>
  <c r="R87" i="3"/>
  <c r="T87" i="3" s="1"/>
  <c r="M132" i="3"/>
  <c r="H40" i="9" s="1"/>
  <c r="H41" i="9" s="1"/>
  <c r="M164" i="3"/>
  <c r="X12" i="5"/>
  <c r="AA145" i="5"/>
  <c r="AA142" i="5"/>
  <c r="AA144" i="5"/>
  <c r="AA148" i="5"/>
  <c r="AA146" i="5"/>
  <c r="AA143" i="5"/>
  <c r="AA141" i="5"/>
  <c r="AA140" i="5"/>
  <c r="AA14" i="5"/>
  <c r="AA80" i="5"/>
  <c r="AA27" i="5"/>
  <c r="AA91" i="5"/>
  <c r="AA30" i="5"/>
  <c r="AA94" i="5"/>
  <c r="AA44" i="5"/>
  <c r="AA108" i="5"/>
  <c r="AA39" i="5"/>
  <c r="AA103" i="5"/>
  <c r="AA40" i="5"/>
  <c r="AA104" i="5"/>
  <c r="AA35" i="5"/>
  <c r="AA99" i="5"/>
  <c r="AA36" i="5"/>
  <c r="AA100" i="5"/>
  <c r="AA47" i="5"/>
  <c r="AA111" i="5"/>
  <c r="AA50" i="5"/>
  <c r="AA114" i="5"/>
  <c r="AA90" i="5"/>
  <c r="AA61" i="5"/>
  <c r="AA125" i="5"/>
  <c r="AA118" i="5"/>
  <c r="AA73" i="5"/>
  <c r="AA137" i="5"/>
  <c r="AA138" i="5"/>
  <c r="AA69" i="5"/>
  <c r="AA133" i="5"/>
  <c r="AA134" i="5"/>
  <c r="AA81" i="5"/>
  <c r="AA16" i="5"/>
  <c r="AA64" i="5"/>
  <c r="AA128" i="5"/>
  <c r="AA75" i="5"/>
  <c r="AA139" i="5"/>
  <c r="AA78" i="5"/>
  <c r="AA28" i="5"/>
  <c r="AA92" i="5"/>
  <c r="AA23" i="5"/>
  <c r="AA87" i="5"/>
  <c r="AA24" i="5"/>
  <c r="AA88" i="5"/>
  <c r="AA19" i="5"/>
  <c r="AA83" i="5"/>
  <c r="AA20" i="5"/>
  <c r="AA84" i="5"/>
  <c r="AA31" i="5"/>
  <c r="AA95" i="5"/>
  <c r="AA34" i="5"/>
  <c r="AA98" i="5"/>
  <c r="AA58" i="5"/>
  <c r="AA45" i="5"/>
  <c r="AA109" i="5"/>
  <c r="AA86" i="5"/>
  <c r="AA57" i="5"/>
  <c r="AA121" i="5"/>
  <c r="AA106" i="5"/>
  <c r="AA53" i="5"/>
  <c r="AA117" i="5"/>
  <c r="AA102" i="5"/>
  <c r="AA65" i="5"/>
  <c r="AA129" i="5"/>
  <c r="AA17" i="5"/>
  <c r="AA48" i="5"/>
  <c r="AA112" i="5"/>
  <c r="AA59" i="5"/>
  <c r="AA123" i="5"/>
  <c r="AA62" i="5"/>
  <c r="AA126" i="5"/>
  <c r="AA76" i="5"/>
  <c r="AA147" i="5"/>
  <c r="AA71" i="5"/>
  <c r="AA135" i="5"/>
  <c r="AA72" i="5"/>
  <c r="AA136" i="5"/>
  <c r="AA67" i="5"/>
  <c r="AA131" i="5"/>
  <c r="AA68" i="5"/>
  <c r="AA132" i="5"/>
  <c r="AA79" i="5"/>
  <c r="AA18" i="5"/>
  <c r="AA82" i="5"/>
  <c r="AA26" i="5"/>
  <c r="AA29" i="5"/>
  <c r="AA93" i="5"/>
  <c r="AA54" i="5"/>
  <c r="AA41" i="5"/>
  <c r="AA105" i="5"/>
  <c r="AA74" i="5"/>
  <c r="AA37" i="5"/>
  <c r="AA101" i="5"/>
  <c r="AA70" i="5"/>
  <c r="AA49" i="5"/>
  <c r="AA113" i="5"/>
  <c r="AA15" i="5"/>
  <c r="AA32" i="5"/>
  <c r="AA96" i="5"/>
  <c r="AA43" i="5"/>
  <c r="AA107" i="5"/>
  <c r="AA46" i="5"/>
  <c r="AA110" i="5"/>
  <c r="AA60" i="5"/>
  <c r="AA124" i="5"/>
  <c r="AA55" i="5"/>
  <c r="AA119" i="5"/>
  <c r="AA56" i="5"/>
  <c r="AA120" i="5"/>
  <c r="AA51" i="5"/>
  <c r="AA115" i="5"/>
  <c r="AA52" i="5"/>
  <c r="AA116" i="5"/>
  <c r="AA63" i="5"/>
  <c r="AA127" i="5"/>
  <c r="AA66" i="5"/>
  <c r="AA130" i="5"/>
  <c r="AA122" i="5"/>
  <c r="AA77" i="5"/>
  <c r="AA22" i="5"/>
  <c r="AA25" i="5"/>
  <c r="AA89" i="5"/>
  <c r="AA42" i="5"/>
  <c r="AA21" i="5"/>
  <c r="AA85" i="5"/>
  <c r="AA38" i="5"/>
  <c r="AA33" i="5"/>
  <c r="AA97" i="5"/>
  <c r="J128" i="3"/>
  <c r="S128" i="3" s="1"/>
  <c r="E160" i="3"/>
  <c r="E159" i="3"/>
  <c r="J127" i="3"/>
  <c r="S127" i="3" s="1"/>
  <c r="E153" i="3"/>
  <c r="J121" i="3"/>
  <c r="S121" i="3" s="1"/>
  <c r="V115" i="3"/>
  <c r="V132" i="3" s="1"/>
  <c r="U132" i="3"/>
  <c r="J151" i="3"/>
  <c r="E162" i="3"/>
  <c r="J130" i="3"/>
  <c r="S130" i="3" s="1"/>
  <c r="J122" i="3"/>
  <c r="S122" i="3" s="1"/>
  <c r="E154" i="3"/>
  <c r="S84" i="3"/>
  <c r="V84" i="3"/>
  <c r="P86" i="3"/>
  <c r="P85" i="3"/>
  <c r="P115" i="3"/>
  <c r="O144" i="3" l="1"/>
  <c r="G40" i="6"/>
  <c r="G50" i="6" s="1"/>
  <c r="F29" i="6"/>
  <c r="S112" i="3"/>
  <c r="P112" i="3"/>
  <c r="R112" i="3" s="1"/>
  <c r="K58" i="2"/>
  <c r="I59" i="9" s="1"/>
  <c r="I60" i="9" s="1"/>
  <c r="I61" i="9" s="1"/>
  <c r="K18" i="7"/>
  <c r="K19" i="7" s="1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F155" i="9" s="1"/>
  <c r="F156" i="9" s="1"/>
  <c r="F157" i="9" s="1"/>
  <c r="I24" i="6"/>
  <c r="I29" i="6" s="1"/>
  <c r="H155" i="9" s="1"/>
  <c r="H156" i="9" s="1"/>
  <c r="H157" i="9" s="1"/>
  <c r="H24" i="6"/>
  <c r="H29" i="6" s="1"/>
  <c r="G155" i="9" s="1"/>
  <c r="G156" i="9" s="1"/>
  <c r="G157" i="9" s="1"/>
  <c r="J35" i="6"/>
  <c r="K102" i="2" s="1"/>
  <c r="K108" i="2" s="1"/>
  <c r="K24" i="7" s="1"/>
  <c r="G13" i="6"/>
  <c r="F61" i="6"/>
  <c r="I96" i="2"/>
  <c r="J8" i="2"/>
  <c r="J8" i="7"/>
  <c r="G8" i="8"/>
  <c r="G8" i="9"/>
  <c r="G91" i="9" s="1"/>
  <c r="P126" i="3"/>
  <c r="R126" i="3" s="1"/>
  <c r="T81" i="3"/>
  <c r="T89" i="3"/>
  <c r="T96" i="3"/>
  <c r="T93" i="3"/>
  <c r="T97" i="3"/>
  <c r="P130" i="3"/>
  <c r="P123" i="3"/>
  <c r="P129" i="3"/>
  <c r="R129" i="3" s="1"/>
  <c r="P125" i="3"/>
  <c r="R125" i="3" s="1"/>
  <c r="T125" i="3" s="1"/>
  <c r="T92" i="3"/>
  <c r="T84" i="3"/>
  <c r="S163" i="3"/>
  <c r="P163" i="3"/>
  <c r="R130" i="3"/>
  <c r="T130" i="3" s="1"/>
  <c r="R95" i="3"/>
  <c r="T95" i="3" s="1"/>
  <c r="R131" i="3"/>
  <c r="T131" i="3" s="1"/>
  <c r="P128" i="3"/>
  <c r="P122" i="3"/>
  <c r="I52" i="9"/>
  <c r="I53" i="9" s="1"/>
  <c r="P127" i="3"/>
  <c r="P124" i="3"/>
  <c r="R90" i="3"/>
  <c r="T90" i="3" s="1"/>
  <c r="S151" i="3"/>
  <c r="P151" i="3"/>
  <c r="R85" i="3"/>
  <c r="T85" i="3" s="1"/>
  <c r="R115" i="3"/>
  <c r="T115" i="3" s="1"/>
  <c r="J162" i="3"/>
  <c r="S162" i="3" s="1"/>
  <c r="J153" i="3"/>
  <c r="S153" i="3" s="1"/>
  <c r="J159" i="3"/>
  <c r="S159" i="3" s="1"/>
  <c r="J155" i="3"/>
  <c r="S155" i="3" s="1"/>
  <c r="S113" i="3"/>
  <c r="O132" i="3"/>
  <c r="P121" i="3"/>
  <c r="Y12" i="5"/>
  <c r="V12" i="5"/>
  <c r="P117" i="3"/>
  <c r="P120" i="3"/>
  <c r="Z12" i="5"/>
  <c r="P118" i="3"/>
  <c r="P100" i="3"/>
  <c r="H66" i="2"/>
  <c r="R86" i="3"/>
  <c r="I12" i="6"/>
  <c r="J157" i="3"/>
  <c r="S157" i="3" s="1"/>
  <c r="P147" i="3"/>
  <c r="P116" i="3"/>
  <c r="J160" i="3"/>
  <c r="S160" i="3" s="1"/>
  <c r="J158" i="3"/>
  <c r="S158" i="3" s="1"/>
  <c r="J149" i="3"/>
  <c r="S149" i="3" s="1"/>
  <c r="R119" i="3"/>
  <c r="T119" i="3" s="1"/>
  <c r="J156" i="3"/>
  <c r="S156" i="3" s="1"/>
  <c r="J145" i="3"/>
  <c r="V100" i="3"/>
  <c r="J154" i="3"/>
  <c r="S154" i="3" s="1"/>
  <c r="AB140" i="5"/>
  <c r="AB145" i="5"/>
  <c r="AB142" i="5"/>
  <c r="AB144" i="5"/>
  <c r="AB146" i="5"/>
  <c r="AB143" i="5"/>
  <c r="AB141" i="5"/>
  <c r="AB148" i="5"/>
  <c r="AB15" i="5"/>
  <c r="AB32" i="5"/>
  <c r="AB96" i="5"/>
  <c r="AB43" i="5"/>
  <c r="AB107" i="5"/>
  <c r="AB46" i="5"/>
  <c r="AB110" i="5"/>
  <c r="AB53" i="5"/>
  <c r="AB117" i="5"/>
  <c r="AB60" i="5"/>
  <c r="AB124" i="5"/>
  <c r="AB55" i="5"/>
  <c r="AB119" i="5"/>
  <c r="AB58" i="5"/>
  <c r="AB122" i="5"/>
  <c r="AB65" i="5"/>
  <c r="AB129" i="5"/>
  <c r="AB72" i="5"/>
  <c r="AB136" i="5"/>
  <c r="AB67" i="5"/>
  <c r="AB131" i="5"/>
  <c r="AB70" i="5"/>
  <c r="AB134" i="5"/>
  <c r="AB77" i="5"/>
  <c r="AB20" i="5"/>
  <c r="AB84" i="5"/>
  <c r="AB31" i="5"/>
  <c r="AB95" i="5"/>
  <c r="AB34" i="5"/>
  <c r="AB98" i="5"/>
  <c r="AB41" i="5"/>
  <c r="AB105" i="5"/>
  <c r="AB17" i="5"/>
  <c r="AB80" i="5"/>
  <c r="AB27" i="5"/>
  <c r="AB91" i="5"/>
  <c r="AB30" i="5"/>
  <c r="AB94" i="5"/>
  <c r="AB37" i="5"/>
  <c r="AB101" i="5"/>
  <c r="AB44" i="5"/>
  <c r="AB108" i="5"/>
  <c r="AB39" i="5"/>
  <c r="AB103" i="5"/>
  <c r="AB42" i="5"/>
  <c r="AB106" i="5"/>
  <c r="AB49" i="5"/>
  <c r="AB113" i="5"/>
  <c r="AB56" i="5"/>
  <c r="AB120" i="5"/>
  <c r="AB51" i="5"/>
  <c r="AB115" i="5"/>
  <c r="AB54" i="5"/>
  <c r="AB118" i="5"/>
  <c r="AB61" i="5"/>
  <c r="AB125" i="5"/>
  <c r="AB68" i="5"/>
  <c r="AB132" i="5"/>
  <c r="AB79" i="5"/>
  <c r="AB18" i="5"/>
  <c r="AB82" i="5"/>
  <c r="AB25" i="5"/>
  <c r="AB89" i="5"/>
  <c r="AB48" i="5"/>
  <c r="AB59" i="5"/>
  <c r="AB62" i="5"/>
  <c r="AB69" i="5"/>
  <c r="AB76" i="5"/>
  <c r="AB71" i="5"/>
  <c r="AB74" i="5"/>
  <c r="AB81" i="5"/>
  <c r="AB88" i="5"/>
  <c r="AB83" i="5"/>
  <c r="AB86" i="5"/>
  <c r="AB93" i="5"/>
  <c r="AB100" i="5"/>
  <c r="AB111" i="5"/>
  <c r="AB114" i="5"/>
  <c r="AB121" i="5"/>
  <c r="AB16" i="5"/>
  <c r="AB128" i="5"/>
  <c r="AB139" i="5"/>
  <c r="AB21" i="5"/>
  <c r="AB28" i="5"/>
  <c r="AB23" i="5"/>
  <c r="AB26" i="5"/>
  <c r="AB33" i="5"/>
  <c r="AB40" i="5"/>
  <c r="AB35" i="5"/>
  <c r="AB38" i="5"/>
  <c r="AB45" i="5"/>
  <c r="AB52" i="5"/>
  <c r="AB63" i="5"/>
  <c r="AB66" i="5"/>
  <c r="AB73" i="5"/>
  <c r="AB14" i="5"/>
  <c r="J24" i="6" s="1"/>
  <c r="J29" i="6" s="1"/>
  <c r="I155" i="9" s="1"/>
  <c r="I156" i="9" s="1"/>
  <c r="I157" i="9" s="1"/>
  <c r="AB112" i="5"/>
  <c r="AB123" i="5"/>
  <c r="AB126" i="5"/>
  <c r="AB133" i="5"/>
  <c r="AB147" i="5"/>
  <c r="AB135" i="5"/>
  <c r="AB138" i="5"/>
  <c r="AB24" i="5"/>
  <c r="AB19" i="5"/>
  <c r="AB22" i="5"/>
  <c r="AB29" i="5"/>
  <c r="AB36" i="5"/>
  <c r="AB47" i="5"/>
  <c r="AB50" i="5"/>
  <c r="AB57" i="5"/>
  <c r="AB64" i="5"/>
  <c r="AB75" i="5"/>
  <c r="AB78" i="5"/>
  <c r="AB85" i="5"/>
  <c r="AB92" i="5"/>
  <c r="AB87" i="5"/>
  <c r="AB90" i="5"/>
  <c r="AB97" i="5"/>
  <c r="AB104" i="5"/>
  <c r="AB99" i="5"/>
  <c r="AB102" i="5"/>
  <c r="AB109" i="5"/>
  <c r="AB116" i="5"/>
  <c r="AB127" i="5"/>
  <c r="AB130" i="5"/>
  <c r="AB137" i="5"/>
  <c r="J161" i="3"/>
  <c r="S161" i="3" s="1"/>
  <c r="J152" i="3"/>
  <c r="S152" i="3" s="1"/>
  <c r="J150" i="3"/>
  <c r="S150" i="3" s="1"/>
  <c r="J148" i="3"/>
  <c r="S148" i="3" s="1"/>
  <c r="AA12" i="5"/>
  <c r="I40" i="9"/>
  <c r="I41" i="9" s="1"/>
  <c r="P113" i="3"/>
  <c r="S132" i="3" l="1"/>
  <c r="S144" i="3"/>
  <c r="P144" i="3"/>
  <c r="J40" i="6"/>
  <c r="J50" i="6" s="1"/>
  <c r="I102" i="2"/>
  <c r="I108" i="2" s="1"/>
  <c r="I24" i="7" s="1"/>
  <c r="T112" i="3"/>
  <c r="G56" i="6"/>
  <c r="G18" i="6"/>
  <c r="K8" i="2"/>
  <c r="K96" i="2" s="1"/>
  <c r="J96" i="2"/>
  <c r="K8" i="7"/>
  <c r="H8" i="8"/>
  <c r="H8" i="9"/>
  <c r="H91" i="9" s="1"/>
  <c r="AB12" i="5"/>
  <c r="T129" i="3"/>
  <c r="T126" i="3"/>
  <c r="R100" i="3"/>
  <c r="P148" i="3"/>
  <c r="R148" i="3" s="1"/>
  <c r="T148" i="3" s="1"/>
  <c r="P158" i="3"/>
  <c r="R158" i="3" s="1"/>
  <c r="T158" i="3" s="1"/>
  <c r="P152" i="3"/>
  <c r="R152" i="3" s="1"/>
  <c r="T152" i="3" s="1"/>
  <c r="P161" i="3"/>
  <c r="R161" i="3" s="1"/>
  <c r="R123" i="3"/>
  <c r="T123" i="3" s="1"/>
  <c r="R127" i="3"/>
  <c r="T127" i="3" s="1"/>
  <c r="R163" i="3"/>
  <c r="T163" i="3" s="1"/>
  <c r="P154" i="3"/>
  <c r="P160" i="3"/>
  <c r="P157" i="3"/>
  <c r="P162" i="3"/>
  <c r="R124" i="3"/>
  <c r="T124" i="3" s="1"/>
  <c r="R128" i="3"/>
  <c r="T128" i="3" s="1"/>
  <c r="R122" i="3"/>
  <c r="T122" i="3" s="1"/>
  <c r="P156" i="3"/>
  <c r="P155" i="3"/>
  <c r="P159" i="3"/>
  <c r="P132" i="3"/>
  <c r="R113" i="3"/>
  <c r="T113" i="3" s="1"/>
  <c r="S145" i="3"/>
  <c r="O164" i="3"/>
  <c r="R147" i="3"/>
  <c r="T147" i="3" s="1"/>
  <c r="P150" i="3"/>
  <c r="P149" i="3"/>
  <c r="T86" i="3"/>
  <c r="T100" i="3" s="1"/>
  <c r="P153" i="3"/>
  <c r="G52" i="9"/>
  <c r="G53" i="9" s="1"/>
  <c r="H52" i="9"/>
  <c r="H53" i="9" s="1"/>
  <c r="R116" i="3"/>
  <c r="T116" i="3" s="1"/>
  <c r="R118" i="3"/>
  <c r="T118" i="3" s="1"/>
  <c r="R151" i="3"/>
  <c r="T151" i="3" s="1"/>
  <c r="I55" i="6"/>
  <c r="R117" i="3"/>
  <c r="T117" i="3" s="1"/>
  <c r="R121" i="3"/>
  <c r="T121" i="3" s="1"/>
  <c r="P145" i="3"/>
  <c r="H21" i="7"/>
  <c r="H160" i="2"/>
  <c r="F83" i="9"/>
  <c r="F84" i="9" s="1"/>
  <c r="F85" i="9" s="1"/>
  <c r="R120" i="3"/>
  <c r="T120" i="3" s="1"/>
  <c r="H47" i="9"/>
  <c r="H48" i="9" s="1"/>
  <c r="S164" i="3" l="1"/>
  <c r="I47" i="9" s="1"/>
  <c r="I48" i="9" s="1"/>
  <c r="R144" i="3"/>
  <c r="T144" i="3" s="1"/>
  <c r="H13" i="6"/>
  <c r="F110" i="9"/>
  <c r="F111" i="9" s="1"/>
  <c r="F112" i="9" s="1"/>
  <c r="G61" i="6"/>
  <c r="F16" i="8" s="1"/>
  <c r="F18" i="8" s="1"/>
  <c r="F27" i="8" s="1"/>
  <c r="I8" i="9"/>
  <c r="I91" i="9" s="1"/>
  <c r="I8" i="8"/>
  <c r="H23" i="7"/>
  <c r="H27" i="7" s="1"/>
  <c r="H29" i="7" s="1"/>
  <c r="H42" i="7" s="1"/>
  <c r="F72" i="8" s="1"/>
  <c r="T161" i="3"/>
  <c r="R155" i="3"/>
  <c r="T155" i="3" s="1"/>
  <c r="R162" i="3"/>
  <c r="T162" i="3" s="1"/>
  <c r="R159" i="3"/>
  <c r="T159" i="3" s="1"/>
  <c r="R154" i="3"/>
  <c r="T154" i="3" s="1"/>
  <c r="R160" i="3"/>
  <c r="T160" i="3" s="1"/>
  <c r="R156" i="3"/>
  <c r="T156" i="3" s="1"/>
  <c r="R157" i="3"/>
  <c r="T157" i="3" s="1"/>
  <c r="I66" i="2"/>
  <c r="T132" i="3"/>
  <c r="J66" i="2" s="1"/>
  <c r="J12" i="6"/>
  <c r="R150" i="3"/>
  <c r="T150" i="3" s="1"/>
  <c r="R149" i="3"/>
  <c r="T149" i="3" s="1"/>
  <c r="H164" i="2"/>
  <c r="H179" i="2" s="1"/>
  <c r="F77" i="9"/>
  <c r="F78" i="9" s="1"/>
  <c r="F79" i="9" s="1"/>
  <c r="P164" i="3"/>
  <c r="R145" i="3"/>
  <c r="T145" i="3" s="1"/>
  <c r="R153" i="3"/>
  <c r="T153" i="3" s="1"/>
  <c r="R132" i="3"/>
  <c r="F74" i="8" l="1"/>
  <c r="F34" i="8"/>
  <c r="F39" i="8" s="1"/>
  <c r="H56" i="6"/>
  <c r="H18" i="6"/>
  <c r="H83" i="9"/>
  <c r="H84" i="9" s="1"/>
  <c r="H85" i="9" s="1"/>
  <c r="J160" i="2"/>
  <c r="J21" i="7"/>
  <c r="J55" i="6"/>
  <c r="R164" i="3"/>
  <c r="I21" i="7"/>
  <c r="G83" i="9"/>
  <c r="G84" i="9" s="1"/>
  <c r="G85" i="9" s="1"/>
  <c r="I160" i="2"/>
  <c r="T164" i="3"/>
  <c r="K66" i="2" s="1"/>
  <c r="F63" i="8" l="1"/>
  <c r="F70" i="8" s="1"/>
  <c r="F73" i="8"/>
  <c r="I13" i="6"/>
  <c r="G110" i="9"/>
  <c r="G111" i="9" s="1"/>
  <c r="G112" i="9" s="1"/>
  <c r="H61" i="6"/>
  <c r="G16" i="8" s="1"/>
  <c r="G18" i="8" s="1"/>
  <c r="I23" i="7"/>
  <c r="I27" i="7" s="1"/>
  <c r="I29" i="7" s="1"/>
  <c r="I42" i="7" s="1"/>
  <c r="J23" i="7"/>
  <c r="J27" i="7" s="1"/>
  <c r="J29" i="7" s="1"/>
  <c r="J42" i="7" s="1"/>
  <c r="H72" i="8" s="1"/>
  <c r="I164" i="2"/>
  <c r="I179" i="2" s="1"/>
  <c r="G77" i="9"/>
  <c r="G78" i="9" s="1"/>
  <c r="G79" i="9" s="1"/>
  <c r="I83" i="9"/>
  <c r="I84" i="9" s="1"/>
  <c r="I85" i="9" s="1"/>
  <c r="K21" i="7"/>
  <c r="K160" i="2"/>
  <c r="J164" i="2"/>
  <c r="J179" i="2" s="1"/>
  <c r="H77" i="9"/>
  <c r="H78" i="9" s="1"/>
  <c r="H79" i="9" s="1"/>
  <c r="I56" i="6" l="1"/>
  <c r="I18" i="6"/>
  <c r="G34" i="8"/>
  <c r="G39" i="8" s="1"/>
  <c r="G63" i="8" s="1"/>
  <c r="G24" i="8" s="1"/>
  <c r="G25" i="8" s="1"/>
  <c r="G72" i="8"/>
  <c r="K23" i="7"/>
  <c r="K27" i="7" s="1"/>
  <c r="K29" i="7" s="1"/>
  <c r="K42" i="7" s="1"/>
  <c r="I72" i="8" s="1"/>
  <c r="I77" i="9"/>
  <c r="I78" i="9" s="1"/>
  <c r="I79" i="9" s="1"/>
  <c r="K164" i="2"/>
  <c r="K179" i="2" s="1"/>
  <c r="J13" i="6" l="1"/>
  <c r="H110" i="9"/>
  <c r="H111" i="9" s="1"/>
  <c r="H112" i="9" s="1"/>
  <c r="I61" i="6"/>
  <c r="H16" i="8" s="1"/>
  <c r="H18" i="8" s="1"/>
  <c r="H34" i="8"/>
  <c r="H39" i="8" s="1"/>
  <c r="G73" i="8"/>
  <c r="G70" i="8"/>
  <c r="G71" i="8"/>
  <c r="G27" i="8"/>
  <c r="G74" i="8" s="1"/>
  <c r="H73" i="8" l="1"/>
  <c r="J56" i="6"/>
  <c r="J18" i="6"/>
  <c r="I34" i="8"/>
  <c r="I39" i="8" s="1"/>
  <c r="H63" i="8"/>
  <c r="H24" i="8" s="1"/>
  <c r="H25" i="8" s="1"/>
  <c r="H71" i="8" s="1"/>
  <c r="I110" i="9" l="1"/>
  <c r="I111" i="9" s="1"/>
  <c r="I112" i="9" s="1"/>
  <c r="J61" i="6"/>
  <c r="I16" i="8" s="1"/>
  <c r="I18" i="8" s="1"/>
  <c r="I63" i="8"/>
  <c r="H27" i="8"/>
  <c r="H74" i="8" s="1"/>
  <c r="H70" i="8"/>
  <c r="I24" i="8" l="1"/>
  <c r="I25" i="8" s="1"/>
  <c r="I27" i="8" s="1"/>
  <c r="I74" i="8" s="1"/>
  <c r="I73" i="8"/>
  <c r="I70" i="8"/>
  <c r="I71" i="8" l="1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22" author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32" authorId="0">
      <text>
        <r>
          <rPr>
            <sz val="9"/>
            <color indexed="81"/>
            <rFont val="Tahoma"/>
            <family val="2"/>
          </rPr>
          <t xml:space="preserve">
Regeling Stcrt. Nr 29508 d.d. 24 okt. 2013. 
Pers. Bekostiging 13-14</t>
        </r>
      </text>
    </comment>
    <comment ref="D114" authorId="1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Bé Keizer</author>
    <author>Keizer</author>
    <author>Goedhart, R.</author>
  </authors>
  <commentLis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Als de schaal die van OP betreft, aantal regels is maximaal 15 cf. schaal per 1 jan. 2011.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Opgave van WTF BAPO is positief getal en dat wordt in mindering gebracht op reguliere WTF</t>
        </r>
      </text>
    </comment>
    <comment ref="Q13" authorId="2">
      <text>
        <r>
          <rPr>
            <sz val="8"/>
            <color indexed="81"/>
            <rFont val="Tahoma"/>
            <family val="2"/>
          </rPr>
          <t xml:space="preserve">
dit percentage is gebaseerd op het landelijk gemiddelde en kan aangepast worden in het werkblad tab, maar ook per werknemer in kolom Q.
</t>
        </r>
      </text>
    </comment>
    <comment ref="J4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Als de schaal die van OP betreft, aantal regels is maximaal 15 cf. schaal per 1 jan. 2011.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4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Opgave van WTF BAPO is positief getal en dat wordt in mindering gebracht op reguliere WTF</t>
        </r>
      </text>
    </comment>
    <comment ref="Q45" authorId="2">
      <text>
        <r>
          <rPr>
            <sz val="8"/>
            <color indexed="81"/>
            <rFont val="Tahoma"/>
            <family val="2"/>
          </rPr>
          <t xml:space="preserve">
dit percentage is gebaseerd op het landelijk gemiddelde en kan aangepast worden in het werkblad tab, maar ook per werknemer in kolom Q.
</t>
        </r>
      </text>
    </comment>
    <comment ref="J77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Als de schaal die van OP betreft, aantal regels is maximaal 15 cf. schaal per 1 jan. 2011.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7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Opgave van WTF BAPO is positief getal en dat wordt in mindering gebracht op reguliere WTF</t>
        </r>
      </text>
    </comment>
    <comment ref="Q78" authorId="2">
      <text>
        <r>
          <rPr>
            <sz val="8"/>
            <color indexed="81"/>
            <rFont val="Tahoma"/>
            <family val="2"/>
          </rPr>
          <t xml:space="preserve">
dit percentage is gebaseerd op het landelijk gemiddelde en kan aangepast worden in het werkblad tab, maar ook per werknemer in kolom Q.
</t>
        </r>
      </text>
    </comment>
    <comment ref="J109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Als de schaal die van OP betreft, aantal regels is maximaal 15 cf. schaal per 1 jan. 2011.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9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Opgave van WTF BAPO is positief getal en dat wordt in mindering gebracht op reguliere WTF</t>
        </r>
      </text>
    </comment>
    <comment ref="Q110" authorId="2">
      <text>
        <r>
          <rPr>
            <sz val="8"/>
            <color indexed="81"/>
            <rFont val="Tahoma"/>
            <family val="2"/>
          </rPr>
          <t xml:space="preserve">
dit percentage is gebaseerd op het landelijk gemiddelde en kan aangepast worden in het werkblad tab, maar ook per werknemer in kolom Q.
</t>
        </r>
      </text>
    </comment>
    <comment ref="J141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Als de schaal die van OP betreft, aantal regels is maximaal 15 cf. schaal per 1 jan. 2011.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1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Opgave van WTF BAPO is positief getal en dat wordt in mindering gebracht op reguliere WTF</t>
        </r>
      </text>
    </comment>
    <comment ref="Q142" authorId="2">
      <text>
        <r>
          <rPr>
            <sz val="8"/>
            <color indexed="81"/>
            <rFont val="Tahoma"/>
            <family val="2"/>
          </rPr>
          <t xml:space="preserve">
dit percentage is gebaseerd op het landelijk gemiddelde en kan aangepast worden in het werkblad tab, maar ook per werknemer in kolom Q.
</t>
        </r>
      </text>
    </comment>
  </commentList>
</comments>
</file>

<file path=xl/comments3.xml><?xml version="1.0" encoding="utf-8"?>
<comments xmlns="http://schemas.openxmlformats.org/spreadsheetml/2006/main">
  <authors>
    <author>Goedhart, R.</author>
  </authors>
  <commentList>
    <comment ref="E8" author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</authors>
  <commentList>
    <comment ref="D11" author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5.xml><?xml version="1.0" encoding="utf-8"?>
<comments xmlns="http://schemas.openxmlformats.org/spreadsheetml/2006/main">
  <authors>
    <author>Keizer</author>
  </authors>
  <commentList>
    <comment ref="E60" authorId="0">
      <text>
        <r>
          <rPr>
            <sz val="9"/>
            <color indexed="81"/>
            <rFont val="Tahoma"/>
            <family val="2"/>
          </rPr>
          <t xml:space="preserve">
Aantal leerlingen wordt ontleend via het werkblad 'ken' aan de opgave van de scholen. </t>
        </r>
      </text>
    </comment>
    <comment ref="A61" authorId="0">
      <text>
        <r>
          <rPr>
            <sz val="9"/>
            <color indexed="81"/>
            <rFont val="Tahoma"/>
            <family val="2"/>
          </rPr>
          <t xml:space="preserve">
Regeling Stcrt. Nr 32656 d.d. 22 nov 2013. Lumpsumtoekenning P+M.</t>
        </r>
      </text>
    </comment>
    <comment ref="A62" authorId="0">
      <text>
        <r>
          <rPr>
            <sz val="9"/>
            <color indexed="81"/>
            <rFont val="Tahoma"/>
            <family val="2"/>
          </rPr>
          <t xml:space="preserve">
Regeling Stcrt. Nr 29508 d.d. 24 okt. 2013. 
Pers. Bekostiging 13-14</t>
        </r>
      </text>
    </comment>
  </commentList>
</comments>
</file>

<file path=xl/sharedStrings.xml><?xml version="1.0" encoding="utf-8"?>
<sst xmlns="http://schemas.openxmlformats.org/spreadsheetml/2006/main" count="1940" uniqueCount="367">
  <si>
    <t>Rijksbijdrage OCW</t>
  </si>
  <si>
    <t>Eigen vermogen</t>
  </si>
  <si>
    <t>dienst</t>
  </si>
  <si>
    <t xml:space="preserve">jaren </t>
  </si>
  <si>
    <t>WTF</t>
  </si>
  <si>
    <t>DA</t>
  </si>
  <si>
    <t>DB</t>
  </si>
  <si>
    <t>DC</t>
  </si>
  <si>
    <t>LA</t>
  </si>
  <si>
    <t>LB</t>
  </si>
  <si>
    <t>LC</t>
  </si>
  <si>
    <t>AA</t>
  </si>
  <si>
    <t>AB</t>
  </si>
  <si>
    <t>AC</t>
  </si>
  <si>
    <t>AD</t>
  </si>
  <si>
    <t>DD</t>
  </si>
  <si>
    <t>DE</t>
  </si>
  <si>
    <t>AE</t>
  </si>
  <si>
    <t>LD</t>
  </si>
  <si>
    <t>LE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</si>
  <si>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</si>
  <si>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</si>
  <si>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</si>
  <si>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</si>
  <si>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</si>
  <si>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</si>
  <si>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</si>
  <si>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</si>
  <si>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</si>
  <si>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functie</t>
  </si>
  <si>
    <t>Langlopende schulden</t>
  </si>
  <si>
    <t>Kortlopende schulden</t>
  </si>
  <si>
    <t>ID2</t>
  </si>
  <si>
    <t>schooljaar</t>
  </si>
  <si>
    <t>naam</t>
  </si>
  <si>
    <t>Salarisgegevens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</si>
  <si>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</si>
  <si>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</si>
  <si>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</si>
  <si>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</si>
  <si>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</si>
  <si>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</si>
  <si>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</si>
  <si>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</si>
  <si>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</si>
  <si>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</si>
  <si>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bapo</t>
  </si>
  <si>
    <t>gecorr.</t>
  </si>
  <si>
    <t>afschrijving</t>
  </si>
  <si>
    <t>investering</t>
  </si>
  <si>
    <t>Jubilea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</si>
  <si>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</si>
  <si>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</si>
  <si>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</si>
  <si>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</si>
  <si>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</si>
  <si>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</si>
  <si>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</si>
  <si>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</si>
  <si>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</si>
  <si>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</si>
  <si>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</si>
  <si>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</si>
  <si>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</si>
  <si>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</si>
  <si>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</si>
  <si>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</si>
  <si>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</si>
  <si>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</si>
  <si>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</si>
  <si>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</si>
  <si>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</si>
  <si>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</si>
  <si>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</si>
  <si>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</si>
  <si>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</si>
  <si>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</si>
  <si>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</si>
  <si>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</si>
  <si>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</si>
  <si>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</si>
  <si>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</si>
  <si>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</si>
  <si>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</si>
  <si>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</si>
  <si>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</si>
  <si>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</si>
  <si>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</si>
  <si>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</si>
  <si>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</si>
  <si>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ICT (niet verplicht)</t>
  </si>
  <si>
    <t>sponsoring</t>
  </si>
  <si>
    <t>Financiële baten en lasten</t>
  </si>
  <si>
    <t>Salarissen en sociale lasten</t>
  </si>
  <si>
    <t>totale lasten</t>
  </si>
  <si>
    <t>personele lasten</t>
  </si>
  <si>
    <t>administratie</t>
  </si>
  <si>
    <t>schoonmaak</t>
  </si>
  <si>
    <t>inventaris en apparatuur</t>
  </si>
  <si>
    <t>leermiddelen</t>
  </si>
  <si>
    <t>huisvesting</t>
  </si>
  <si>
    <t>energie en water (niet verplicht)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</si>
  <si>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</si>
  <si>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</si>
  <si>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</si>
  <si>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</si>
  <si>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</si>
  <si>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</si>
  <si>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</si>
  <si>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per leerling</t>
  </si>
  <si>
    <t>MEERJARENINVESTERINGSPLAN (MIP) T.L.V. BESTUURSKANTOOR</t>
  </si>
  <si>
    <t xml:space="preserve">school 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</si>
  <si>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</si>
  <si>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</si>
  <si>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</si>
  <si>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</si>
  <si>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</si>
  <si>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</si>
  <si>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</si>
  <si>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</si>
  <si>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</si>
  <si>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</si>
  <si>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administratief personeel bovenschools</t>
  </si>
  <si>
    <t>ICT bovenschools (personeel en materieel)</t>
  </si>
  <si>
    <t>schoonmaakpersoneel bovenschools</t>
  </si>
  <si>
    <t>sofinr.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</si>
  <si>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</si>
  <si>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</si>
  <si>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</si>
  <si>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</si>
  <si>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>Hierna de kanttekeningen bij die invoer waar dat nodig is.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</si>
  <si>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</si>
  <si>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</si>
  <si>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</si>
  <si>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kosten van BAPO worden apart berekend en weergegeven, evenals de gratificatie voor jubilea. De BAPO kosten worden ten laste gebracht van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</si>
  <si>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</si>
  <si>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</si>
  <si>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</si>
  <si>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 xml:space="preserve">Wanneer u een eerste waardering c.q inventarisatie in het kader van de startbalans heeft laten uitvoeren, kunt u in dit werkblad tevens 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</si>
  <si>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</si>
  <si>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</si>
  <si>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</si>
  <si>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</si>
  <si>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</si>
  <si>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</si>
  <si>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</si>
  <si>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afschrijvingslasten vanuit de eerste waardering worden ten laste van de exploitatie gebracht.</t>
  </si>
  <si>
    <t>personele lasten (loonkosten)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</si>
  <si>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</si>
  <si>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</si>
  <si>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</si>
  <si>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</si>
  <si>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huisvestings- / onderhouds-personeel bovenschools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</si>
  <si>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</si>
  <si>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</si>
  <si>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</si>
  <si>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</si>
  <si>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</si>
  <si>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</si>
  <si>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</si>
  <si>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</si>
  <si>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</si>
  <si>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</si>
  <si>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</si>
  <si>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</si>
  <si>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</si>
  <si>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</si>
  <si>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TAB SO</t>
  </si>
  <si>
    <t>TAB VSO</t>
  </si>
  <si>
    <t>PAB</t>
  </si>
  <si>
    <t>School omvat MG</t>
  </si>
  <si>
    <t>Verbrede  toelating SO</t>
  </si>
  <si>
    <t>Verbrede  toelating VSO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</si>
  <si>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</si>
  <si>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</si>
  <si>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</si>
  <si>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</si>
  <si>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 xml:space="preserve">tezamen met de boekwaarden vanuit de investeringen na 1 januari 2006, vormen de totale boekwaarde van de materiële vaste activa. De </t>
  </si>
  <si>
    <t>Door de sommatie per schoolsoort uit te voeren met het deel wat voor die schoolsoort toegerekend wordt aan het bestuurskantoor kan men ook</t>
  </si>
  <si>
    <t>2012/13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</si>
  <si>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</si>
  <si>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</si>
  <si>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</si>
  <si>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</si>
  <si>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</si>
  <si>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</si>
  <si>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</si>
  <si>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</si>
  <si>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</si>
  <si>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</si>
  <si>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</si>
  <si>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</si>
  <si>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</si>
  <si>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</si>
  <si>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</si>
  <si>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</si>
  <si>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</si>
  <si>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</si>
  <si>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</si>
  <si>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</si>
  <si>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</si>
  <si>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</si>
  <si>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</si>
  <si>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</si>
  <si>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</si>
  <si>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</si>
  <si>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</si>
  <si>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</si>
  <si>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</si>
  <si>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</si>
  <si>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</si>
  <si>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</si>
  <si>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</si>
  <si>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</si>
  <si>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</si>
  <si>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</si>
  <si>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</si>
  <si>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</si>
  <si>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</si>
  <si>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</si>
  <si>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</si>
  <si>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</si>
  <si>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Salaristabel</t>
  </si>
  <si>
    <t>2013/14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</si>
  <si>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</si>
  <si>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</si>
  <si>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</si>
  <si>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</si>
  <si>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</si>
  <si>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</si>
  <si>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eigen bijdrage bapo (dir, op en oop &gt;8)</t>
  </si>
  <si>
    <t>eigen bijdrage bapo (oop&lt;=8))</t>
  </si>
  <si>
    <t>werkgeverslasten bij opname bapo</t>
  </si>
  <si>
    <t>Rentabiliteit</t>
  </si>
  <si>
    <t xml:space="preserve">werktijdfactor dan 0,0000. Ook is het van belang dat er een naam ingevuld wordt, anders worden de berekeningen in die regel niet uitgevoerd. 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</si>
  <si>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</si>
  <si>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</si>
  <si>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</si>
  <si>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</si>
  <si>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ouderbijdragen</t>
  </si>
  <si>
    <t>scholen</t>
  </si>
  <si>
    <t>bestuurskantoor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</si>
  <si>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</si>
  <si>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</si>
  <si>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</si>
  <si>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</si>
  <si>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</si>
  <si>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</si>
  <si>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</si>
  <si>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</si>
  <si>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</si>
  <si>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historische gegevens zo mogelijk een nauwkeuriger percentage vast te stellen.</t>
  </si>
  <si>
    <t>2014/15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</si>
  <si>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</si>
  <si>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</si>
  <si>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</si>
  <si>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Bapo kosten</t>
  </si>
  <si>
    <t>Jubilea kosten</t>
  </si>
  <si>
    <t>Dotatie jubilea</t>
  </si>
  <si>
    <t>Voorziening groot onderhoud bestuurskantoor</t>
  </si>
  <si>
    <t>Overig</t>
  </si>
  <si>
    <t>poraad</t>
  </si>
  <si>
    <r>
      <t xml:space="preserve">Afschrijvingen (vanuit </t>
    </r>
    <r>
      <rPr>
        <b/>
        <u/>
        <sz val="10"/>
        <rFont val="Calibri"/>
        <family val="2"/>
      </rPr>
      <t>eerste waardering</t>
    </r>
    <r>
      <rPr>
        <b/>
        <sz val="10"/>
        <rFont val="Calibri"/>
        <family val="2"/>
      </rPr>
      <t>)</t>
    </r>
  </si>
  <si>
    <t>2015/16</t>
  </si>
  <si>
    <t>Persoonsgegevens</t>
  </si>
  <si>
    <t>geboorte</t>
  </si>
  <si>
    <t xml:space="preserve">WTF </t>
  </si>
  <si>
    <t>Personele lasten</t>
  </si>
  <si>
    <t xml:space="preserve">Rijksbijdragen OCW </t>
  </si>
  <si>
    <t>Salarissen t.l.v. bestuurskantoor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</si>
  <si>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</si>
  <si>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</si>
  <si>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</si>
  <si>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</si>
  <si>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</si>
  <si>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</si>
  <si>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</si>
  <si>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 xml:space="preserve"> r.goedhart@poraad.nl 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</si>
  <si>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</si>
  <si>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</si>
  <si>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</si>
  <si>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</si>
  <si>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</si>
  <si>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</si>
  <si>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</si>
  <si>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</si>
  <si>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</si>
  <si>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</si>
  <si>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</si>
  <si>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</si>
  <si>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</si>
  <si>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>Bapo</t>
  </si>
  <si>
    <t>Salarissen en sociale lasten (incl. bapokosten)</t>
  </si>
  <si>
    <t xml:space="preserve">Daarbij dient opgemerkt te worden dat dit een gemiddelde landelijke raming betreft en het wordt dringend aangeraden op grond van de eigen </t>
  </si>
  <si>
    <t xml:space="preserve">bruto </t>
  </si>
  <si>
    <t>werkgevers lasten</t>
  </si>
  <si>
    <t>jubilea</t>
  </si>
  <si>
    <t>salaris</t>
  </si>
  <si>
    <t>euro's</t>
  </si>
  <si>
    <t>2. Verdeel de dotatielasten gelijkmatig over de jaren heen (egalisastie van kosten) op zo'n manier dat deze voorziening nooit negatief zal uitvallen.</t>
  </si>
  <si>
    <t>2016/17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</si>
  <si>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</si>
  <si>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</si>
  <si>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</si>
  <si>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</si>
  <si>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</si>
  <si>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</si>
  <si>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</si>
  <si>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</si>
  <si>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</si>
  <si>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</si>
  <si>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</si>
  <si>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</si>
  <si>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</si>
  <si>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</si>
  <si>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</si>
  <si>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</si>
  <si>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>Overige overheidsbijdragen- en subsidies</t>
  </si>
  <si>
    <t xml:space="preserve">Overige lasten </t>
  </si>
  <si>
    <t xml:space="preserve">Vaste activa </t>
  </si>
  <si>
    <t xml:space="preserve">de boekwaarden  en afschrijvingslasten vanuit deze eerste waardering meenemen. De boekwaarden vanuit de eerste waardering </t>
  </si>
  <si>
    <t>versie</t>
  </si>
  <si>
    <t>2017/18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</si>
  <si>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</si>
  <si>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</si>
  <si>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</si>
  <si>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</si>
  <si>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</si>
  <si>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>De BAPO-loonkosten worden afzonderlijk berekend en komen, sinds 1 januari 2010, in de exploitatiebegroting aan de orde.</t>
  </si>
  <si>
    <t>de exploitatie, de jubilea gratificatie van de voorziening Jubilea (zie de info hierover in het werkblad 'begr (bk)').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</si>
  <si>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</si>
  <si>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</si>
  <si>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</si>
  <si>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voor de eigen scholen per schoolsoort de verplichte opgave van de kengetallen verkrijgen die het gemiddelde zijn voor die schoolsoort.</t>
  </si>
  <si>
    <t>Algemene reserve via bestuurskantoor</t>
  </si>
  <si>
    <t>totaal zorgbekostiging (lichte en zware ondersteuning)</t>
  </si>
  <si>
    <t>totaal bekostiging lichte en zware ondersteuning</t>
  </si>
  <si>
    <t>van samenwerkingsverband / lichte ondersteuning (WSNS)</t>
  </si>
  <si>
    <t>Van samenwerkingsverband /lichte ondersteuning (WSNS)</t>
  </si>
  <si>
    <t>2018/19</t>
  </si>
  <si>
    <t>Vanuit samenwerkingsverband / lichte ondersteuning (WSNS)</t>
  </si>
  <si>
    <t>Vanuit samenwerkingsverband / zware ondersteuning</t>
  </si>
  <si>
    <r>
      <t xml:space="preserve">(alle investeringen </t>
    </r>
    <r>
      <rPr>
        <b/>
        <i/>
        <sz val="12"/>
        <rFont val="Calibri"/>
        <family val="2"/>
      </rPr>
      <t xml:space="preserve">vanaf 1 januari 2006 voorzover niet compleet afgeschreven </t>
    </r>
    <r>
      <rPr>
        <i/>
        <sz val="12"/>
        <rFont val="Calibri"/>
        <family val="2"/>
      </rPr>
      <t xml:space="preserve">en alle </t>
    </r>
    <r>
      <rPr>
        <b/>
        <i/>
        <sz val="12"/>
        <rFont val="Calibri"/>
        <family val="2"/>
      </rPr>
      <t>toekomstige</t>
    </r>
    <r>
      <rPr>
        <i/>
        <sz val="12"/>
        <rFont val="Calibri"/>
        <family val="2"/>
      </rPr>
      <t xml:space="preserve"> investeringen)</t>
    </r>
  </si>
  <si>
    <t>FTE ondersteunend en beheerspersoneel</t>
  </si>
  <si>
    <t>Handleiding bij Sommatiemodel GELD 2014</t>
  </si>
  <si>
    <r>
      <t xml:space="preserve">In deze applicatie kunnen de uitkomsten van de meerjarenbegrotingen geld </t>
    </r>
    <r>
      <rPr>
        <b/>
        <sz val="11"/>
        <rFont val="Calibri"/>
        <family val="2"/>
      </rPr>
      <t>bas 2014, sbo 2014 en (v)so 2014</t>
    </r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</si>
  <si>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</si>
  <si>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</si>
  <si>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r>
      <t xml:space="preserve">Voor het schooljaar 2013-2014 en de daaropvolgende schooljaren zijn de werkgeverslasten door de PO-Raad geraamd op </t>
    </r>
    <r>
      <rPr>
        <b/>
        <sz val="11"/>
        <rFont val="Calibri"/>
        <family val="2"/>
      </rPr>
      <t xml:space="preserve">61%. </t>
    </r>
  </si>
  <si>
    <t xml:space="preserve">Hiervoor is het vereist dat alle investeringen vanaf 1 januari 2006, voorzover nog niet volledig afgeschreven, en de toekomstige investeringen </t>
  </si>
  <si>
    <t>(gedurende tenminste de komende vijf jaren) in kaart worden gebracht.</t>
  </si>
  <si>
    <t>Dit werkblad geeft een overzicht van hetgeen is ingevuld in het werkblad 'mip'.</t>
  </si>
  <si>
    <t xml:space="preserve">De tabellen beperken zich hier tot de salaristabellen per 1 juli 2013 en de werkgeverslasten. </t>
  </si>
  <si>
    <t>Bekostiging via samenwerkingsverband passend onderwijs</t>
  </si>
  <si>
    <t>Wijzigingen t.o.v. versie 16sept2013</t>
  </si>
  <si>
    <t xml:space="preserve"> - Verhoging minimumloon per 1 jan. 2014 in salaristabel verwerkt</t>
  </si>
  <si>
    <t xml:space="preserve">Toekenning </t>
  </si>
  <si>
    <t>Regeling bijz en aanv bekostiging P+M kalenderjaar 2013</t>
  </si>
  <si>
    <t>P+M</t>
  </si>
  <si>
    <t>Regeling bijz en aanv bekostiging jonge leerkrachten</t>
  </si>
  <si>
    <t>P</t>
  </si>
  <si>
    <t>aantal leerlingen</t>
  </si>
  <si>
    <t>(zie bij begr(bk)</t>
  </si>
  <si>
    <t xml:space="preserve"> - Regelingen Bijz en aanv bek jonge leerkrachten resp PO en VO 2013 bij 'tab' toegevoegd.</t>
  </si>
  <si>
    <t>Algemeen</t>
  </si>
  <si>
    <t xml:space="preserve"> - Werkgeverslasten verhoogd van 61% naar 62%</t>
  </si>
  <si>
    <t xml:space="preserve">Geen wijziging ivm nieuwe data 2014-2015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</si>
</sst>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</numFmts>
  <fonts count="56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theme="0"/>
      <name val="Calibri"/>
      <family val="2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b/>
      <u/>
      <sz val="10"/>
      <color rgb="FFC0000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sz val="14"/>
      <color rgb="FFC00000"/>
      <name val="Calibri"/>
      <family val="2"/>
    </font>
    <font>
      <i/>
      <sz val="10"/>
      <color rgb="FF0070C0"/>
      <name val="Calibri"/>
      <family val="2"/>
    </font>
    <font>
      <b/>
      <sz val="11"/>
      <color rgb="FFC0000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6">
    <xf numFmtId="0" fontId="0" fillId="0" borderId="0" xfId="0"/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67" fontId="13" fillId="0" borderId="0" xfId="0" applyNumberFormat="1" applyFont="1" applyFill="1" applyBorder="1" applyAlignment="1" applyProtection="1">
      <alignment horizontal="left"/>
    </xf>
    <xf numFmtId="1" fontId="9" fillId="0" borderId="0" xfId="0" applyNumberFormat="1" applyFont="1" applyFill="1" applyBorder="1" applyAlignment="1" applyProtection="1">
      <alignment horizontal="left"/>
    </xf>
    <xf numFmtId="168" fontId="9" fillId="0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172" fontId="9" fillId="2" borderId="0" xfId="0" applyNumberFormat="1" applyFont="1" applyFill="1" applyBorder="1" applyAlignment="1" applyProtection="1">
      <alignment horizontal="left"/>
      <protection locked="0"/>
    </xf>
    <xf numFmtId="172" fontId="9" fillId="0" borderId="0" xfId="0" applyNumberFormat="1" applyFont="1" applyFill="1" applyBorder="1" applyAlignment="1" applyProtection="1">
      <alignment horizontal="left"/>
    </xf>
    <xf numFmtId="10" fontId="12" fillId="0" borderId="0" xfId="0" applyNumberFormat="1" applyFont="1" applyFill="1" applyBorder="1" applyAlignment="1" applyProtection="1">
      <alignment horizontal="left"/>
    </xf>
    <xf numFmtId="167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173" fontId="9" fillId="2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173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16" fontId="8" fillId="0" borderId="0" xfId="0" applyNumberFormat="1" applyFont="1" applyFill="1" applyBorder="1" applyAlignment="1" applyProtection="1">
      <alignment horizontal="left"/>
    </xf>
    <xf numFmtId="9" fontId="8" fillId="0" borderId="0" xfId="2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indent="1"/>
    </xf>
    <xf numFmtId="3" fontId="9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indent="1"/>
    </xf>
    <xf numFmtId="3" fontId="8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171" fontId="8" fillId="0" borderId="0" xfId="0" applyNumberFormat="1" applyFont="1" applyFill="1" applyBorder="1" applyAlignment="1" applyProtection="1">
      <alignment horizontal="left"/>
    </xf>
    <xf numFmtId="9" fontId="9" fillId="0" borderId="0" xfId="0" applyNumberFormat="1" applyFont="1" applyFill="1" applyAlignment="1" applyProtection="1">
      <alignment horizontal="left"/>
    </xf>
    <xf numFmtId="3" fontId="9" fillId="3" borderId="0" xfId="0" applyNumberFormat="1" applyFont="1" applyFill="1" applyBorder="1" applyAlignment="1" applyProtection="1">
      <alignment horizontal="left"/>
      <protection locked="0"/>
    </xf>
    <xf numFmtId="0" fontId="9" fillId="4" borderId="0" xfId="0" applyFont="1" applyFill="1" applyBorder="1" applyProtection="1"/>
    <xf numFmtId="0" fontId="15" fillId="4" borderId="0" xfId="0" applyFont="1" applyFill="1" applyBorder="1" applyProtection="1"/>
    <xf numFmtId="0" fontId="22" fillId="4" borderId="0" xfId="0" applyFont="1" applyFill="1" applyBorder="1" applyAlignment="1" applyProtection="1">
      <alignment horizontal="center"/>
    </xf>
    <xf numFmtId="165" fontId="23" fillId="4" borderId="0" xfId="3" applyNumberFormat="1" applyFont="1" applyFill="1" applyBorder="1" applyProtection="1"/>
    <xf numFmtId="165" fontId="14" fillId="4" borderId="0" xfId="3" applyNumberFormat="1" applyFont="1" applyFill="1" applyBorder="1" applyProtection="1"/>
    <xf numFmtId="0" fontId="9" fillId="4" borderId="0" xfId="0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14" fillId="4" borderId="0" xfId="0" applyFont="1" applyFill="1" applyBorder="1" applyProtection="1"/>
    <xf numFmtId="0" fontId="9" fillId="4" borderId="0" xfId="0" applyNumberFormat="1" applyFont="1" applyFill="1" applyBorder="1" applyProtection="1"/>
    <xf numFmtId="168" fontId="9" fillId="4" borderId="0" xfId="0" applyNumberFormat="1" applyFont="1" applyFill="1" applyBorder="1" applyProtection="1"/>
    <xf numFmtId="0" fontId="9" fillId="5" borderId="1" xfId="0" applyFont="1" applyFill="1" applyBorder="1" applyProtection="1"/>
    <xf numFmtId="0" fontId="9" fillId="5" borderId="2" xfId="0" applyFont="1" applyFill="1" applyBorder="1" applyProtection="1"/>
    <xf numFmtId="0" fontId="14" fillId="5" borderId="2" xfId="0" applyFont="1" applyFill="1" applyBorder="1" applyProtection="1"/>
    <xf numFmtId="0" fontId="9" fillId="5" borderId="2" xfId="0" applyFont="1" applyFill="1" applyBorder="1" applyAlignment="1" applyProtection="1">
      <alignment horizontal="right"/>
    </xf>
    <xf numFmtId="0" fontId="9" fillId="5" borderId="3" xfId="0" applyFont="1" applyFill="1" applyBorder="1" applyProtection="1"/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9" fillId="5" borderId="5" xfId="0" applyFont="1" applyFill="1" applyBorder="1" applyProtection="1"/>
    <xf numFmtId="0" fontId="15" fillId="5" borderId="4" xfId="0" applyFont="1" applyFill="1" applyBorder="1" applyProtection="1"/>
    <xf numFmtId="0" fontId="15" fillId="5" borderId="0" xfId="0" applyFont="1" applyFill="1" applyBorder="1" applyProtection="1"/>
    <xf numFmtId="0" fontId="23" fillId="5" borderId="0" xfId="0" applyNumberFormat="1" applyFont="1" applyFill="1" applyBorder="1" applyAlignment="1" applyProtection="1">
      <alignment horizontal="right"/>
    </xf>
    <xf numFmtId="0" fontId="22" fillId="5" borderId="0" xfId="0" applyFont="1" applyFill="1" applyBorder="1" applyAlignment="1" applyProtection="1">
      <alignment horizontal="right"/>
    </xf>
    <xf numFmtId="0" fontId="22" fillId="5" borderId="0" xfId="0" applyFont="1" applyFill="1" applyBorder="1" applyAlignment="1" applyProtection="1">
      <alignment horizontal="center"/>
    </xf>
    <xf numFmtId="165" fontId="23" fillId="5" borderId="0" xfId="3" applyNumberFormat="1" applyFont="1" applyFill="1" applyBorder="1" applyProtection="1"/>
    <xf numFmtId="165" fontId="23" fillId="5" borderId="5" xfId="3" applyNumberFormat="1" applyFont="1" applyFill="1" applyBorder="1" applyProtection="1"/>
    <xf numFmtId="0" fontId="12" fillId="5" borderId="0" xfId="0" applyFont="1" applyFill="1" applyBorder="1" applyAlignment="1" applyProtection="1">
      <alignment horizontal="right"/>
    </xf>
    <xf numFmtId="165" fontId="14" fillId="5" borderId="0" xfId="3" applyNumberFormat="1" applyFont="1" applyFill="1" applyBorder="1" applyProtection="1"/>
    <xf numFmtId="165" fontId="14" fillId="5" borderId="5" xfId="3" applyNumberFormat="1" applyFont="1" applyFill="1" applyBorder="1" applyProtection="1"/>
    <xf numFmtId="0" fontId="9" fillId="5" borderId="0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left"/>
    </xf>
    <xf numFmtId="0" fontId="12" fillId="5" borderId="4" xfId="0" applyFont="1" applyFill="1" applyBorder="1" applyProtection="1"/>
    <xf numFmtId="0" fontId="12" fillId="5" borderId="0" xfId="0" applyFont="1" applyFill="1" applyBorder="1" applyProtection="1"/>
    <xf numFmtId="0" fontId="12" fillId="5" borderId="5" xfId="0" applyFont="1" applyFill="1" applyBorder="1" applyProtection="1"/>
    <xf numFmtId="0" fontId="14" fillId="5" borderId="0" xfId="0" applyFont="1" applyFill="1" applyBorder="1" applyProtection="1"/>
    <xf numFmtId="0" fontId="9" fillId="5" borderId="0" xfId="0" applyNumberFormat="1" applyFont="1" applyFill="1" applyBorder="1" applyProtection="1"/>
    <xf numFmtId="168" fontId="9" fillId="5" borderId="0" xfId="0" applyNumberFormat="1" applyFont="1" applyFill="1" applyBorder="1" applyProtection="1"/>
    <xf numFmtId="0" fontId="9" fillId="5" borderId="6" xfId="0" applyFont="1" applyFill="1" applyBorder="1" applyProtection="1"/>
    <xf numFmtId="0" fontId="9" fillId="5" borderId="7" xfId="0" applyFont="1" applyFill="1" applyBorder="1" applyProtection="1"/>
    <xf numFmtId="168" fontId="9" fillId="5" borderId="7" xfId="0" applyNumberFormat="1" applyFont="1" applyFill="1" applyBorder="1" applyProtection="1"/>
    <xf numFmtId="0" fontId="9" fillId="5" borderId="8" xfId="0" applyFont="1" applyFill="1" applyBorder="1" applyProtection="1"/>
    <xf numFmtId="0" fontId="9" fillId="4" borderId="9" xfId="0" applyFont="1" applyFill="1" applyBorder="1" applyProtection="1"/>
    <xf numFmtId="0" fontId="9" fillId="4" borderId="10" xfId="0" applyFont="1" applyFill="1" applyBorder="1" applyProtection="1"/>
    <xf numFmtId="0" fontId="12" fillId="4" borderId="10" xfId="0" applyFont="1" applyFill="1" applyBorder="1" applyAlignment="1" applyProtection="1">
      <alignment horizontal="right"/>
    </xf>
    <xf numFmtId="165" fontId="14" fillId="4" borderId="11" xfId="3" applyNumberFormat="1" applyFont="1" applyFill="1" applyBorder="1" applyProtection="1"/>
    <xf numFmtId="0" fontId="9" fillId="4" borderId="12" xfId="0" applyFont="1" applyFill="1" applyBorder="1" applyProtection="1"/>
    <xf numFmtId="0" fontId="9" fillId="4" borderId="13" xfId="0" applyFont="1" applyFill="1" applyBorder="1" applyAlignment="1" applyProtection="1">
      <alignment horizontal="left"/>
    </xf>
    <xf numFmtId="0" fontId="9" fillId="4" borderId="13" xfId="0" applyFont="1" applyFill="1" applyBorder="1" applyProtection="1"/>
    <xf numFmtId="0" fontId="9" fillId="4" borderId="14" xfId="0" applyFont="1" applyFill="1" applyBorder="1" applyProtection="1"/>
    <xf numFmtId="0" fontId="14" fillId="4" borderId="13" xfId="0" applyFont="1" applyFill="1" applyBorder="1" applyAlignment="1" applyProtection="1">
      <alignment horizontal="left"/>
    </xf>
    <xf numFmtId="0" fontId="12" fillId="4" borderId="12" xfId="0" applyFont="1" applyFill="1" applyBorder="1" applyProtection="1"/>
    <xf numFmtId="0" fontId="12" fillId="4" borderId="14" xfId="0" applyFont="1" applyFill="1" applyBorder="1" applyProtection="1"/>
    <xf numFmtId="0" fontId="12" fillId="4" borderId="13" xfId="0" applyFont="1" applyFill="1" applyBorder="1" applyProtection="1"/>
    <xf numFmtId="0" fontId="14" fillId="4" borderId="13" xfId="0" applyFont="1" applyFill="1" applyBorder="1" applyProtection="1"/>
    <xf numFmtId="174" fontId="9" fillId="4" borderId="13" xfId="0" applyNumberFormat="1" applyFont="1" applyFill="1" applyBorder="1" applyAlignment="1" applyProtection="1">
      <alignment horizontal="left"/>
    </xf>
    <xf numFmtId="0" fontId="9" fillId="4" borderId="13" xfId="0" applyNumberFormat="1" applyFont="1" applyFill="1" applyBorder="1" applyProtection="1"/>
    <xf numFmtId="0" fontId="9" fillId="4" borderId="15" xfId="0" applyFont="1" applyFill="1" applyBorder="1" applyProtection="1"/>
    <xf numFmtId="0" fontId="9" fillId="4" borderId="16" xfId="0" applyFont="1" applyFill="1" applyBorder="1" applyProtection="1"/>
    <xf numFmtId="168" fontId="9" fillId="4" borderId="16" xfId="0" applyNumberFormat="1" applyFont="1" applyFill="1" applyBorder="1" applyProtection="1"/>
    <xf numFmtId="0" fontId="9" fillId="4" borderId="17" xfId="0" applyFont="1" applyFill="1" applyBorder="1" applyProtection="1"/>
    <xf numFmtId="164" fontId="9" fillId="5" borderId="13" xfId="0" applyNumberFormat="1" applyFont="1" applyFill="1" applyBorder="1" applyAlignment="1" applyProtection="1">
      <protection locked="0"/>
    </xf>
    <xf numFmtId="0" fontId="37" fillId="5" borderId="0" xfId="0" applyNumberFormat="1" applyFont="1" applyFill="1" applyBorder="1" applyAlignment="1" applyProtection="1">
      <alignment horizontal="right"/>
    </xf>
    <xf numFmtId="0" fontId="38" fillId="5" borderId="0" xfId="0" applyFont="1" applyFill="1" applyBorder="1" applyAlignment="1" applyProtection="1">
      <alignment horizontal="right"/>
    </xf>
    <xf numFmtId="0" fontId="38" fillId="5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Protection="1"/>
    <xf numFmtId="0" fontId="16" fillId="4" borderId="0" xfId="0" applyFont="1" applyFill="1" applyBorder="1" applyProtection="1"/>
    <xf numFmtId="0" fontId="17" fillId="4" borderId="0" xfId="0" applyFont="1" applyFill="1" applyBorder="1" applyProtection="1"/>
    <xf numFmtId="0" fontId="6" fillId="4" borderId="0" xfId="0" applyFont="1" applyFill="1" applyBorder="1" applyProtection="1"/>
    <xf numFmtId="164" fontId="6" fillId="4" borderId="0" xfId="0" applyNumberFormat="1" applyFont="1" applyFill="1" applyBorder="1" applyProtection="1"/>
    <xf numFmtId="0" fontId="15" fillId="4" borderId="0" xfId="0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0" fontId="13" fillId="4" borderId="0" xfId="0" applyFont="1" applyFill="1" applyBorder="1" applyProtection="1"/>
    <xf numFmtId="164" fontId="14" fillId="4" borderId="0" xfId="0" applyNumberFormat="1" applyFont="1" applyFill="1" applyBorder="1" applyProtection="1"/>
    <xf numFmtId="0" fontId="9" fillId="4" borderId="0" xfId="0" applyFont="1" applyFill="1" applyBorder="1" applyAlignment="1" applyProtection="1">
      <alignment horizontal="right"/>
    </xf>
    <xf numFmtId="0" fontId="25" fillId="4" borderId="0" xfId="0" applyFont="1" applyFill="1" applyBorder="1" applyProtection="1"/>
    <xf numFmtId="0" fontId="20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indent="2"/>
    </xf>
    <xf numFmtId="0" fontId="9" fillId="4" borderId="0" xfId="0" applyFont="1" applyFill="1" applyProtection="1"/>
    <xf numFmtId="0" fontId="9" fillId="4" borderId="0" xfId="0" applyNumberFormat="1" applyFont="1" applyFill="1" applyBorder="1" applyAlignment="1" applyProtection="1">
      <alignment horizontal="center"/>
    </xf>
    <xf numFmtId="170" fontId="9" fillId="4" borderId="0" xfId="0" applyNumberFormat="1" applyFont="1" applyFill="1" applyBorder="1" applyAlignment="1" applyProtection="1">
      <alignment horizontal="center"/>
    </xf>
    <xf numFmtId="170" fontId="9" fillId="4" borderId="0" xfId="0" applyNumberFormat="1" applyFont="1" applyFill="1" applyBorder="1" applyProtection="1"/>
    <xf numFmtId="0" fontId="9" fillId="4" borderId="0" xfId="0" applyNumberFormat="1" applyFont="1" applyFill="1" applyBorder="1" applyAlignment="1" applyProtection="1"/>
    <xf numFmtId="166" fontId="9" fillId="4" borderId="0" xfId="0" applyNumberFormat="1" applyFont="1" applyFill="1" applyBorder="1" applyProtection="1"/>
    <xf numFmtId="2" fontId="9" fillId="4" borderId="0" xfId="0" applyNumberFormat="1" applyFont="1" applyFill="1" applyBorder="1" applyProtection="1"/>
    <xf numFmtId="0" fontId="19" fillId="4" borderId="0" xfId="0" applyFont="1" applyFill="1" applyBorder="1" applyProtection="1"/>
    <xf numFmtId="0" fontId="19" fillId="4" borderId="0" xfId="0" applyNumberFormat="1" applyFont="1" applyFill="1" applyBorder="1" applyAlignment="1" applyProtection="1">
      <alignment horizontal="center"/>
    </xf>
    <xf numFmtId="170" fontId="19" fillId="4" borderId="0" xfId="0" applyNumberFormat="1" applyFont="1" applyFill="1" applyBorder="1" applyAlignment="1" applyProtection="1">
      <alignment horizontal="center"/>
    </xf>
    <xf numFmtId="170" fontId="19" fillId="4" borderId="0" xfId="0" applyNumberFormat="1" applyFont="1" applyFill="1" applyBorder="1" applyProtection="1"/>
    <xf numFmtId="164" fontId="19" fillId="4" borderId="0" xfId="0" applyNumberFormat="1" applyFont="1" applyFill="1" applyBorder="1" applyProtection="1"/>
    <xf numFmtId="0" fontId="19" fillId="4" borderId="0" xfId="0" applyNumberFormat="1" applyFont="1" applyFill="1" applyBorder="1" applyProtection="1"/>
    <xf numFmtId="1" fontId="19" fillId="4" borderId="0" xfId="0" applyNumberFormat="1" applyFont="1" applyFill="1" applyBorder="1" applyProtection="1"/>
    <xf numFmtId="1" fontId="9" fillId="4" borderId="0" xfId="0" applyNumberFormat="1" applyFont="1" applyFill="1" applyBorder="1" applyProtection="1"/>
    <xf numFmtId="171" fontId="13" fillId="4" borderId="0" xfId="0" applyNumberFormat="1" applyFont="1" applyFill="1" applyBorder="1" applyAlignment="1" applyProtection="1">
      <alignment horizontal="left"/>
    </xf>
    <xf numFmtId="0" fontId="9" fillId="4" borderId="0" xfId="0" applyNumberFormat="1" applyFont="1" applyFill="1" applyProtection="1"/>
    <xf numFmtId="164" fontId="9" fillId="4" borderId="0" xfId="0" applyNumberFormat="1" applyFont="1" applyFill="1" applyProtection="1"/>
    <xf numFmtId="170" fontId="9" fillId="4" borderId="0" xfId="0" applyNumberFormat="1" applyFont="1" applyFill="1" applyAlignment="1" applyProtection="1">
      <alignment horizontal="center"/>
    </xf>
    <xf numFmtId="0" fontId="9" fillId="4" borderId="0" xfId="0" applyNumberFormat="1" applyFont="1" applyFill="1" applyAlignment="1" applyProtection="1">
      <alignment horizontal="center"/>
    </xf>
    <xf numFmtId="170" fontId="9" fillId="4" borderId="0" xfId="0" applyNumberFormat="1" applyFont="1" applyFill="1" applyProtection="1"/>
    <xf numFmtId="1" fontId="9" fillId="4" borderId="0" xfId="0" applyNumberFormat="1" applyFont="1" applyFill="1" applyProtection="1"/>
    <xf numFmtId="166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Alignment="1" applyProtection="1">
      <alignment horizontal="center"/>
    </xf>
    <xf numFmtId="1" fontId="15" fillId="4" borderId="0" xfId="0" applyNumberFormat="1" applyFont="1" applyFill="1" applyBorder="1" applyAlignment="1" applyProtection="1">
      <alignment horizontal="center"/>
    </xf>
    <xf numFmtId="166" fontId="23" fillId="4" borderId="0" xfId="0" applyNumberFormat="1" applyFont="1" applyFill="1" applyBorder="1" applyAlignment="1" applyProtection="1">
      <alignment horizontal="center"/>
    </xf>
    <xf numFmtId="170" fontId="23" fillId="4" borderId="0" xfId="0" applyNumberFormat="1" applyFont="1" applyFill="1" applyBorder="1" applyAlignment="1" applyProtection="1">
      <alignment horizontal="center"/>
    </xf>
    <xf numFmtId="1" fontId="23" fillId="4" borderId="0" xfId="0" applyNumberFormat="1" applyFont="1" applyFill="1" applyBorder="1" applyAlignment="1" applyProtection="1">
      <alignment horizontal="center"/>
    </xf>
    <xf numFmtId="166" fontId="15" fillId="4" borderId="0" xfId="3" applyNumberFormat="1" applyFont="1" applyFill="1" applyBorder="1" applyProtection="1"/>
    <xf numFmtId="166" fontId="9" fillId="4" borderId="0" xfId="3" applyNumberFormat="1" applyFont="1" applyFill="1" applyBorder="1" applyProtection="1"/>
    <xf numFmtId="170" fontId="9" fillId="4" borderId="0" xfId="3" applyNumberFormat="1" applyFont="1" applyFill="1" applyBorder="1" applyAlignment="1" applyProtection="1">
      <alignment horizontal="center"/>
    </xf>
    <xf numFmtId="166" fontId="9" fillId="4" borderId="0" xfId="3" applyNumberFormat="1" applyFont="1" applyFill="1" applyBorder="1" applyAlignment="1" applyProtection="1"/>
    <xf numFmtId="166" fontId="9" fillId="4" borderId="0" xfId="3" applyNumberFormat="1" applyFont="1" applyFill="1" applyBorder="1" applyAlignment="1" applyProtection="1">
      <alignment horizontal="left"/>
    </xf>
    <xf numFmtId="2" fontId="9" fillId="4" borderId="0" xfId="0" applyNumberFormat="1" applyFont="1" applyFill="1" applyBorder="1" applyAlignment="1" applyProtection="1">
      <alignment horizontal="center"/>
    </xf>
    <xf numFmtId="166" fontId="9" fillId="4" borderId="0" xfId="0" applyNumberFormat="1" applyFont="1" applyFill="1" applyBorder="1" applyAlignment="1" applyProtection="1">
      <alignment horizontal="center"/>
    </xf>
    <xf numFmtId="1" fontId="9" fillId="4" borderId="0" xfId="0" applyNumberFormat="1" applyFont="1" applyFill="1" applyBorder="1" applyAlignment="1" applyProtection="1">
      <alignment horizontal="center"/>
    </xf>
    <xf numFmtId="166" fontId="14" fillId="4" borderId="0" xfId="0" applyNumberFormat="1" applyFont="1" applyFill="1" applyBorder="1" applyAlignment="1" applyProtection="1">
      <alignment horizontal="center"/>
    </xf>
    <xf numFmtId="170" fontId="14" fillId="4" borderId="0" xfId="0" applyNumberFormat="1" applyFont="1" applyFill="1" applyBorder="1" applyAlignment="1" applyProtection="1">
      <alignment horizontal="center"/>
    </xf>
    <xf numFmtId="1" fontId="14" fillId="4" borderId="0" xfId="0" applyNumberFormat="1" applyFont="1" applyFill="1" applyBorder="1" applyAlignment="1" applyProtection="1">
      <alignment horizontal="center"/>
    </xf>
    <xf numFmtId="0" fontId="13" fillId="4" borderId="0" xfId="0" quotePrefix="1" applyFont="1" applyFill="1" applyBorder="1" applyAlignment="1" applyProtection="1">
      <alignment horizontal="right"/>
    </xf>
    <xf numFmtId="49" fontId="9" fillId="4" borderId="0" xfId="0" applyNumberFormat="1" applyFont="1" applyFill="1" applyBorder="1" applyAlignment="1" applyProtection="1">
      <alignment horizontal="left"/>
    </xf>
    <xf numFmtId="49" fontId="14" fillId="4" borderId="0" xfId="0" applyNumberFormat="1" applyFont="1" applyFill="1" applyBorder="1" applyAlignment="1" applyProtection="1">
      <alignment horizontal="center"/>
    </xf>
    <xf numFmtId="166" fontId="13" fillId="4" borderId="0" xfId="0" applyNumberFormat="1" applyFont="1" applyFill="1" applyBorder="1" applyProtection="1"/>
    <xf numFmtId="0" fontId="16" fillId="5" borderId="4" xfId="0" applyFont="1" applyFill="1" applyBorder="1" applyProtection="1"/>
    <xf numFmtId="0" fontId="39" fillId="5" borderId="0" xfId="0" applyFont="1" applyFill="1" applyBorder="1" applyProtection="1"/>
    <xf numFmtId="0" fontId="16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right"/>
    </xf>
    <xf numFmtId="0" fontId="15" fillId="5" borderId="5" xfId="0" applyFont="1" applyFill="1" applyBorder="1" applyProtection="1"/>
    <xf numFmtId="0" fontId="12" fillId="5" borderId="0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left" indent="1"/>
    </xf>
    <xf numFmtId="0" fontId="9" fillId="5" borderId="0" xfId="0" applyFont="1" applyFill="1" applyBorder="1" applyAlignment="1" applyProtection="1">
      <alignment horizontal="center"/>
    </xf>
    <xf numFmtId="164" fontId="9" fillId="5" borderId="0" xfId="0" applyNumberFormat="1" applyFont="1" applyFill="1" applyBorder="1" applyAlignment="1" applyProtection="1">
      <alignment horizontal="left"/>
    </xf>
    <xf numFmtId="164" fontId="9" fillId="5" borderId="0" xfId="3" applyNumberFormat="1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right"/>
    </xf>
    <xf numFmtId="0" fontId="13" fillId="5" borderId="0" xfId="0" applyFont="1" applyFill="1" applyBorder="1" applyProtection="1"/>
    <xf numFmtId="0" fontId="13" fillId="5" borderId="4" xfId="0" applyFont="1" applyFill="1" applyBorder="1" applyProtection="1"/>
    <xf numFmtId="0" fontId="13" fillId="5" borderId="5" xfId="0" applyFont="1" applyFill="1" applyBorder="1" applyProtection="1"/>
    <xf numFmtId="49" fontId="14" fillId="5" borderId="0" xfId="0" applyNumberFormat="1" applyFont="1" applyFill="1" applyBorder="1" applyAlignment="1" applyProtection="1">
      <alignment horizontal="center"/>
    </xf>
    <xf numFmtId="166" fontId="9" fillId="5" borderId="0" xfId="3" applyNumberFormat="1" applyFont="1" applyFill="1" applyBorder="1" applyAlignment="1" applyProtection="1">
      <alignment horizontal="left"/>
    </xf>
    <xf numFmtId="0" fontId="9" fillId="5" borderId="7" xfId="0" applyNumberFormat="1" applyFont="1" applyFill="1" applyBorder="1" applyProtection="1"/>
    <xf numFmtId="0" fontId="14" fillId="5" borderId="7" xfId="0" applyFont="1" applyFill="1" applyBorder="1" applyProtection="1"/>
    <xf numFmtId="49" fontId="14" fillId="5" borderId="7" xfId="0" applyNumberFormat="1" applyFont="1" applyFill="1" applyBorder="1" applyAlignment="1" applyProtection="1">
      <alignment horizontal="center"/>
    </xf>
    <xf numFmtId="166" fontId="9" fillId="5" borderId="7" xfId="3" applyNumberFormat="1" applyFont="1" applyFill="1" applyBorder="1" applyAlignment="1" applyProtection="1">
      <alignment horizontal="left"/>
    </xf>
    <xf numFmtId="0" fontId="31" fillId="5" borderId="7" xfId="0" applyFont="1" applyFill="1" applyBorder="1" applyAlignment="1" applyProtection="1">
      <alignment horizontal="right"/>
    </xf>
    <xf numFmtId="0" fontId="9" fillId="5" borderId="2" xfId="0" applyNumberFormat="1" applyFont="1" applyFill="1" applyBorder="1" applyProtection="1"/>
    <xf numFmtId="0" fontId="38" fillId="5" borderId="0" xfId="3" applyNumberFormat="1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166" fontId="9" fillId="5" borderId="0" xfId="0" applyNumberFormat="1" applyFont="1" applyFill="1" applyBorder="1" applyProtection="1"/>
    <xf numFmtId="166" fontId="9" fillId="5" borderId="0" xfId="3" applyNumberFormat="1" applyFont="1" applyFill="1" applyBorder="1" applyAlignment="1" applyProtection="1">
      <alignment horizontal="right"/>
    </xf>
    <xf numFmtId="0" fontId="13" fillId="5" borderId="7" xfId="0" applyFont="1" applyFill="1" applyBorder="1" applyAlignment="1" applyProtection="1">
      <alignment horizontal="right"/>
    </xf>
    <xf numFmtId="166" fontId="13" fillId="5" borderId="7" xfId="0" applyNumberFormat="1" applyFont="1" applyFill="1" applyBorder="1" applyProtection="1"/>
    <xf numFmtId="0" fontId="14" fillId="4" borderId="10" xfId="0" applyFont="1" applyFill="1" applyBorder="1" applyAlignment="1" applyProtection="1">
      <alignment horizontal="left"/>
    </xf>
    <xf numFmtId="0" fontId="9" fillId="4" borderId="10" xfId="0" applyFont="1" applyFill="1" applyBorder="1" applyAlignment="1" applyProtection="1">
      <alignment horizontal="center"/>
    </xf>
    <xf numFmtId="0" fontId="14" fillId="4" borderId="10" xfId="0" applyFont="1" applyFill="1" applyBorder="1" applyAlignment="1" applyProtection="1">
      <alignment horizontal="center"/>
    </xf>
    <xf numFmtId="164" fontId="9" fillId="4" borderId="10" xfId="0" applyNumberFormat="1" applyFont="1" applyFill="1" applyBorder="1" applyProtection="1"/>
    <xf numFmtId="0" fontId="9" fillId="4" borderId="11" xfId="0" applyFont="1" applyFill="1" applyBorder="1" applyProtection="1"/>
    <xf numFmtId="0" fontId="40" fillId="4" borderId="13" xfId="0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center"/>
    </xf>
    <xf numFmtId="164" fontId="9" fillId="4" borderId="13" xfId="0" applyNumberFormat="1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left"/>
      <protection locked="0"/>
    </xf>
    <xf numFmtId="0" fontId="13" fillId="4" borderId="13" xfId="0" applyFont="1" applyFill="1" applyBorder="1" applyProtection="1"/>
    <xf numFmtId="0" fontId="40" fillId="4" borderId="13" xfId="0" applyFont="1" applyFill="1" applyBorder="1" applyProtection="1"/>
    <xf numFmtId="0" fontId="13" fillId="4" borderId="13" xfId="0" applyFont="1" applyFill="1" applyBorder="1" applyAlignment="1" applyProtection="1"/>
    <xf numFmtId="164" fontId="9" fillId="4" borderId="13" xfId="3" applyNumberFormat="1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center"/>
    </xf>
    <xf numFmtId="164" fontId="14" fillId="4" borderId="13" xfId="0" applyNumberFormat="1" applyFont="1" applyFill="1" applyBorder="1" applyAlignment="1" applyProtection="1">
      <alignment horizontal="center"/>
    </xf>
    <xf numFmtId="164" fontId="9" fillId="4" borderId="13" xfId="0" applyNumberFormat="1" applyFont="1" applyFill="1" applyBorder="1" applyAlignment="1" applyProtection="1">
      <alignment horizontal="center"/>
    </xf>
    <xf numFmtId="164" fontId="13" fillId="4" borderId="13" xfId="0" applyNumberFormat="1" applyFont="1" applyFill="1" applyBorder="1" applyAlignment="1" applyProtection="1">
      <alignment horizontal="left"/>
    </xf>
    <xf numFmtId="0" fontId="14" fillId="4" borderId="13" xfId="0" applyFont="1" applyFill="1" applyBorder="1" applyAlignment="1" applyProtection="1">
      <alignment horizontal="right"/>
    </xf>
    <xf numFmtId="166" fontId="14" fillId="4" borderId="13" xfId="0" applyNumberFormat="1" applyFont="1" applyFill="1" applyBorder="1" applyAlignment="1" applyProtection="1">
      <alignment horizontal="right"/>
    </xf>
    <xf numFmtId="0" fontId="14" fillId="4" borderId="13" xfId="0" applyFont="1" applyFill="1" applyBorder="1" applyAlignment="1" applyProtection="1">
      <alignment horizontal="center"/>
    </xf>
    <xf numFmtId="166" fontId="9" fillId="4" borderId="13" xfId="3" applyNumberFormat="1" applyFont="1" applyFill="1" applyBorder="1" applyAlignment="1" applyProtection="1">
      <alignment horizontal="center"/>
    </xf>
    <xf numFmtId="0" fontId="14" fillId="4" borderId="13" xfId="0" applyNumberFormat="1" applyFont="1" applyFill="1" applyBorder="1" applyProtection="1"/>
    <xf numFmtId="49" fontId="14" fillId="4" borderId="13" xfId="0" applyNumberFormat="1" applyFont="1" applyFill="1" applyBorder="1" applyAlignment="1" applyProtection="1">
      <alignment horizontal="center"/>
    </xf>
    <xf numFmtId="0" fontId="13" fillId="4" borderId="12" xfId="0" applyFont="1" applyFill="1" applyBorder="1" applyProtection="1"/>
    <xf numFmtId="49" fontId="13" fillId="4" borderId="13" xfId="0" applyNumberFormat="1" applyFont="1" applyFill="1" applyBorder="1" applyAlignment="1" applyProtection="1">
      <alignment horizontal="center"/>
    </xf>
    <xf numFmtId="164" fontId="13" fillId="4" borderId="13" xfId="0" applyNumberFormat="1" applyFont="1" applyFill="1" applyBorder="1" applyProtection="1"/>
    <xf numFmtId="0" fontId="13" fillId="4" borderId="14" xfId="0" applyFont="1" applyFill="1" applyBorder="1" applyProtection="1"/>
    <xf numFmtId="166" fontId="9" fillId="4" borderId="13" xfId="3" applyNumberFormat="1" applyFont="1" applyFill="1" applyBorder="1" applyAlignment="1" applyProtection="1">
      <alignment horizontal="left"/>
    </xf>
    <xf numFmtId="166" fontId="9" fillId="4" borderId="13" xfId="3" applyNumberFormat="1" applyFont="1" applyFill="1" applyBorder="1" applyProtection="1"/>
    <xf numFmtId="49" fontId="9" fillId="4" borderId="13" xfId="0" applyNumberFormat="1" applyFont="1" applyFill="1" applyBorder="1" applyAlignment="1" applyProtection="1">
      <alignment horizontal="center"/>
    </xf>
    <xf numFmtId="0" fontId="9" fillId="4" borderId="13" xfId="0" quotePrefix="1" applyFont="1" applyFill="1" applyBorder="1" applyAlignment="1" applyProtection="1">
      <alignment horizontal="left"/>
    </xf>
    <xf numFmtId="1" fontId="9" fillId="4" borderId="13" xfId="0" applyNumberFormat="1" applyFont="1" applyFill="1" applyBorder="1" applyProtection="1"/>
    <xf numFmtId="1" fontId="9" fillId="4" borderId="13" xfId="0" applyNumberFormat="1" applyFont="1" applyFill="1" applyBorder="1" applyAlignment="1" applyProtection="1">
      <alignment horizontal="left"/>
    </xf>
    <xf numFmtId="1" fontId="13" fillId="4" borderId="13" xfId="0" applyNumberFormat="1" applyFont="1" applyFill="1" applyBorder="1" applyProtection="1"/>
    <xf numFmtId="166" fontId="14" fillId="4" borderId="13" xfId="0" applyNumberFormat="1" applyFont="1" applyFill="1" applyBorder="1" applyProtection="1"/>
    <xf numFmtId="166" fontId="13" fillId="4" borderId="13" xfId="0" applyNumberFormat="1" applyFont="1" applyFill="1" applyBorder="1" applyProtection="1"/>
    <xf numFmtId="166" fontId="9" fillId="4" borderId="13" xfId="0" applyNumberFormat="1" applyFont="1" applyFill="1" applyBorder="1" applyProtection="1"/>
    <xf numFmtId="0" fontId="12" fillId="4" borderId="13" xfId="0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center"/>
    </xf>
    <xf numFmtId="0" fontId="12" fillId="4" borderId="16" xfId="0" applyFont="1" applyFill="1" applyBorder="1" applyProtection="1"/>
    <xf numFmtId="0" fontId="12" fillId="4" borderId="16" xfId="0" applyFont="1" applyFill="1" applyBorder="1" applyAlignment="1" applyProtection="1">
      <alignment horizontal="center"/>
    </xf>
    <xf numFmtId="164" fontId="12" fillId="4" borderId="16" xfId="0" applyNumberFormat="1" applyFont="1" applyFill="1" applyBorder="1" applyAlignment="1" applyProtection="1">
      <alignment horizontal="center"/>
    </xf>
    <xf numFmtId="0" fontId="9" fillId="4" borderId="16" xfId="0" applyNumberFormat="1" applyFont="1" applyFill="1" applyBorder="1" applyProtection="1"/>
    <xf numFmtId="0" fontId="14" fillId="4" borderId="16" xfId="0" applyFont="1" applyFill="1" applyBorder="1" applyProtection="1"/>
    <xf numFmtId="49" fontId="14" fillId="4" borderId="16" xfId="0" applyNumberFormat="1" applyFont="1" applyFill="1" applyBorder="1" applyAlignment="1" applyProtection="1">
      <alignment horizontal="center"/>
    </xf>
    <xf numFmtId="166" fontId="9" fillId="4" borderId="16" xfId="3" applyNumberFormat="1" applyFont="1" applyFill="1" applyBorder="1" applyAlignment="1" applyProtection="1">
      <alignment horizontal="left"/>
    </xf>
    <xf numFmtId="1" fontId="40" fillId="4" borderId="10" xfId="0" applyNumberFormat="1" applyFont="1" applyFill="1" applyBorder="1" applyProtection="1"/>
    <xf numFmtId="166" fontId="9" fillId="4" borderId="10" xfId="3" applyNumberFormat="1" applyFont="1" applyFill="1" applyBorder="1" applyProtection="1"/>
    <xf numFmtId="166" fontId="9" fillId="4" borderId="10" xfId="3" applyNumberFormat="1" applyFont="1" applyFill="1" applyBorder="1" applyAlignment="1" applyProtection="1">
      <alignment horizontal="left"/>
    </xf>
    <xf numFmtId="0" fontId="9" fillId="4" borderId="16" xfId="0" applyFont="1" applyFill="1" applyBorder="1" applyAlignment="1" applyProtection="1">
      <alignment horizontal="left" indent="1"/>
    </xf>
    <xf numFmtId="0" fontId="9" fillId="4" borderId="16" xfId="0" applyFont="1" applyFill="1" applyBorder="1" applyAlignment="1" applyProtection="1">
      <alignment horizontal="center"/>
    </xf>
    <xf numFmtId="164" fontId="9" fillId="4" borderId="16" xfId="0" applyNumberFormat="1" applyFont="1" applyFill="1" applyBorder="1" applyAlignment="1" applyProtection="1">
      <alignment horizontal="left"/>
    </xf>
    <xf numFmtId="0" fontId="9" fillId="4" borderId="10" xfId="0" applyFont="1" applyFill="1" applyBorder="1" applyAlignment="1" applyProtection="1">
      <alignment horizontal="left" indent="1"/>
    </xf>
    <xf numFmtId="164" fontId="9" fillId="4" borderId="10" xfId="0" applyNumberFormat="1" applyFont="1" applyFill="1" applyBorder="1" applyAlignment="1" applyProtection="1">
      <alignment horizontal="left"/>
    </xf>
    <xf numFmtId="0" fontId="9" fillId="5" borderId="13" xfId="0" applyFont="1" applyFill="1" applyBorder="1" applyAlignment="1" applyProtection="1">
      <alignment horizontal="left"/>
      <protection locked="0"/>
    </xf>
    <xf numFmtId="164" fontId="9" fillId="5" borderId="13" xfId="3" applyNumberFormat="1" applyFont="1" applyFill="1" applyBorder="1" applyAlignment="1" applyProtection="1">
      <alignment horizontal="left"/>
      <protection locked="0"/>
    </xf>
    <xf numFmtId="164" fontId="9" fillId="5" borderId="13" xfId="0" applyNumberFormat="1" applyFont="1" applyFill="1" applyBorder="1" applyAlignment="1" applyProtection="1">
      <alignment horizontal="center"/>
      <protection locked="0"/>
    </xf>
    <xf numFmtId="0" fontId="9" fillId="5" borderId="13" xfId="0" applyFont="1" applyFill="1" applyBorder="1" applyProtection="1">
      <protection locked="0"/>
    </xf>
    <xf numFmtId="49" fontId="9" fillId="5" borderId="13" xfId="0" applyNumberFormat="1" applyFont="1" applyFill="1" applyBorder="1" applyAlignment="1" applyProtection="1">
      <alignment horizontal="center"/>
      <protection locked="0"/>
    </xf>
    <xf numFmtId="0" fontId="37" fillId="4" borderId="13" xfId="0" applyFont="1" applyFill="1" applyBorder="1" applyAlignment="1" applyProtection="1">
      <alignment horizontal="center"/>
    </xf>
    <xf numFmtId="49" fontId="37" fillId="4" borderId="10" xfId="0" applyNumberFormat="1" applyFont="1" applyFill="1" applyBorder="1" applyAlignment="1" applyProtection="1">
      <alignment horizontal="center"/>
    </xf>
    <xf numFmtId="1" fontId="9" fillId="5" borderId="13" xfId="0" applyNumberFormat="1" applyFont="1" applyFill="1" applyBorder="1" applyProtection="1">
      <protection locked="0"/>
    </xf>
    <xf numFmtId="1" fontId="9" fillId="5" borderId="13" xfId="0" applyNumberFormat="1" applyFont="1" applyFill="1" applyBorder="1" applyAlignment="1" applyProtection="1">
      <alignment horizontal="left"/>
      <protection locked="0"/>
    </xf>
    <xf numFmtId="164" fontId="9" fillId="5" borderId="13" xfId="0" applyNumberFormat="1" applyFont="1" applyFill="1" applyBorder="1" applyProtection="1">
      <protection locked="0"/>
    </xf>
    <xf numFmtId="164" fontId="41" fillId="6" borderId="13" xfId="0" applyNumberFormat="1" applyFont="1" applyFill="1" applyBorder="1" applyAlignment="1" applyProtection="1">
      <alignment horizontal="center"/>
    </xf>
    <xf numFmtId="166" fontId="41" fillId="6" borderId="13" xfId="0" applyNumberFormat="1" applyFont="1" applyFill="1" applyBorder="1" applyProtection="1"/>
    <xf numFmtId="166" fontId="41" fillId="6" borderId="13" xfId="0" applyNumberFormat="1" applyFont="1" applyFill="1" applyBorder="1" applyAlignment="1" applyProtection="1">
      <alignment horizontal="right"/>
    </xf>
    <xf numFmtId="166" fontId="41" fillId="6" borderId="13" xfId="3" applyNumberFormat="1" applyFont="1" applyFill="1" applyBorder="1" applyAlignment="1" applyProtection="1">
      <alignment horizontal="left"/>
    </xf>
    <xf numFmtId="164" fontId="41" fillId="6" borderId="13" xfId="0" applyNumberFormat="1" applyFont="1" applyFill="1" applyBorder="1" applyProtection="1"/>
    <xf numFmtId="166" fontId="41" fillId="6" borderId="13" xfId="3" applyNumberFormat="1" applyFont="1" applyFill="1" applyBorder="1" applyProtection="1"/>
    <xf numFmtId="164" fontId="41" fillId="6" borderId="13" xfId="3" applyNumberFormat="1" applyFont="1" applyFill="1" applyBorder="1" applyAlignment="1" applyProtection="1">
      <alignment horizontal="left"/>
    </xf>
    <xf numFmtId="164" fontId="9" fillId="7" borderId="13" xfId="0" applyNumberFormat="1" applyFont="1" applyFill="1" applyBorder="1" applyAlignment="1" applyProtection="1">
      <alignment horizontal="left"/>
    </xf>
    <xf numFmtId="166" fontId="9" fillId="7" borderId="13" xfId="3" applyNumberFormat="1" applyFont="1" applyFill="1" applyBorder="1" applyAlignment="1" applyProtection="1">
      <alignment horizontal="center"/>
    </xf>
    <xf numFmtId="166" fontId="9" fillId="7" borderId="13" xfId="3" applyNumberFormat="1" applyFont="1" applyFill="1" applyBorder="1" applyProtection="1"/>
    <xf numFmtId="164" fontId="9" fillId="7" borderId="13" xfId="3" applyNumberFormat="1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NumberFormat="1" applyFont="1" applyFill="1" applyBorder="1" applyAlignment="1" applyProtection="1">
      <alignment horizontal="center"/>
    </xf>
    <xf numFmtId="170" fontId="9" fillId="5" borderId="2" xfId="0" applyNumberFormat="1" applyFont="1" applyFill="1" applyBorder="1" applyAlignment="1" applyProtection="1">
      <alignment horizontal="center"/>
    </xf>
    <xf numFmtId="170" fontId="9" fillId="5" borderId="2" xfId="0" applyNumberFormat="1" applyFont="1" applyFill="1" applyBorder="1" applyProtection="1"/>
    <xf numFmtId="0" fontId="9" fillId="5" borderId="2" xfId="0" applyNumberFormat="1" applyFont="1" applyFill="1" applyBorder="1" applyAlignment="1" applyProtection="1"/>
    <xf numFmtId="166" fontId="9" fillId="5" borderId="2" xfId="0" applyNumberFormat="1" applyFont="1" applyFill="1" applyBorder="1" applyProtection="1"/>
    <xf numFmtId="2" fontId="9" fillId="5" borderId="2" xfId="0" applyNumberFormat="1" applyFont="1" applyFill="1" applyBorder="1" applyProtection="1"/>
    <xf numFmtId="164" fontId="9" fillId="5" borderId="2" xfId="0" applyNumberFormat="1" applyFont="1" applyFill="1" applyBorder="1" applyProtection="1"/>
    <xf numFmtId="0" fontId="9" fillId="5" borderId="0" xfId="0" applyNumberFormat="1" applyFont="1" applyFill="1" applyBorder="1" applyAlignment="1" applyProtection="1">
      <alignment horizontal="center"/>
    </xf>
    <xf numFmtId="170" fontId="9" fillId="5" borderId="0" xfId="0" applyNumberFormat="1" applyFont="1" applyFill="1" applyBorder="1" applyAlignment="1" applyProtection="1">
      <alignment horizontal="center"/>
    </xf>
    <xf numFmtId="170" fontId="9" fillId="5" borderId="0" xfId="0" applyNumberFormat="1" applyFont="1" applyFill="1" applyBorder="1" applyProtection="1"/>
    <xf numFmtId="0" fontId="9" fillId="5" borderId="0" xfId="0" applyNumberFormat="1" applyFont="1" applyFill="1" applyBorder="1" applyAlignment="1" applyProtection="1"/>
    <xf numFmtId="2" fontId="9" fillId="5" borderId="0" xfId="0" applyNumberFormat="1" applyFont="1" applyFill="1" applyBorder="1" applyProtection="1"/>
    <xf numFmtId="164" fontId="9" fillId="5" borderId="0" xfId="0" applyNumberFormat="1" applyFont="1" applyFill="1" applyBorder="1" applyProtection="1"/>
    <xf numFmtId="0" fontId="18" fillId="5" borderId="4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/>
    </xf>
    <xf numFmtId="0" fontId="19" fillId="5" borderId="0" xfId="0" applyFont="1" applyFill="1" applyBorder="1" applyProtection="1"/>
    <xf numFmtId="0" fontId="19" fillId="5" borderId="0" xfId="0" applyFont="1" applyFill="1" applyBorder="1" applyAlignment="1" applyProtection="1">
      <alignment horizontal="center"/>
    </xf>
    <xf numFmtId="0" fontId="19" fillId="5" borderId="0" xfId="0" applyNumberFormat="1" applyFont="1" applyFill="1" applyBorder="1" applyAlignment="1" applyProtection="1">
      <alignment horizontal="center"/>
    </xf>
    <xf numFmtId="170" fontId="19" fillId="5" borderId="0" xfId="0" applyNumberFormat="1" applyFont="1" applyFill="1" applyBorder="1" applyAlignment="1" applyProtection="1">
      <alignment horizontal="center"/>
    </xf>
    <xf numFmtId="170" fontId="19" fillId="5" borderId="0" xfId="0" applyNumberFormat="1" applyFont="1" applyFill="1" applyBorder="1" applyProtection="1"/>
    <xf numFmtId="0" fontId="19" fillId="5" borderId="0" xfId="0" applyNumberFormat="1" applyFont="1" applyFill="1" applyBorder="1" applyAlignment="1" applyProtection="1"/>
    <xf numFmtId="166" fontId="19" fillId="5" borderId="0" xfId="0" applyNumberFormat="1" applyFont="1" applyFill="1" applyBorder="1" applyProtection="1"/>
    <xf numFmtId="2" fontId="19" fillId="5" borderId="0" xfId="0" applyNumberFormat="1" applyFont="1" applyFill="1" applyBorder="1" applyProtection="1"/>
    <xf numFmtId="164" fontId="19" fillId="5" borderId="0" xfId="0" applyNumberFormat="1" applyFont="1" applyFill="1" applyBorder="1" applyProtection="1"/>
    <xf numFmtId="0" fontId="19" fillId="5" borderId="5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13" fillId="5" borderId="0" xfId="0" applyNumberFormat="1" applyFont="1" applyFill="1" applyBorder="1" applyAlignment="1" applyProtection="1">
      <alignment horizontal="left"/>
    </xf>
    <xf numFmtId="171" fontId="13" fillId="5" borderId="0" xfId="0" applyNumberFormat="1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 indent="1"/>
    </xf>
    <xf numFmtId="0" fontId="15" fillId="5" borderId="4" xfId="0" applyFont="1" applyFill="1" applyBorder="1" applyAlignment="1" applyProtection="1">
      <alignment horizontal="center"/>
    </xf>
    <xf numFmtId="166" fontId="15" fillId="5" borderId="5" xfId="0" applyNumberFormat="1" applyFont="1" applyFill="1" applyBorder="1" applyAlignment="1" applyProtection="1">
      <alignment horizontal="center"/>
    </xf>
    <xf numFmtId="166" fontId="23" fillId="5" borderId="5" xfId="0" applyNumberFormat="1" applyFont="1" applyFill="1" applyBorder="1" applyAlignment="1" applyProtection="1">
      <alignment horizontal="center"/>
    </xf>
    <xf numFmtId="170" fontId="9" fillId="5" borderId="0" xfId="3" applyNumberFormat="1" applyFont="1" applyFill="1" applyBorder="1" applyAlignment="1" applyProtection="1">
      <alignment horizontal="center"/>
    </xf>
    <xf numFmtId="166" fontId="9" fillId="5" borderId="0" xfId="3" applyNumberFormat="1" applyFont="1" applyFill="1" applyBorder="1" applyAlignment="1" applyProtection="1"/>
    <xf numFmtId="166" fontId="9" fillId="5" borderId="0" xfId="3" applyNumberFormat="1" applyFont="1" applyFill="1" applyBorder="1" applyProtection="1"/>
    <xf numFmtId="2" fontId="9" fillId="5" borderId="0" xfId="0" applyNumberFormat="1" applyFont="1" applyFill="1" applyBorder="1" applyAlignment="1" applyProtection="1">
      <alignment horizontal="center"/>
    </xf>
    <xf numFmtId="164" fontId="9" fillId="5" borderId="0" xfId="0" applyNumberFormat="1" applyFont="1" applyFill="1" applyBorder="1" applyAlignment="1" applyProtection="1">
      <alignment horizontal="center"/>
    </xf>
    <xf numFmtId="166" fontId="9" fillId="5" borderId="5" xfId="0" applyNumberFormat="1" applyFont="1" applyFill="1" applyBorder="1" applyAlignment="1" applyProtection="1">
      <alignment horizontal="center"/>
    </xf>
    <xf numFmtId="166" fontId="14" fillId="5" borderId="5" xfId="0" applyNumberFormat="1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left"/>
    </xf>
    <xf numFmtId="0" fontId="9" fillId="5" borderId="7" xfId="0" applyFont="1" applyFill="1" applyBorder="1" applyAlignment="1" applyProtection="1">
      <alignment horizontal="center"/>
    </xf>
    <xf numFmtId="0" fontId="9" fillId="5" borderId="7" xfId="0" applyNumberFormat="1" applyFont="1" applyFill="1" applyBorder="1" applyAlignment="1" applyProtection="1">
      <alignment horizontal="center"/>
    </xf>
    <xf numFmtId="170" fontId="9" fillId="5" borderId="7" xfId="3" applyNumberFormat="1" applyFont="1" applyFill="1" applyBorder="1" applyAlignment="1" applyProtection="1">
      <alignment horizontal="center"/>
    </xf>
    <xf numFmtId="170" fontId="9" fillId="5" borderId="7" xfId="0" applyNumberFormat="1" applyFont="1" applyFill="1" applyBorder="1" applyAlignment="1" applyProtection="1">
      <alignment horizontal="center"/>
    </xf>
    <xf numFmtId="166" fontId="9" fillId="5" borderId="7" xfId="3" applyNumberFormat="1" applyFont="1" applyFill="1" applyBorder="1" applyAlignment="1" applyProtection="1"/>
    <xf numFmtId="166" fontId="9" fillId="5" borderId="7" xfId="3" applyNumberFormat="1" applyFont="1" applyFill="1" applyBorder="1" applyProtection="1"/>
    <xf numFmtId="2" fontId="9" fillId="5" borderId="7" xfId="0" applyNumberFormat="1" applyFont="1" applyFill="1" applyBorder="1" applyAlignment="1" applyProtection="1">
      <alignment horizontal="center"/>
    </xf>
    <xf numFmtId="164" fontId="9" fillId="5" borderId="7" xfId="0" applyNumberFormat="1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/>
    <xf numFmtId="0" fontId="12" fillId="4" borderId="10" xfId="0" applyFont="1" applyFill="1" applyBorder="1" applyAlignment="1" applyProtection="1">
      <alignment horizontal="left"/>
    </xf>
    <xf numFmtId="0" fontId="9" fillId="4" borderId="10" xfId="0" applyFont="1" applyFill="1" applyBorder="1" applyAlignment="1" applyProtection="1">
      <alignment horizontal="left"/>
    </xf>
    <xf numFmtId="172" fontId="9" fillId="4" borderId="10" xfId="0" applyNumberFormat="1" applyFont="1" applyFill="1" applyBorder="1" applyAlignment="1" applyProtection="1">
      <alignment horizontal="center"/>
    </xf>
    <xf numFmtId="0" fontId="9" fillId="4" borderId="10" xfId="0" applyNumberFormat="1" applyFont="1" applyFill="1" applyBorder="1" applyAlignment="1" applyProtection="1">
      <alignment horizontal="center"/>
    </xf>
    <xf numFmtId="170" fontId="9" fillId="4" borderId="10" xfId="0" applyNumberFormat="1" applyFont="1" applyFill="1" applyBorder="1" applyAlignment="1" applyProtection="1">
      <alignment horizontal="center"/>
    </xf>
    <xf numFmtId="170" fontId="9" fillId="4" borderId="10" xfId="0" applyNumberFormat="1" applyFont="1" applyFill="1" applyBorder="1" applyProtection="1"/>
    <xf numFmtId="0" fontId="9" fillId="4" borderId="10" xfId="0" applyNumberFormat="1" applyFont="1" applyFill="1" applyBorder="1" applyAlignment="1" applyProtection="1"/>
    <xf numFmtId="166" fontId="9" fillId="4" borderId="10" xfId="0" applyNumberFormat="1" applyFont="1" applyFill="1" applyBorder="1" applyProtection="1"/>
    <xf numFmtId="2" fontId="9" fillId="4" borderId="10" xfId="0" applyNumberFormat="1" applyFont="1" applyFill="1" applyBorder="1" applyProtection="1"/>
    <xf numFmtId="0" fontId="15" fillId="4" borderId="12" xfId="0" applyFont="1" applyFill="1" applyBorder="1" applyAlignment="1" applyProtection="1">
      <alignment horizontal="center"/>
    </xf>
    <xf numFmtId="0" fontId="15" fillId="4" borderId="14" xfId="0" applyNumberFormat="1" applyFont="1" applyFill="1" applyBorder="1" applyAlignment="1" applyProtection="1">
      <alignment horizontal="center"/>
    </xf>
    <xf numFmtId="0" fontId="23" fillId="4" borderId="14" xfId="0" applyNumberFormat="1" applyFont="1" applyFill="1" applyBorder="1" applyAlignment="1" applyProtection="1">
      <alignment horizontal="center"/>
    </xf>
    <xf numFmtId="0" fontId="15" fillId="4" borderId="12" xfId="0" applyFont="1" applyFill="1" applyBorder="1" applyProtection="1"/>
    <xf numFmtId="0" fontId="15" fillId="4" borderId="14" xfId="0" applyFont="1" applyFill="1" applyBorder="1" applyProtection="1"/>
    <xf numFmtId="0" fontId="14" fillId="4" borderId="13" xfId="0" applyNumberFormat="1" applyFont="1" applyFill="1" applyBorder="1" applyAlignment="1" applyProtection="1">
      <alignment horizontal="center"/>
    </xf>
    <xf numFmtId="170" fontId="14" fillId="4" borderId="13" xfId="0" applyNumberFormat="1" applyFont="1" applyFill="1" applyBorder="1" applyAlignment="1" applyProtection="1">
      <alignment horizontal="center"/>
    </xf>
    <xf numFmtId="1" fontId="14" fillId="4" borderId="13" xfId="0" applyNumberFormat="1" applyFont="1" applyFill="1" applyBorder="1" applyAlignment="1" applyProtection="1">
      <alignment horizontal="center"/>
    </xf>
    <xf numFmtId="166" fontId="14" fillId="4" borderId="13" xfId="0" applyNumberFormat="1" applyFont="1" applyFill="1" applyBorder="1" applyAlignment="1" applyProtection="1">
      <alignment horizontal="center"/>
    </xf>
    <xf numFmtId="166" fontId="14" fillId="4" borderId="13" xfId="0" applyNumberFormat="1" applyFont="1" applyFill="1" applyBorder="1" applyAlignment="1" applyProtection="1">
      <alignment horizontal="left"/>
    </xf>
    <xf numFmtId="166" fontId="9" fillId="4" borderId="13" xfId="0" applyNumberFormat="1" applyFont="1" applyFill="1" applyBorder="1" applyAlignment="1" applyProtection="1">
      <alignment horizontal="center"/>
    </xf>
    <xf numFmtId="2" fontId="14" fillId="4" borderId="13" xfId="0" applyNumberFormat="1" applyFont="1" applyFill="1" applyBorder="1" applyAlignment="1" applyProtection="1">
      <alignment horizontal="center"/>
    </xf>
    <xf numFmtId="166" fontId="14" fillId="4" borderId="14" xfId="0" applyNumberFormat="1" applyFont="1" applyFill="1" applyBorder="1" applyAlignment="1" applyProtection="1">
      <alignment horizontal="center"/>
    </xf>
    <xf numFmtId="170" fontId="9" fillId="4" borderId="13" xfId="0" applyNumberFormat="1" applyFont="1" applyFill="1" applyBorder="1" applyAlignment="1" applyProtection="1">
      <alignment horizontal="center"/>
    </xf>
    <xf numFmtId="166" fontId="9" fillId="4" borderId="14" xfId="3" applyNumberFormat="1" applyFont="1" applyFill="1" applyBorder="1" applyProtection="1"/>
    <xf numFmtId="0" fontId="13" fillId="4" borderId="13" xfId="0" applyNumberFormat="1" applyFont="1" applyFill="1" applyBorder="1" applyAlignment="1" applyProtection="1">
      <alignment horizontal="center"/>
    </xf>
    <xf numFmtId="2" fontId="13" fillId="4" borderId="13" xfId="0" applyNumberFormat="1" applyFont="1" applyFill="1" applyBorder="1" applyAlignment="1" applyProtection="1">
      <alignment horizontal="center"/>
    </xf>
    <xf numFmtId="0" fontId="9" fillId="4" borderId="14" xfId="0" applyNumberFormat="1" applyFont="1" applyFill="1" applyBorder="1" applyAlignment="1" applyProtection="1">
      <alignment horizontal="center"/>
    </xf>
    <xf numFmtId="0" fontId="9" fillId="4" borderId="13" xfId="0" applyNumberFormat="1" applyFont="1" applyFill="1" applyBorder="1" applyAlignment="1" applyProtection="1">
      <alignment horizontal="center"/>
    </xf>
    <xf numFmtId="2" fontId="13" fillId="4" borderId="13" xfId="0" applyNumberFormat="1" applyFont="1" applyFill="1" applyBorder="1" applyProtection="1"/>
    <xf numFmtId="0" fontId="9" fillId="4" borderId="16" xfId="0" applyFont="1" applyFill="1" applyBorder="1" applyAlignment="1" applyProtection="1">
      <alignment horizontal="left"/>
    </xf>
    <xf numFmtId="0" fontId="9" fillId="4" borderId="16" xfId="0" applyNumberFormat="1" applyFont="1" applyFill="1" applyBorder="1" applyAlignment="1" applyProtection="1">
      <alignment horizontal="center"/>
    </xf>
    <xf numFmtId="170" fontId="9" fillId="4" borderId="16" xfId="3" applyNumberFormat="1" applyFont="1" applyFill="1" applyBorder="1" applyAlignment="1" applyProtection="1">
      <alignment horizontal="center"/>
    </xf>
    <xf numFmtId="170" fontId="9" fillId="4" borderId="16" xfId="0" applyNumberFormat="1" applyFont="1" applyFill="1" applyBorder="1" applyAlignment="1" applyProtection="1">
      <alignment horizontal="center"/>
    </xf>
    <xf numFmtId="166" fontId="9" fillId="4" borderId="16" xfId="3" applyNumberFormat="1" applyFont="1" applyFill="1" applyBorder="1" applyAlignment="1" applyProtection="1"/>
    <xf numFmtId="166" fontId="9" fillId="4" borderId="16" xfId="3" applyNumberFormat="1" applyFont="1" applyFill="1" applyBorder="1" applyProtection="1"/>
    <xf numFmtId="2" fontId="9" fillId="4" borderId="16" xfId="0" applyNumberFormat="1" applyFont="1" applyFill="1" applyBorder="1" applyAlignment="1" applyProtection="1">
      <alignment horizontal="center"/>
    </xf>
    <xf numFmtId="164" fontId="9" fillId="4" borderId="16" xfId="0" applyNumberFormat="1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2" fontId="40" fillId="4" borderId="13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/>
    <xf numFmtId="0" fontId="37" fillId="4" borderId="13" xfId="0" applyFont="1" applyFill="1" applyBorder="1" applyAlignment="1" applyProtection="1">
      <alignment horizontal="left"/>
    </xf>
    <xf numFmtId="0" fontId="37" fillId="4" borderId="13" xfId="0" applyNumberFormat="1" applyFont="1" applyFill="1" applyBorder="1" applyAlignment="1" applyProtection="1">
      <alignment horizontal="center"/>
    </xf>
    <xf numFmtId="172" fontId="37" fillId="4" borderId="13" xfId="0" applyNumberFormat="1" applyFont="1" applyFill="1" applyBorder="1" applyAlignment="1" applyProtection="1">
      <alignment horizontal="center"/>
    </xf>
    <xf numFmtId="170" fontId="37" fillId="4" borderId="13" xfId="0" applyNumberFormat="1" applyFont="1" applyFill="1" applyBorder="1" applyAlignment="1" applyProtection="1">
      <alignment horizontal="center"/>
    </xf>
    <xf numFmtId="1" fontId="37" fillId="4" borderId="13" xfId="0" applyNumberFormat="1" applyFont="1" applyFill="1" applyBorder="1" applyAlignment="1" applyProtection="1">
      <alignment horizontal="center"/>
    </xf>
    <xf numFmtId="166" fontId="37" fillId="4" borderId="13" xfId="0" applyNumberFormat="1" applyFont="1" applyFill="1" applyBorder="1" applyAlignment="1" applyProtection="1">
      <alignment horizontal="center"/>
    </xf>
    <xf numFmtId="2" fontId="37" fillId="4" borderId="13" xfId="0" applyNumberFormat="1" applyFont="1" applyFill="1" applyBorder="1" applyAlignment="1" applyProtection="1">
      <alignment horizontal="center"/>
    </xf>
    <xf numFmtId="164" fontId="37" fillId="4" borderId="13" xfId="0" applyNumberFormat="1" applyFont="1" applyFill="1" applyBorder="1" applyAlignment="1" applyProtection="1">
      <alignment horizontal="center"/>
    </xf>
    <xf numFmtId="0" fontId="42" fillId="4" borderId="13" xfId="0" applyFont="1" applyFill="1" applyBorder="1" applyAlignment="1" applyProtection="1">
      <alignment horizontal="left"/>
    </xf>
    <xf numFmtId="1" fontId="37" fillId="4" borderId="13" xfId="0" applyNumberFormat="1" applyFont="1" applyFill="1" applyBorder="1" applyAlignment="1" applyProtection="1">
      <alignment horizontal="left"/>
    </xf>
    <xf numFmtId="166" fontId="37" fillId="4" borderId="13" xfId="0" applyNumberFormat="1" applyFont="1" applyFill="1" applyBorder="1" applyAlignment="1" applyProtection="1">
      <alignment horizontal="left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3" xfId="0" applyNumberFormat="1" applyFont="1" applyFill="1" applyBorder="1" applyAlignment="1" applyProtection="1">
      <alignment horizontal="center"/>
      <protection locked="0"/>
    </xf>
    <xf numFmtId="170" fontId="9" fillId="5" borderId="13" xfId="3" applyNumberFormat="1" applyFont="1" applyFill="1" applyBorder="1" applyAlignment="1" applyProtection="1">
      <alignment horizontal="center"/>
      <protection locked="0"/>
    </xf>
    <xf numFmtId="170" fontId="9" fillId="5" borderId="13" xfId="0" applyNumberFormat="1" applyFont="1" applyFill="1" applyBorder="1" applyAlignment="1" applyProtection="1">
      <alignment horizontal="center"/>
      <protection locked="0"/>
    </xf>
    <xf numFmtId="170" fontId="9" fillId="7" borderId="13" xfId="0" applyNumberFormat="1" applyFont="1" applyFill="1" applyBorder="1" applyAlignment="1" applyProtection="1">
      <alignment horizontal="center"/>
    </xf>
    <xf numFmtId="0" fontId="38" fillId="4" borderId="13" xfId="0" applyFont="1" applyFill="1" applyBorder="1" applyAlignment="1" applyProtection="1">
      <alignment horizontal="center"/>
    </xf>
    <xf numFmtId="0" fontId="37" fillId="4" borderId="0" xfId="0" applyFont="1" applyFill="1" applyBorder="1" applyAlignment="1" applyProtection="1">
      <alignment horizontal="center"/>
    </xf>
    <xf numFmtId="166" fontId="38" fillId="4" borderId="13" xfId="0" applyNumberFormat="1" applyFont="1" applyFill="1" applyBorder="1" applyAlignment="1" applyProtection="1">
      <alignment horizontal="center"/>
    </xf>
    <xf numFmtId="166" fontId="9" fillId="7" borderId="13" xfId="3" applyNumberFormat="1" applyFont="1" applyFill="1" applyBorder="1" applyAlignment="1" applyProtection="1"/>
    <xf numFmtId="166" fontId="8" fillId="7" borderId="13" xfId="3" applyNumberFormat="1" applyFont="1" applyFill="1" applyBorder="1" applyAlignment="1" applyProtection="1">
      <alignment horizontal="left"/>
    </xf>
    <xf numFmtId="2" fontId="9" fillId="7" borderId="13" xfId="0" applyNumberFormat="1" applyFont="1" applyFill="1" applyBorder="1" applyAlignment="1" applyProtection="1">
      <alignment horizontal="center"/>
    </xf>
    <xf numFmtId="164" fontId="6" fillId="7" borderId="13" xfId="0" applyNumberFormat="1" applyFont="1" applyFill="1" applyBorder="1" applyAlignment="1" applyProtection="1">
      <alignment horizontal="center"/>
    </xf>
    <xf numFmtId="170" fontId="41" fillId="6" borderId="13" xfId="0" applyNumberFormat="1" applyFont="1" applyFill="1" applyBorder="1" applyAlignment="1" applyProtection="1">
      <alignment horizontal="center"/>
    </xf>
    <xf numFmtId="166" fontId="13" fillId="4" borderId="16" xfId="0" applyNumberFormat="1" applyFont="1" applyFill="1" applyBorder="1" applyProtection="1"/>
    <xf numFmtId="2" fontId="13" fillId="4" borderId="16" xfId="0" applyNumberFormat="1" applyFont="1" applyFill="1" applyBorder="1" applyProtection="1"/>
    <xf numFmtId="164" fontId="13" fillId="4" borderId="16" xfId="0" applyNumberFormat="1" applyFont="1" applyFill="1" applyBorder="1" applyProtection="1"/>
    <xf numFmtId="0" fontId="9" fillId="4" borderId="17" xfId="0" applyNumberFormat="1" applyFont="1" applyFill="1" applyBorder="1" applyAlignment="1" applyProtection="1">
      <alignment horizontal="center"/>
    </xf>
    <xf numFmtId="0" fontId="39" fillId="5" borderId="0" xfId="0" applyFont="1" applyFill="1" applyBorder="1" applyAlignment="1" applyProtection="1">
      <alignment horizontal="left"/>
    </xf>
    <xf numFmtId="0" fontId="17" fillId="5" borderId="0" xfId="0" applyFont="1" applyFill="1" applyBorder="1" applyProtection="1"/>
    <xf numFmtId="0" fontId="17" fillId="5" borderId="5" xfId="0" applyFont="1" applyFill="1" applyBorder="1" applyProtection="1"/>
    <xf numFmtId="0" fontId="24" fillId="5" borderId="4" xfId="0" applyFont="1" applyFill="1" applyBorder="1" applyProtection="1"/>
    <xf numFmtId="0" fontId="20" fillId="5" borderId="0" xfId="0" applyFont="1" applyFill="1" applyBorder="1" applyAlignment="1" applyProtection="1">
      <alignment horizontal="left"/>
    </xf>
    <xf numFmtId="0" fontId="20" fillId="5" borderId="0" xfId="0" applyFont="1" applyFill="1" applyBorder="1" applyProtection="1"/>
    <xf numFmtId="0" fontId="20" fillId="5" borderId="5" xfId="0" applyFont="1" applyFill="1" applyBorder="1" applyProtection="1"/>
    <xf numFmtId="0" fontId="13" fillId="5" borderId="0" xfId="0" applyFont="1" applyFill="1" applyBorder="1" applyAlignment="1" applyProtection="1">
      <alignment horizontal="left"/>
    </xf>
    <xf numFmtId="0" fontId="14" fillId="5" borderId="4" xfId="0" applyFont="1" applyFill="1" applyBorder="1" applyAlignment="1" applyProtection="1">
      <alignment horizontal="right"/>
    </xf>
    <xf numFmtId="0" fontId="21" fillId="5" borderId="4" xfId="0" applyFont="1" applyFill="1" applyBorder="1" applyProtection="1"/>
    <xf numFmtId="0" fontId="21" fillId="5" borderId="0" xfId="0" applyFont="1" applyFill="1" applyBorder="1" applyProtection="1"/>
    <xf numFmtId="0" fontId="9" fillId="5" borderId="0" xfId="0" applyFont="1" applyFill="1" applyBorder="1" applyAlignment="1" applyProtection="1">
      <alignment horizontal="right"/>
    </xf>
    <xf numFmtId="0" fontId="23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40" fillId="5" borderId="0" xfId="0" applyFont="1" applyFill="1" applyBorder="1" applyAlignment="1" applyProtection="1">
      <alignment horizontal="left"/>
    </xf>
    <xf numFmtId="0" fontId="37" fillId="5" borderId="0" xfId="0" applyFont="1" applyFill="1" applyBorder="1" applyAlignment="1" applyProtection="1">
      <alignment horizontal="lef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9" fillId="5" borderId="12" xfId="0" applyNumberFormat="1" applyFont="1" applyFill="1" applyBorder="1" applyProtection="1">
      <protection locked="0"/>
    </xf>
    <xf numFmtId="164" fontId="9" fillId="7" borderId="13" xfId="0" applyNumberFormat="1" applyFont="1" applyFill="1" applyBorder="1" applyAlignment="1" applyProtection="1"/>
    <xf numFmtId="0" fontId="8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Border="1" applyAlignment="1" applyProtection="1">
      <alignment horizontal="left"/>
    </xf>
    <xf numFmtId="164" fontId="41" fillId="6" borderId="12" xfId="0" applyNumberFormat="1" applyFont="1" applyFill="1" applyBorder="1" applyAlignment="1" applyProtection="1"/>
    <xf numFmtId="164" fontId="41" fillId="6" borderId="13" xfId="0" applyNumberFormat="1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164" fontId="9" fillId="7" borderId="12" xfId="0" applyNumberFormat="1" applyFont="1" applyFill="1" applyBorder="1" applyProtection="1"/>
    <xf numFmtId="0" fontId="16" fillId="5" borderId="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/>
    <xf numFmtId="164" fontId="9" fillId="5" borderId="2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/>
    <xf numFmtId="164" fontId="17" fillId="5" borderId="0" xfId="0" applyNumberFormat="1" applyFont="1" applyFill="1" applyBorder="1" applyProtection="1"/>
    <xf numFmtId="0" fontId="8" fillId="5" borderId="0" xfId="0" applyFont="1" applyFill="1" applyBorder="1" applyProtection="1"/>
    <xf numFmtId="0" fontId="5" fillId="5" borderId="4" xfId="0" applyFont="1" applyFill="1" applyBorder="1" applyProtection="1"/>
    <xf numFmtId="0" fontId="6" fillId="5" borderId="5" xfId="0" applyFont="1" applyFill="1" applyBorder="1" applyProtection="1"/>
    <xf numFmtId="0" fontId="12" fillId="5" borderId="6" xfId="0" applyFont="1" applyFill="1" applyBorder="1" applyProtection="1"/>
    <xf numFmtId="164" fontId="9" fillId="5" borderId="7" xfId="0" applyNumberFormat="1" applyFont="1" applyFill="1" applyBorder="1" applyProtection="1"/>
    <xf numFmtId="0" fontId="18" fillId="5" borderId="4" xfId="0" applyFont="1" applyFill="1" applyBorder="1" applyProtection="1"/>
    <xf numFmtId="0" fontId="15" fillId="5" borderId="0" xfId="0" applyFont="1" applyFill="1" applyBorder="1" applyAlignment="1" applyProtection="1">
      <alignment horizontal="center"/>
    </xf>
    <xf numFmtId="0" fontId="14" fillId="5" borderId="4" xfId="0" applyFont="1" applyFill="1" applyBorder="1" applyProtection="1"/>
    <xf numFmtId="0" fontId="23" fillId="5" borderId="0" xfId="0" applyFont="1" applyFill="1" applyBorder="1" applyProtection="1"/>
    <xf numFmtId="0" fontId="14" fillId="5" borderId="5" xfId="0" applyFont="1" applyFill="1" applyBorder="1" applyProtection="1"/>
    <xf numFmtId="164" fontId="13" fillId="5" borderId="0" xfId="0" applyNumberFormat="1" applyFont="1" applyFill="1" applyBorder="1" applyAlignment="1" applyProtection="1">
      <alignment horizontal="center"/>
    </xf>
    <xf numFmtId="0" fontId="13" fillId="5" borderId="7" xfId="0" applyFont="1" applyFill="1" applyBorder="1" applyProtection="1"/>
    <xf numFmtId="169" fontId="13" fillId="5" borderId="7" xfId="0" applyNumberFormat="1" applyFont="1" applyFill="1" applyBorder="1" applyAlignment="1" applyProtection="1">
      <alignment horizontal="center"/>
    </xf>
    <xf numFmtId="0" fontId="25" fillId="5" borderId="4" xfId="0" applyFont="1" applyFill="1" applyBorder="1" applyProtection="1"/>
    <xf numFmtId="0" fontId="25" fillId="5" borderId="0" xfId="0" applyFont="1" applyFill="1" applyBorder="1" applyProtection="1"/>
    <xf numFmtId="165" fontId="26" fillId="5" borderId="0" xfId="3" applyNumberFormat="1" applyFont="1" applyFill="1" applyBorder="1" applyProtection="1"/>
    <xf numFmtId="165" fontId="26" fillId="5" borderId="5" xfId="3" applyNumberFormat="1" applyFont="1" applyFill="1" applyBorder="1" applyProtection="1"/>
    <xf numFmtId="0" fontId="15" fillId="5" borderId="4" xfId="0" applyFont="1" applyFill="1" applyBorder="1" applyAlignment="1" applyProtection="1">
      <alignment horizontal="right"/>
    </xf>
    <xf numFmtId="0" fontId="21" fillId="5" borderId="0" xfId="0" applyFont="1" applyFill="1" applyBorder="1" applyAlignment="1" applyProtection="1">
      <alignment horizontal="right"/>
    </xf>
    <xf numFmtId="0" fontId="11" fillId="5" borderId="4" xfId="0" applyFont="1" applyFill="1" applyBorder="1" applyProtection="1"/>
    <xf numFmtId="0" fontId="11" fillId="5" borderId="0" xfId="0" applyFont="1" applyFill="1" applyBorder="1" applyProtection="1"/>
    <xf numFmtId="0" fontId="23" fillId="5" borderId="5" xfId="0" applyFont="1" applyFill="1" applyBorder="1" applyProtection="1"/>
    <xf numFmtId="0" fontId="21" fillId="5" borderId="0" xfId="0" applyFont="1" applyFill="1" applyBorder="1" applyAlignment="1" applyProtection="1">
      <alignment horizontal="left"/>
    </xf>
    <xf numFmtId="0" fontId="9" fillId="5" borderId="4" xfId="0" applyFont="1" applyFill="1" applyBorder="1" applyAlignment="1" applyProtection="1">
      <alignment horizontal="right"/>
    </xf>
    <xf numFmtId="0" fontId="9" fillId="4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left"/>
    </xf>
    <xf numFmtId="0" fontId="9" fillId="4" borderId="12" xfId="0" applyFont="1" applyFill="1" applyBorder="1" applyAlignment="1" applyProtection="1">
      <alignment horizontal="right"/>
    </xf>
    <xf numFmtId="164" fontId="9" fillId="7" borderId="13" xfId="0" applyNumberFormat="1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9" fillId="4" borderId="15" xfId="0" applyFont="1" applyFill="1" applyBorder="1" applyAlignment="1" applyProtection="1">
      <alignment horizontal="right"/>
    </xf>
    <xf numFmtId="164" fontId="9" fillId="7" borderId="13" xfId="0" applyNumberFormat="1" applyFont="1" applyFill="1" applyBorder="1" applyAlignment="1" applyProtection="1">
      <alignment horizontal="center"/>
    </xf>
    <xf numFmtId="0" fontId="9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164" fontId="45" fillId="6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Protection="1"/>
    <xf numFmtId="0" fontId="8" fillId="5" borderId="4" xfId="0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8" fillId="5" borderId="5" xfId="0" applyFont="1" applyFill="1" applyBorder="1" applyProtection="1"/>
    <xf numFmtId="0" fontId="8" fillId="5" borderId="4" xfId="0" applyFont="1" applyFill="1" applyBorder="1" applyAlignment="1" applyProtection="1">
      <alignment horizontal="right"/>
    </xf>
    <xf numFmtId="0" fontId="8" fillId="4" borderId="12" xfId="0" applyFont="1" applyFill="1" applyBorder="1" applyAlignment="1" applyProtection="1">
      <alignment horizontal="right"/>
    </xf>
    <xf numFmtId="0" fontId="32" fillId="5" borderId="0" xfId="0" applyFont="1" applyFill="1" applyBorder="1" applyProtection="1"/>
    <xf numFmtId="0" fontId="33" fillId="5" borderId="0" xfId="0" applyFont="1" applyFill="1" applyBorder="1" applyProtection="1"/>
    <xf numFmtId="0" fontId="32" fillId="5" borderId="0" xfId="0" applyFont="1" applyFill="1" applyBorder="1" applyAlignment="1" applyProtection="1">
      <alignment horizontal="left"/>
    </xf>
    <xf numFmtId="0" fontId="32" fillId="5" borderId="0" xfId="0" applyFont="1" applyFill="1" applyBorder="1" applyAlignment="1" applyProtection="1">
      <alignment horizontal="center"/>
    </xf>
    <xf numFmtId="0" fontId="34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center"/>
    </xf>
    <xf numFmtId="0" fontId="37" fillId="5" borderId="0" xfId="0" applyNumberFormat="1" applyFont="1" applyFill="1" applyBorder="1" applyAlignment="1" applyProtection="1">
      <alignment horizontal="center"/>
    </xf>
    <xf numFmtId="1" fontId="37" fillId="5" borderId="0" xfId="0" quotePrefix="1" applyNumberFormat="1" applyFont="1" applyFill="1" applyBorder="1" applyAlignment="1" applyProtection="1">
      <alignment horizontal="center"/>
    </xf>
    <xf numFmtId="1" fontId="37" fillId="5" borderId="0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46" fillId="4" borderId="12" xfId="0" applyFont="1" applyFill="1" applyBorder="1" applyProtection="1"/>
    <xf numFmtId="0" fontId="46" fillId="4" borderId="13" xfId="0" applyFont="1" applyFill="1" applyBorder="1" applyAlignment="1" applyProtection="1">
      <alignment horizontal="left"/>
    </xf>
    <xf numFmtId="0" fontId="46" fillId="4" borderId="13" xfId="0" applyFont="1" applyFill="1" applyBorder="1" applyAlignment="1" applyProtection="1">
      <alignment horizontal="center"/>
    </xf>
    <xf numFmtId="0" fontId="46" fillId="4" borderId="13" xfId="0" applyFont="1" applyFill="1" applyBorder="1" applyProtection="1"/>
    <xf numFmtId="0" fontId="46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9" fillId="7" borderId="13" xfId="0" applyNumberFormat="1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42" fillId="4" borderId="13" xfId="0" applyFont="1" applyFill="1" applyBorder="1" applyProtection="1"/>
    <xf numFmtId="164" fontId="45" fillId="6" borderId="13" xfId="0" applyNumberFormat="1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left"/>
    </xf>
    <xf numFmtId="164" fontId="8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9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164" fontId="41" fillId="6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9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42" fillId="5" borderId="0" xfId="0" applyFont="1" applyFill="1" applyBorder="1" applyProtection="1"/>
    <xf numFmtId="0" fontId="42" fillId="5" borderId="0" xfId="0" applyFont="1" applyFill="1" applyBorder="1" applyAlignment="1" applyProtection="1">
      <alignment horizontal="right"/>
    </xf>
    <xf numFmtId="0" fontId="37" fillId="5" borderId="0" xfId="0" applyFont="1" applyFill="1" applyBorder="1" applyAlignment="1" applyProtection="1">
      <alignment horizontal="right"/>
    </xf>
    <xf numFmtId="0" fontId="9" fillId="4" borderId="10" xfId="0" applyFont="1" applyFill="1" applyBorder="1" applyAlignment="1" applyProtection="1">
      <alignment horizontal="right"/>
    </xf>
    <xf numFmtId="0" fontId="9" fillId="4" borderId="11" xfId="0" applyFont="1" applyFill="1" applyBorder="1" applyAlignment="1" applyProtection="1">
      <alignment horizontal="right"/>
    </xf>
    <xf numFmtId="0" fontId="9" fillId="4" borderId="13" xfId="0" applyFont="1" applyFill="1" applyBorder="1" applyAlignment="1" applyProtection="1">
      <alignment horizontal="right"/>
    </xf>
    <xf numFmtId="0" fontId="9" fillId="4" borderId="14" xfId="0" applyFont="1" applyFill="1" applyBorder="1" applyAlignment="1" applyProtection="1">
      <alignment horizontal="right"/>
    </xf>
    <xf numFmtId="9" fontId="9" fillId="4" borderId="14" xfId="2" applyFont="1" applyFill="1" applyBorder="1" applyAlignment="1" applyProtection="1">
      <alignment horizontal="right"/>
    </xf>
    <xf numFmtId="0" fontId="9" fillId="4" borderId="16" xfId="0" applyFont="1" applyFill="1" applyBorder="1" applyAlignment="1" applyProtection="1">
      <alignment horizontal="right"/>
    </xf>
    <xf numFmtId="0" fontId="9" fillId="4" borderId="17" xfId="0" applyFont="1" applyFill="1" applyBorder="1" applyAlignment="1" applyProtection="1">
      <alignment horizontal="right"/>
    </xf>
    <xf numFmtId="0" fontId="9" fillId="4" borderId="11" xfId="0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/>
    </xf>
    <xf numFmtId="164" fontId="13" fillId="4" borderId="14" xfId="0" applyNumberFormat="1" applyFont="1" applyFill="1" applyBorder="1" applyAlignment="1" applyProtection="1">
      <alignment horizontal="center"/>
    </xf>
    <xf numFmtId="0" fontId="12" fillId="4" borderId="13" xfId="0" applyFont="1" applyFill="1" applyBorder="1" applyAlignment="1" applyProtection="1">
      <alignment horizontal="left"/>
    </xf>
    <xf numFmtId="0" fontId="13" fillId="4" borderId="16" xfId="0" applyFont="1" applyFill="1" applyBorder="1" applyAlignment="1" applyProtection="1">
      <alignment horizontal="left"/>
    </xf>
    <xf numFmtId="164" fontId="13" fillId="4" borderId="16" xfId="0" applyNumberFormat="1" applyFont="1" applyFill="1" applyBorder="1" applyAlignment="1" applyProtection="1">
      <alignment horizontal="center"/>
    </xf>
    <xf numFmtId="164" fontId="13" fillId="4" borderId="17" xfId="0" applyNumberFormat="1" applyFont="1" applyFill="1" applyBorder="1" applyAlignment="1" applyProtection="1">
      <alignment horizontal="center"/>
    </xf>
    <xf numFmtId="0" fontId="13" fillId="4" borderId="9" xfId="0" applyFont="1" applyFill="1" applyBorder="1" applyProtection="1"/>
    <xf numFmtId="0" fontId="14" fillId="4" borderId="10" xfId="0" applyFont="1" applyFill="1" applyBorder="1" applyProtection="1"/>
    <xf numFmtId="0" fontId="12" fillId="4" borderId="10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164" fontId="9" fillId="4" borderId="14" xfId="0" applyNumberFormat="1" applyFont="1" applyFill="1" applyBorder="1" applyAlignment="1" applyProtection="1">
      <alignment horizontal="center"/>
    </xf>
    <xf numFmtId="0" fontId="14" fillId="4" borderId="12" xfId="0" applyFont="1" applyFill="1" applyBorder="1" applyProtection="1"/>
    <xf numFmtId="164" fontId="12" fillId="4" borderId="14" xfId="0" applyNumberFormat="1" applyFont="1" applyFill="1" applyBorder="1" applyAlignment="1" applyProtection="1">
      <alignment horizontal="center"/>
    </xf>
    <xf numFmtId="0" fontId="9" fillId="4" borderId="17" xfId="0" applyFont="1" applyFill="1" applyBorder="1" applyAlignment="1" applyProtection="1">
      <alignment horizontal="center"/>
    </xf>
    <xf numFmtId="164" fontId="9" fillId="5" borderId="13" xfId="0" applyNumberFormat="1" applyFont="1" applyFill="1" applyBorder="1" applyAlignment="1" applyProtection="1">
      <alignment horizontal="center"/>
    </xf>
    <xf numFmtId="10" fontId="9" fillId="7" borderId="13" xfId="2" applyNumberFormat="1" applyFont="1" applyFill="1" applyBorder="1" applyAlignment="1" applyProtection="1">
      <alignment horizontal="center"/>
    </xf>
    <xf numFmtId="175" fontId="9" fillId="7" borderId="13" xfId="0" applyNumberFormat="1" applyFont="1" applyFill="1" applyBorder="1" applyAlignment="1" applyProtection="1">
      <alignment horizontal="center"/>
    </xf>
    <xf numFmtId="9" fontId="9" fillId="7" borderId="13" xfId="2" applyNumberFormat="1" applyFont="1" applyFill="1" applyBorder="1" applyAlignment="1" applyProtection="1">
      <alignment horizontal="center"/>
    </xf>
    <xf numFmtId="164" fontId="47" fillId="6" borderId="13" xfId="0" applyNumberFormat="1" applyFont="1" applyFill="1" applyBorder="1" applyAlignment="1" applyProtection="1">
      <alignment horizontal="center"/>
    </xf>
    <xf numFmtId="164" fontId="47" fillId="6" borderId="13" xfId="0" applyNumberFormat="1" applyFont="1" applyFill="1" applyBorder="1" applyProtection="1"/>
    <xf numFmtId="164" fontId="9" fillId="4" borderId="16" xfId="3" applyNumberFormat="1" applyFont="1" applyFill="1" applyBorder="1" applyAlignment="1" applyProtection="1">
      <alignment horizontal="left"/>
    </xf>
    <xf numFmtId="164" fontId="9" fillId="4" borderId="10" xfId="3" applyNumberFormat="1" applyFont="1" applyFill="1" applyBorder="1" applyAlignment="1" applyProtection="1">
      <alignment horizontal="left"/>
    </xf>
    <xf numFmtId="0" fontId="48" fillId="5" borderId="0" xfId="0" applyFont="1" applyFill="1" applyBorder="1" applyAlignment="1" applyProtection="1"/>
    <xf numFmtId="0" fontId="48" fillId="5" borderId="0" xfId="0" applyFont="1" applyFill="1" applyBorder="1" applyProtection="1"/>
    <xf numFmtId="0" fontId="48" fillId="5" borderId="0" xfId="0" applyFont="1" applyFill="1" applyBorder="1" applyAlignment="1" applyProtection="1">
      <alignment horizontal="center"/>
    </xf>
    <xf numFmtId="164" fontId="48" fillId="5" borderId="0" xfId="0" applyNumberFormat="1" applyFont="1" applyFill="1" applyBorder="1" applyAlignment="1" applyProtection="1">
      <alignment horizontal="center"/>
    </xf>
    <xf numFmtId="0" fontId="42" fillId="5" borderId="0" xfId="0" applyFont="1" applyFill="1" applyBorder="1" applyAlignment="1" applyProtection="1"/>
    <xf numFmtId="0" fontId="42" fillId="5" borderId="0" xfId="0" applyFont="1" applyFill="1" applyBorder="1" applyAlignment="1" applyProtection="1">
      <alignment horizontal="center"/>
    </xf>
    <xf numFmtId="164" fontId="42" fillId="5" borderId="0" xfId="0" applyNumberFormat="1" applyFont="1" applyFill="1" applyBorder="1" applyAlignment="1" applyProtection="1">
      <alignment horizontal="center"/>
    </xf>
    <xf numFmtId="164" fontId="9" fillId="4" borderId="13" xfId="0" applyNumberFormat="1" applyFont="1" applyFill="1" applyBorder="1" applyProtection="1"/>
    <xf numFmtId="164" fontId="9" fillId="4" borderId="16" xfId="0" applyNumberFormat="1" applyFont="1" applyFill="1" applyBorder="1" applyProtection="1"/>
    <xf numFmtId="0" fontId="5" fillId="4" borderId="10" xfId="0" applyFont="1" applyFill="1" applyBorder="1" applyAlignment="1" applyProtection="1">
      <alignment horizontal="center"/>
    </xf>
    <xf numFmtId="164" fontId="9" fillId="4" borderId="11" xfId="0" applyNumberFormat="1" applyFont="1" applyFill="1" applyBorder="1" applyProtection="1"/>
    <xf numFmtId="0" fontId="9" fillId="4" borderId="13" xfId="0" applyFont="1" applyFill="1" applyBorder="1" applyAlignment="1" applyProtection="1"/>
    <xf numFmtId="164" fontId="9" fillId="4" borderId="14" xfId="0" applyNumberFormat="1" applyFont="1" applyFill="1" applyBorder="1" applyProtection="1"/>
    <xf numFmtId="0" fontId="8" fillId="4" borderId="16" xfId="0" applyFont="1" applyFill="1" applyBorder="1" applyProtection="1"/>
    <xf numFmtId="164" fontId="9" fillId="4" borderId="17" xfId="0" applyNumberFormat="1" applyFont="1" applyFill="1" applyBorder="1" applyProtection="1"/>
    <xf numFmtId="0" fontId="6" fillId="4" borderId="12" xfId="0" applyFont="1" applyFill="1" applyBorder="1" applyProtection="1"/>
    <xf numFmtId="164" fontId="6" fillId="4" borderId="13" xfId="0" applyNumberFormat="1" applyFont="1" applyFill="1" applyBorder="1" applyProtection="1"/>
    <xf numFmtId="164" fontId="14" fillId="4" borderId="13" xfId="0" applyNumberFormat="1" applyFont="1" applyFill="1" applyBorder="1" applyProtection="1"/>
    <xf numFmtId="0" fontId="5" fillId="4" borderId="14" xfId="0" applyFont="1" applyFill="1" applyBorder="1" applyProtection="1"/>
    <xf numFmtId="0" fontId="5" fillId="4" borderId="13" xfId="0" applyFont="1" applyFill="1" applyBorder="1" applyProtection="1"/>
    <xf numFmtId="0" fontId="14" fillId="4" borderId="16" xfId="0" applyFont="1" applyFill="1" applyBorder="1" applyAlignment="1" applyProtection="1">
      <alignment horizontal="left"/>
    </xf>
    <xf numFmtId="1" fontId="9" fillId="7" borderId="13" xfId="0" applyNumberFormat="1" applyFont="1" applyFill="1" applyBorder="1" applyAlignment="1" applyProtection="1">
      <alignment horizontal="center"/>
    </xf>
    <xf numFmtId="164" fontId="49" fillId="4" borderId="13" xfId="0" applyNumberFormat="1" applyFont="1" applyFill="1" applyBorder="1" applyProtection="1"/>
    <xf numFmtId="0" fontId="49" fillId="4" borderId="13" xfId="0" applyFont="1" applyFill="1" applyBorder="1" applyAlignment="1" applyProtection="1">
      <alignment horizontal="left"/>
    </xf>
    <xf numFmtId="0" fontId="35" fillId="5" borderId="4" xfId="0" applyFont="1" applyFill="1" applyBorder="1" applyProtection="1"/>
    <xf numFmtId="0" fontId="35" fillId="5" borderId="0" xfId="0" applyFont="1" applyFill="1" applyBorder="1" applyProtection="1"/>
    <xf numFmtId="0" fontId="36" fillId="5" borderId="0" xfId="0" applyFont="1" applyFill="1" applyBorder="1" applyProtection="1"/>
    <xf numFmtId="0" fontId="36" fillId="5" borderId="5" xfId="0" applyFont="1" applyFill="1" applyBorder="1" applyProtection="1"/>
    <xf numFmtId="0" fontId="36" fillId="4" borderId="0" xfId="0" applyFont="1" applyFill="1" applyBorder="1" applyProtection="1"/>
    <xf numFmtId="0" fontId="28" fillId="5" borderId="0" xfId="0" applyFont="1" applyFill="1" applyBorder="1"/>
    <xf numFmtId="0" fontId="10" fillId="5" borderId="0" xfId="0" applyFont="1" applyFill="1" applyBorder="1"/>
    <xf numFmtId="0" fontId="29" fillId="5" borderId="0" xfId="0" applyFont="1" applyFill="1" applyBorder="1"/>
    <xf numFmtId="0" fontId="30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28" fillId="5" borderId="0" xfId="0" applyFont="1" applyFill="1" applyAlignment="1"/>
    <xf numFmtId="0" fontId="28" fillId="5" borderId="0" xfId="0" applyFont="1" applyFill="1" applyBorder="1" applyAlignment="1"/>
    <xf numFmtId="0" fontId="10" fillId="5" borderId="0" xfId="0" applyFont="1" applyFill="1" applyBorder="1" applyAlignment="1"/>
    <xf numFmtId="0" fontId="39" fillId="5" borderId="0" xfId="0" applyFont="1" applyFill="1" applyBorder="1"/>
    <xf numFmtId="15" fontId="50" fillId="5" borderId="0" xfId="0" applyNumberFormat="1" applyFont="1" applyFill="1" applyBorder="1"/>
    <xf numFmtId="0" fontId="32" fillId="4" borderId="0" xfId="0" applyFont="1" applyFill="1" applyBorder="1" applyProtection="1"/>
    <xf numFmtId="173" fontId="38" fillId="4" borderId="13" xfId="0" applyNumberFormat="1" applyFont="1" applyFill="1" applyBorder="1" applyAlignment="1" applyProtection="1">
      <alignment horizontal="center"/>
    </xf>
    <xf numFmtId="173" fontId="9" fillId="5" borderId="13" xfId="2" applyNumberFormat="1" applyFont="1" applyFill="1" applyBorder="1" applyAlignment="1" applyProtection="1">
      <alignment horizontal="center"/>
      <protection locked="0"/>
    </xf>
    <xf numFmtId="173" fontId="9" fillId="4" borderId="13" xfId="0" applyNumberFormat="1" applyFont="1" applyFill="1" applyBorder="1" applyAlignment="1" applyProtection="1">
      <alignment horizontal="center"/>
    </xf>
    <xf numFmtId="176" fontId="9" fillId="5" borderId="13" xfId="0" applyNumberFormat="1" applyFont="1" applyFill="1" applyBorder="1" applyAlignment="1" applyProtection="1">
      <alignment horizontal="center"/>
      <protection locked="0"/>
    </xf>
    <xf numFmtId="176" fontId="9" fillId="5" borderId="13" xfId="0" applyNumberFormat="1" applyFont="1" applyFill="1" applyBorder="1" applyAlignment="1" applyProtection="1">
      <alignment horizontal="left"/>
      <protection locked="0"/>
    </xf>
    <xf numFmtId="170" fontId="41" fillId="6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37" fillId="4" borderId="13" xfId="0" applyFont="1" applyFill="1" applyBorder="1" applyProtection="1"/>
    <xf numFmtId="0" fontId="40" fillId="4" borderId="13" xfId="0" applyFont="1" applyFill="1" applyBorder="1" applyAlignment="1" applyProtection="1">
      <alignment horizontal="left"/>
    </xf>
    <xf numFmtId="49" fontId="14" fillId="5" borderId="2" xfId="0" applyNumberFormat="1" applyFont="1" applyFill="1" applyBorder="1" applyAlignment="1" applyProtection="1">
      <alignment horizontal="center"/>
    </xf>
    <xf numFmtId="166" fontId="9" fillId="5" borderId="2" xfId="3" applyNumberFormat="1" applyFont="1" applyFill="1" applyBorder="1" applyAlignment="1" applyProtection="1">
      <alignment horizontal="left"/>
    </xf>
    <xf numFmtId="0" fontId="53" fillId="5" borderId="0" xfId="0" applyFont="1" applyFill="1" applyAlignment="1">
      <alignment horizontal="center"/>
    </xf>
    <xf numFmtId="0" fontId="9" fillId="0" borderId="13" xfId="0" applyFont="1" applyFill="1" applyBorder="1" applyProtection="1">
      <protection locked="0"/>
    </xf>
    <xf numFmtId="15" fontId="50" fillId="5" borderId="0" xfId="0" applyNumberFormat="1" applyFont="1" applyFill="1" applyAlignment="1">
      <alignment horizontal="left"/>
    </xf>
    <xf numFmtId="164" fontId="9" fillId="7" borderId="13" xfId="0" applyNumberFormat="1" applyFont="1" applyFill="1" applyBorder="1" applyAlignment="1" applyProtection="1">
      <alignment horizontal="left"/>
      <protection locked="0"/>
    </xf>
    <xf numFmtId="3" fontId="54" fillId="2" borderId="0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3" fontId="9" fillId="8" borderId="0" xfId="0" applyNumberFormat="1" applyFont="1" applyFill="1" applyBorder="1" applyAlignment="1" applyProtection="1">
      <alignment horizontal="left"/>
      <protection locked="0"/>
    </xf>
    <xf numFmtId="3" fontId="8" fillId="8" borderId="0" xfId="0" applyNumberFormat="1" applyFont="1" applyFill="1" applyBorder="1" applyAlignment="1" applyProtection="1">
      <alignment horizontal="left"/>
      <protection locked="0"/>
    </xf>
    <xf numFmtId="3" fontId="54" fillId="8" borderId="0" xfId="0" applyNumberFormat="1" applyFont="1" applyFill="1" applyBorder="1" applyAlignment="1" applyProtection="1">
      <alignment horizontal="left"/>
      <protection locked="0"/>
    </xf>
    <xf numFmtId="0" fontId="9" fillId="9" borderId="13" xfId="0" applyFont="1" applyFill="1" applyBorder="1" applyAlignment="1" applyProtection="1">
      <protection locked="0"/>
    </xf>
    <xf numFmtId="164" fontId="9" fillId="9" borderId="13" xfId="0" applyNumberFormat="1" applyFont="1" applyFill="1" applyBorder="1" applyAlignment="1" applyProtection="1">
      <protection locked="0"/>
    </xf>
    <xf numFmtId="171" fontId="9" fillId="9" borderId="13" xfId="0" applyNumberFormat="1" applyFont="1" applyFill="1" applyBorder="1" applyAlignment="1" applyProtection="1">
      <protection locked="0"/>
    </xf>
    <xf numFmtId="0" fontId="14" fillId="9" borderId="13" xfId="0" applyFont="1" applyFill="1" applyBorder="1" applyAlignment="1" applyProtection="1">
      <protection locked="0"/>
    </xf>
    <xf numFmtId="168" fontId="9" fillId="9" borderId="13" xfId="0" applyNumberFormat="1" applyFont="1" applyFill="1" applyBorder="1" applyAlignment="1" applyProtection="1">
      <protection locked="0"/>
    </xf>
    <xf numFmtId="1" fontId="9" fillId="9" borderId="13" xfId="0" applyNumberFormat="1" applyFont="1" applyFill="1" applyBorder="1" applyAlignment="1" applyProtection="1">
      <protection locked="0"/>
    </xf>
    <xf numFmtId="170" fontId="9" fillId="9" borderId="13" xfId="0" applyNumberFormat="1" applyFont="1" applyFill="1" applyBorder="1" applyAlignment="1" applyProtection="1">
      <protection locked="0"/>
    </xf>
    <xf numFmtId="0" fontId="16" fillId="5" borderId="5" xfId="0" applyFont="1" applyFill="1" applyBorder="1" applyProtection="1"/>
    <xf numFmtId="0" fontId="32" fillId="5" borderId="4" xfId="0" applyFont="1" applyFill="1" applyBorder="1" applyProtection="1"/>
    <xf numFmtId="0" fontId="32" fillId="5" borderId="5" xfId="0" applyFont="1" applyFill="1" applyBorder="1" applyProtection="1"/>
    <xf numFmtId="0" fontId="37" fillId="5" borderId="4" xfId="0" applyFont="1" applyFill="1" applyBorder="1" applyAlignment="1" applyProtection="1">
      <alignment horizontal="center"/>
    </xf>
    <xf numFmtId="0" fontId="37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46" fillId="5" borderId="4" xfId="0" applyFont="1" applyFill="1" applyBorder="1" applyProtection="1"/>
    <xf numFmtId="0" fontId="46" fillId="5" borderId="5" xfId="0" applyFont="1" applyFill="1" applyBorder="1" applyProtection="1"/>
    <xf numFmtId="0" fontId="25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left" indent="1"/>
    </xf>
    <xf numFmtId="0" fontId="55" fillId="0" borderId="0" xfId="0" applyFont="1" applyFill="1" applyAlignment="1" applyProtection="1">
      <alignment horizontal="left"/>
    </xf>
    <xf numFmtId="0" fontId="25" fillId="0" borderId="0" xfId="0" applyFont="1" applyAlignment="1" applyProtection="1">
      <alignment horizontal="left"/>
    </xf>
    <xf numFmtId="44" fontId="9" fillId="0" borderId="0" xfId="0" applyNumberFormat="1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1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left"/>
      <protection locked="0"/>
    </xf>
    <xf numFmtId="0" fontId="40" fillId="4" borderId="13" xfId="0" applyFont="1" applyFill="1" applyBorder="1" applyAlignment="1" applyProtection="1">
      <alignment horizontal="left"/>
    </xf>
    <xf numFmtId="0" fontId="43" fillId="4" borderId="13" xfId="0" applyFont="1" applyFill="1" applyBorder="1" applyAlignment="1" applyProtection="1">
      <alignment horizontal="left"/>
    </xf>
    <xf numFmtId="0" fontId="42" fillId="4" borderId="13" xfId="0" applyFont="1" applyFill="1" applyBorder="1" applyAlignment="1" applyProtection="1">
      <alignment horizontal="left"/>
    </xf>
  </cellXfs>
  <cellStyles count="4">
    <cellStyle name="Euro" xfId="1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Standaard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Standaard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09216"/>
        <c:axId val="212810752"/>
      </c:barChart>
      <c:catAx>
        <c:axId val="212809216"/>
        <c:scaling>
          <c:orientation val="minMax"/>
        </c:scaling>
        <c:delete val="0"/>
        <c:axPos val="b"/>
        <c:numFmt formatCode="Standa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28107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2810752"/>
        <c:scaling>
          <c:orientation val="minMax"/>
        </c:scaling>
        <c:delete val="0"/>
        <c:axPos val="l"/>
        <c:numFmt formatCode="Standa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2809216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Standaard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Standaard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26752"/>
        <c:axId val="212828544"/>
      </c:barChart>
      <c:catAx>
        <c:axId val="212826752"/>
        <c:scaling>
          <c:orientation val="minMax"/>
        </c:scaling>
        <c:delete val="0"/>
        <c:axPos val="b"/>
        <c:numFmt formatCode="Standa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2828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2828544"/>
        <c:scaling>
          <c:orientation val="minMax"/>
        </c:scaling>
        <c:delete val="0"/>
        <c:axPos val="l"/>
        <c:numFmt formatCode="Standa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282675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Standaard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Standaard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5712"/>
        <c:axId val="212849792"/>
      </c:barChart>
      <c:catAx>
        <c:axId val="212835712"/>
        <c:scaling>
          <c:orientation val="minMax"/>
        </c:scaling>
        <c:delete val="0"/>
        <c:axPos val="b"/>
        <c:numFmt formatCode="Standa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28497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2849792"/>
        <c:scaling>
          <c:orientation val="minMax"/>
        </c:scaling>
        <c:delete val="0"/>
        <c:axPos val="l"/>
        <c:numFmt formatCode="Standa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1283571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2</xdr:row>
      <xdr:rowOff>38100</xdr:rowOff>
    </xdr:from>
    <xdr:to>
      <xdr:col>15</xdr:col>
      <xdr:colOff>514350</xdr:colOff>
      <xdr:row>4</xdr:row>
      <xdr:rowOff>114300</xdr:rowOff>
    </xdr:to>
    <xdr:pic>
      <xdr:nvPicPr>
        <xdr:cNvPr id="809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67700" y="381000"/>
          <a:ext cx="13430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0</xdr:rowOff>
    </xdr:from>
    <xdr:to>
      <xdr:col>31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1019175</xdr:colOff>
      <xdr:row>2</xdr:row>
      <xdr:rowOff>66675</xdr:rowOff>
    </xdr:from>
    <xdr:to>
      <xdr:col>11</xdr:col>
      <xdr:colOff>171450</xdr:colOff>
      <xdr:row>4</xdr:row>
      <xdr:rowOff>95250</xdr:rowOff>
    </xdr:to>
    <xdr:pic>
      <xdr:nvPicPr>
        <xdr:cNvPr id="11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0975" y="39052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291913</xdr:colOff>
      <xdr:row>3</xdr:row>
      <xdr:rowOff>30255</xdr:rowOff>
    </xdr:from>
    <xdr:to>
      <xdr:col>22</xdr:col>
      <xdr:colOff>149038</xdr:colOff>
      <xdr:row>5</xdr:row>
      <xdr:rowOff>58830</xdr:rowOff>
    </xdr:to>
    <xdr:pic>
      <xdr:nvPicPr>
        <xdr:cNvPr id="656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6178" y="500902"/>
          <a:ext cx="1291478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714375</xdr:colOff>
      <xdr:row>3</xdr:row>
      <xdr:rowOff>28575</xdr:rowOff>
    </xdr:from>
    <xdr:to>
      <xdr:col>15</xdr:col>
      <xdr:colOff>133350</xdr:colOff>
      <xdr:row>4</xdr:row>
      <xdr:rowOff>219075</xdr:rowOff>
    </xdr:to>
    <xdr:pic>
      <xdr:nvPicPr>
        <xdr:cNvPr id="819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11075" y="514350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</xdr:row>
      <xdr:rowOff>152400</xdr:rowOff>
    </xdr:from>
    <xdr:to>
      <xdr:col>28</xdr:col>
      <xdr:colOff>66675</xdr:colOff>
      <xdr:row>5</xdr:row>
      <xdr:rowOff>38100</xdr:rowOff>
    </xdr:to>
    <xdr:pic>
      <xdr:nvPicPr>
        <xdr:cNvPr id="615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21075" y="476250"/>
          <a:ext cx="1381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752475</xdr:colOff>
      <xdr:row>3</xdr:row>
      <xdr:rowOff>38100</xdr:rowOff>
    </xdr:from>
    <xdr:to>
      <xdr:col>10</xdr:col>
      <xdr:colOff>171450</xdr:colOff>
      <xdr:row>4</xdr:row>
      <xdr:rowOff>219075</xdr:rowOff>
    </xdr:to>
    <xdr:pic>
      <xdr:nvPicPr>
        <xdr:cNvPr id="758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15225" y="523875"/>
          <a:ext cx="1400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702048</xdr:colOff>
      <xdr:row>2</xdr:row>
      <xdr:rowOff>109818</xdr:rowOff>
    </xdr:from>
    <xdr:to>
      <xdr:col>11</xdr:col>
      <xdr:colOff>131110</xdr:colOff>
      <xdr:row>4</xdr:row>
      <xdr:rowOff>138393</xdr:rowOff>
    </xdr:to>
    <xdr:pic>
      <xdr:nvPicPr>
        <xdr:cNvPr id="860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2754" y="423583"/>
          <a:ext cx="1401297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2</xdr:row>
      <xdr:rowOff>66675</xdr:rowOff>
    </xdr:from>
    <xdr:to>
      <xdr:col>10</xdr:col>
      <xdr:colOff>0</xdr:colOff>
      <xdr:row>4</xdr:row>
      <xdr:rowOff>95250</xdr:rowOff>
    </xdr:to>
    <xdr:pic>
      <xdr:nvPicPr>
        <xdr:cNvPr id="870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39052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2</xdr:row>
      <xdr:rowOff>66675</xdr:rowOff>
    </xdr:from>
    <xdr:to>
      <xdr:col>10</xdr:col>
      <xdr:colOff>0</xdr:colOff>
      <xdr:row>4</xdr:row>
      <xdr:rowOff>95250</xdr:rowOff>
    </xdr:to>
    <xdr:pic>
      <xdr:nvPicPr>
        <xdr:cNvPr id="880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7075" y="390525"/>
          <a:ext cx="1400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110"/>
  <sheetViews>
    <sheetView showGridLines="0" tabSelected="1" zoomScale="85" zoomScaleNormal="85" zoomScaleSheetLayoutView="70" workbookViewId="0">
      <selection activeCell="B2" sqref="B2"/>
    </sheetView>
  </sheetViews>
  <sheetFormatPr defaultColWidth="9.140625" defaultRowHeight="13.5" customHeight="1"/>
  <cols>
    <col min="1" max="1" width="3.7109375" style="568" customWidth="1"/>
    <col min="2" max="2" width="2.7109375" style="568" customWidth="1"/>
    <col min="3" max="5" width="9.85546875" style="568" customWidth="1"/>
    <col min="6" max="6" width="10.85546875" style="568" customWidth="1"/>
    <col min="7" max="7" width="10.7109375" style="568" customWidth="1"/>
    <col min="8" max="16" width="9.85546875" style="568" customWidth="1"/>
    <col min="17" max="17" width="2.7109375" style="568" customWidth="1"/>
    <col min="18" max="16384" width="9.140625" style="568"/>
  </cols>
  <sheetData>
    <row r="4" spans="3:14" ht="13.5" customHeight="1">
      <c r="C4" s="576" t="s">
        <v>344</v>
      </c>
      <c r="J4" s="590" t="s">
        <v>321</v>
      </c>
      <c r="K4" s="592">
        <v>41728</v>
      </c>
      <c r="L4" s="577"/>
      <c r="M4" s="570"/>
      <c r="N4" s="568" t="s">
        <v>107</v>
      </c>
    </row>
    <row r="5" spans="3:14" ht="13.5" customHeight="1">
      <c r="C5" s="571"/>
    </row>
    <row r="6" spans="3:14" ht="13.5" customHeight="1">
      <c r="C6" s="569" t="s">
        <v>366</v>
      </c>
    </row>
    <row r="7" spans="3:14" ht="13.5" customHeight="1">
      <c r="C7" s="571"/>
    </row>
    <row r="8" spans="3:14" ht="13.5" customHeight="1">
      <c r="C8" s="569" t="s">
        <v>354</v>
      </c>
    </row>
    <row r="9" spans="3:14" ht="13.5" customHeight="1">
      <c r="C9" s="568" t="s">
        <v>365</v>
      </c>
    </row>
    <row r="10" spans="3:14" ht="13.5" customHeight="1">
      <c r="C10" s="568" t="s">
        <v>355</v>
      </c>
    </row>
    <row r="11" spans="3:14" ht="13.5" customHeight="1">
      <c r="C11" s="568" t="s">
        <v>363</v>
      </c>
    </row>
    <row r="13" spans="3:14" ht="13.5" customHeight="1">
      <c r="C13" s="569" t="s">
        <v>364</v>
      </c>
    </row>
    <row r="14" spans="3:14" ht="13.5" customHeight="1">
      <c r="C14" s="568" t="s">
        <v>126</v>
      </c>
      <c r="G14" s="572" t="s">
        <v>261</v>
      </c>
      <c r="H14" s="568" t="s">
        <v>326</v>
      </c>
    </row>
    <row r="15" spans="3:14" ht="13.5" customHeight="1">
      <c r="C15" s="568" t="s">
        <v>127</v>
      </c>
    </row>
    <row r="17" spans="3:3" ht="13.5" customHeight="1">
      <c r="C17" s="568" t="s">
        <v>345</v>
      </c>
    </row>
    <row r="18" spans="3:3" ht="13.5" customHeight="1">
      <c r="C18" s="568" t="s">
        <v>315</v>
      </c>
    </row>
    <row r="20" spans="3:3" ht="13.5" customHeight="1">
      <c r="C20" s="568" t="s">
        <v>128</v>
      </c>
    </row>
    <row r="21" spans="3:3" ht="13.5" customHeight="1">
      <c r="C21" s="568" t="s">
        <v>129</v>
      </c>
    </row>
    <row r="22" spans="3:3" ht="13.5" customHeight="1">
      <c r="C22" s="568" t="s">
        <v>327</v>
      </c>
    </row>
    <row r="23" spans="3:3" ht="13.5" customHeight="1">
      <c r="C23" s="568" t="s">
        <v>272</v>
      </c>
    </row>
    <row r="25" spans="3:3" ht="13.5" customHeight="1">
      <c r="C25" s="568" t="s">
        <v>130</v>
      </c>
    </row>
    <row r="27" spans="3:3" ht="13.5" customHeight="1">
      <c r="C27" s="569" t="s">
        <v>173</v>
      </c>
    </row>
    <row r="29" spans="3:3" ht="13.5" customHeight="1">
      <c r="C29" s="568" t="s">
        <v>141</v>
      </c>
    </row>
    <row r="30" spans="3:3" ht="13.5" customHeight="1">
      <c r="C30" s="568" t="s">
        <v>273</v>
      </c>
    </row>
    <row r="31" spans="3:3" ht="13.5" customHeight="1">
      <c r="C31" s="568" t="s">
        <v>250</v>
      </c>
    </row>
    <row r="32" spans="3:3" ht="13.5" customHeight="1">
      <c r="C32" s="568" t="s">
        <v>149</v>
      </c>
    </row>
    <row r="33" spans="3:3" ht="13.5" customHeight="1">
      <c r="C33" s="568" t="s">
        <v>150</v>
      </c>
    </row>
    <row r="34" spans="3:3" ht="13.5" customHeight="1">
      <c r="C34" s="568" t="s">
        <v>151</v>
      </c>
    </row>
    <row r="36" spans="3:3" ht="13.5" customHeight="1">
      <c r="C36" s="573" t="s">
        <v>274</v>
      </c>
    </row>
    <row r="37" spans="3:3" ht="13.5" customHeight="1">
      <c r="C37" s="573" t="s">
        <v>346</v>
      </c>
    </row>
    <row r="38" spans="3:3" ht="13.5" customHeight="1">
      <c r="C38" s="573" t="s">
        <v>253</v>
      </c>
    </row>
    <row r="39" spans="3:3" ht="13.5" customHeight="1">
      <c r="C39" s="574" t="s">
        <v>328</v>
      </c>
    </row>
    <row r="41" spans="3:3" ht="13.5" customHeight="1">
      <c r="C41" s="575" t="s">
        <v>36</v>
      </c>
    </row>
    <row r="42" spans="3:3" ht="13.5" customHeight="1">
      <c r="C42" s="575"/>
    </row>
    <row r="43" spans="3:3" ht="13.5" customHeight="1">
      <c r="C43" s="574" t="s">
        <v>131</v>
      </c>
    </row>
    <row r="44" spans="3:3" ht="13.5" customHeight="1">
      <c r="C44" s="574" t="s">
        <v>132</v>
      </c>
    </row>
    <row r="45" spans="3:3" ht="13.5" customHeight="1">
      <c r="C45" s="574" t="s">
        <v>133</v>
      </c>
    </row>
    <row r="46" spans="3:3" ht="13.5" customHeight="1">
      <c r="C46" s="574" t="s">
        <v>234</v>
      </c>
    </row>
    <row r="47" spans="3:3" ht="13.5" customHeight="1">
      <c r="C47" s="574"/>
    </row>
    <row r="48" spans="3:3" ht="13.5" customHeight="1">
      <c r="C48" s="574" t="s">
        <v>134</v>
      </c>
    </row>
    <row r="49" spans="3:3" ht="13.5" customHeight="1">
      <c r="C49" s="574" t="s">
        <v>329</v>
      </c>
    </row>
    <row r="50" spans="3:3" ht="13.5" customHeight="1">
      <c r="C50" s="574" t="s">
        <v>135</v>
      </c>
    </row>
    <row r="51" spans="3:3" ht="13.5" customHeight="1">
      <c r="C51" s="574" t="s">
        <v>136</v>
      </c>
    </row>
    <row r="52" spans="3:3" ht="13.5" customHeight="1">
      <c r="C52" s="574" t="s">
        <v>330</v>
      </c>
    </row>
    <row r="53" spans="3:3" ht="13.5" customHeight="1">
      <c r="C53" s="574"/>
    </row>
    <row r="54" spans="3:3" ht="13.5" customHeight="1">
      <c r="C54" s="574" t="s">
        <v>347</v>
      </c>
    </row>
    <row r="55" spans="3:3" ht="13.5" customHeight="1">
      <c r="C55" s="574" t="s">
        <v>348</v>
      </c>
    </row>
    <row r="56" spans="3:3" ht="13.5" customHeight="1">
      <c r="C56" s="574" t="s">
        <v>293</v>
      </c>
    </row>
    <row r="57" spans="3:3" ht="13.5" customHeight="1">
      <c r="C57" s="574" t="s">
        <v>251</v>
      </c>
    </row>
    <row r="59" spans="3:3" ht="13.5" customHeight="1">
      <c r="C59" s="569" t="s">
        <v>175</v>
      </c>
    </row>
    <row r="61" spans="3:3" ht="13.5" customHeight="1">
      <c r="C61" s="568" t="s">
        <v>254</v>
      </c>
    </row>
    <row r="62" spans="3:3" ht="13.5" customHeight="1">
      <c r="C62" s="568" t="s">
        <v>275</v>
      </c>
    </row>
    <row r="64" spans="3:3" ht="13.5" customHeight="1">
      <c r="C64" s="569" t="s">
        <v>176</v>
      </c>
    </row>
    <row r="65" spans="3:3" ht="13.5" customHeight="1">
      <c r="C65" s="569"/>
    </row>
    <row r="66" spans="3:3" ht="13.5" customHeight="1">
      <c r="C66" s="568" t="s">
        <v>143</v>
      </c>
    </row>
    <row r="67" spans="3:3" ht="13.5" customHeight="1">
      <c r="C67" s="568" t="s">
        <v>349</v>
      </c>
    </row>
    <row r="68" spans="3:3" ht="13.5" customHeight="1">
      <c r="C68" s="568" t="s">
        <v>350</v>
      </c>
    </row>
    <row r="70" spans="3:3" ht="13.5" customHeight="1">
      <c r="C70" s="569" t="s">
        <v>137</v>
      </c>
    </row>
    <row r="72" spans="3:3" ht="13.5" customHeight="1">
      <c r="C72" s="568" t="s">
        <v>351</v>
      </c>
    </row>
    <row r="73" spans="3:3" ht="13.5" customHeight="1">
      <c r="C73" s="568" t="s">
        <v>138</v>
      </c>
    </row>
    <row r="74" spans="3:3" ht="13.5" customHeight="1">
      <c r="C74" s="568" t="s">
        <v>320</v>
      </c>
    </row>
    <row r="75" spans="3:3" ht="13.5" customHeight="1">
      <c r="C75" s="568" t="s">
        <v>177</v>
      </c>
    </row>
    <row r="76" spans="3:3" ht="13.5" customHeight="1">
      <c r="C76" s="568" t="s">
        <v>146</v>
      </c>
    </row>
    <row r="78" spans="3:3" ht="13.5" customHeight="1">
      <c r="C78" s="569" t="s">
        <v>196</v>
      </c>
    </row>
    <row r="80" spans="3:3" ht="13.5" customHeight="1">
      <c r="C80" s="568" t="s">
        <v>174</v>
      </c>
    </row>
    <row r="82" spans="3:3" ht="13.5" customHeight="1">
      <c r="C82" s="569" t="s">
        <v>195</v>
      </c>
    </row>
    <row r="84" spans="3:3" ht="13.5" customHeight="1">
      <c r="C84" s="568" t="s">
        <v>208</v>
      </c>
    </row>
    <row r="85" spans="3:3" ht="13.5" customHeight="1">
      <c r="C85" s="568" t="s">
        <v>276</v>
      </c>
    </row>
    <row r="87" spans="3:3" ht="13.5" customHeight="1">
      <c r="C87" s="569" t="s">
        <v>197</v>
      </c>
    </row>
    <row r="89" spans="3:3" ht="13.5" customHeight="1">
      <c r="C89" s="568" t="s">
        <v>235</v>
      </c>
    </row>
    <row r="90" spans="3:3" ht="13.5" customHeight="1">
      <c r="C90" s="568" t="s">
        <v>331</v>
      </c>
    </row>
    <row r="91" spans="3:3" ht="13.5" customHeight="1">
      <c r="C91" s="568" t="s">
        <v>332</v>
      </c>
    </row>
    <row r="93" spans="3:3" ht="13.5" customHeight="1">
      <c r="C93" s="568" t="s">
        <v>178</v>
      </c>
    </row>
    <row r="94" spans="3:3" ht="13.5" customHeight="1">
      <c r="C94" s="568" t="s">
        <v>333</v>
      </c>
    </row>
    <row r="96" spans="3:3" ht="13.5" customHeight="1">
      <c r="C96" s="569" t="s">
        <v>200</v>
      </c>
    </row>
    <row r="98" spans="3:6" ht="13.5" customHeight="1">
      <c r="C98" s="568" t="s">
        <v>352</v>
      </c>
    </row>
    <row r="100" spans="3:6" ht="13.5" customHeight="1">
      <c r="C100" s="569" t="s">
        <v>142</v>
      </c>
    </row>
    <row r="102" spans="3:6" ht="13.5" customHeight="1">
      <c r="C102" s="568" t="s">
        <v>323</v>
      </c>
    </row>
    <row r="103" spans="3:6" ht="13.5" customHeight="1">
      <c r="C103" s="568" t="s">
        <v>324</v>
      </c>
    </row>
    <row r="104" spans="3:6" ht="13.5" customHeight="1">
      <c r="C104" s="568" t="s">
        <v>316</v>
      </c>
    </row>
    <row r="105" spans="3:6" ht="13.5" customHeight="1">
      <c r="C105" s="568" t="s">
        <v>255</v>
      </c>
    </row>
    <row r="107" spans="3:6" ht="13.5" customHeight="1">
      <c r="C107" s="569" t="s">
        <v>139</v>
      </c>
    </row>
    <row r="108" spans="3:6" ht="13.5" customHeight="1">
      <c r="C108" s="569"/>
    </row>
    <row r="109" spans="3:6" ht="13.5" customHeight="1">
      <c r="C109" s="574" t="s">
        <v>140</v>
      </c>
    </row>
    <row r="110" spans="3:6" ht="13.5" customHeight="1">
      <c r="C110" s="568" t="s">
        <v>278</v>
      </c>
      <c r="F110" s="568" t="s">
        <v>277</v>
      </c>
    </row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81" min="1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Z304"/>
  <sheetViews>
    <sheetView showGridLines="0" zoomScale="85" zoomScaleNormal="85" zoomScaleSheetLayoutView="7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3" width="2.7109375" style="33" customWidth="1"/>
    <col min="4" max="4" width="45.7109375" style="33" customWidth="1"/>
    <col min="5" max="5" width="1.7109375" style="33" customWidth="1"/>
    <col min="6" max="6" width="8.7109375" style="33" customWidth="1"/>
    <col min="7" max="7" width="2.7109375" style="33" customWidth="1"/>
    <col min="8" max="11" width="16.85546875" style="33" customWidth="1"/>
    <col min="12" max="13" width="2.7109375" style="33" customWidth="1"/>
    <col min="14" max="14" width="15.42578125" style="33" customWidth="1"/>
    <col min="15" max="16" width="5.7109375" style="33" customWidth="1"/>
    <col min="17" max="16384" width="9.140625" style="33"/>
  </cols>
  <sheetData>
    <row r="1" spans="2:14" ht="12.75" customHeight="1"/>
    <row r="2" spans="2:14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7"/>
    </row>
    <row r="3" spans="2:14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4" s="34" customFormat="1" ht="18.75">
      <c r="B4" s="157"/>
      <c r="C4" s="158" t="s">
        <v>104</v>
      </c>
      <c r="D4" s="159"/>
      <c r="E4" s="52"/>
      <c r="F4" s="52"/>
      <c r="G4" s="52"/>
      <c r="H4" s="160"/>
      <c r="I4" s="52"/>
      <c r="J4" s="52"/>
      <c r="K4" s="52"/>
      <c r="L4" s="52"/>
      <c r="M4" s="161"/>
    </row>
    <row r="5" spans="2:14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2:14">
      <c r="B6" s="48"/>
      <c r="C6" s="49"/>
      <c r="D6" s="49"/>
      <c r="E6" s="58"/>
      <c r="F6" s="58"/>
      <c r="G6" s="58"/>
      <c r="H6" s="162"/>
      <c r="I6" s="162"/>
      <c r="J6" s="162"/>
      <c r="K6" s="162"/>
      <c r="L6" s="59"/>
      <c r="M6" s="60"/>
      <c r="N6" s="37"/>
    </row>
    <row r="7" spans="2:14">
      <c r="B7" s="48"/>
      <c r="C7" s="49"/>
      <c r="D7" s="49"/>
      <c r="E7" s="58"/>
      <c r="F7" s="58"/>
      <c r="G7" s="58"/>
      <c r="H7" s="162"/>
      <c r="I7" s="162"/>
      <c r="J7" s="162"/>
      <c r="K7" s="162"/>
      <c r="L7" s="59"/>
      <c r="M7" s="60"/>
      <c r="N7" s="37"/>
    </row>
    <row r="8" spans="2:14" s="34" customFormat="1">
      <c r="B8" s="51"/>
      <c r="C8" s="52"/>
      <c r="D8" s="53"/>
      <c r="E8" s="54"/>
      <c r="F8" s="54"/>
      <c r="G8" s="54"/>
      <c r="H8" s="95">
        <f>tab!E2</f>
        <v>2014</v>
      </c>
      <c r="I8" s="95">
        <f>H8+1</f>
        <v>2015</v>
      </c>
      <c r="J8" s="95">
        <f>I8+1</f>
        <v>2016</v>
      </c>
      <c r="K8" s="95">
        <f>J8+1</f>
        <v>2017</v>
      </c>
      <c r="L8" s="56"/>
      <c r="M8" s="57"/>
      <c r="N8" s="36"/>
    </row>
    <row r="9" spans="2:14">
      <c r="B9" s="48"/>
      <c r="C9" s="49"/>
      <c r="D9" s="49"/>
      <c r="E9" s="58"/>
      <c r="F9" s="58"/>
      <c r="G9" s="58"/>
      <c r="H9" s="49"/>
      <c r="I9" s="49"/>
      <c r="J9" s="49"/>
      <c r="K9" s="49"/>
      <c r="L9" s="59"/>
      <c r="M9" s="60"/>
      <c r="N9" s="37"/>
    </row>
    <row r="10" spans="2:14">
      <c r="B10" s="48"/>
      <c r="C10" s="73"/>
      <c r="D10" s="185"/>
      <c r="E10" s="74"/>
      <c r="F10" s="186"/>
      <c r="G10" s="74"/>
      <c r="H10" s="187"/>
      <c r="I10" s="188"/>
      <c r="J10" s="188"/>
      <c r="K10" s="74"/>
      <c r="L10" s="189"/>
      <c r="M10" s="50"/>
    </row>
    <row r="11" spans="2:14">
      <c r="B11" s="48"/>
      <c r="C11" s="77"/>
      <c r="D11" s="190" t="s">
        <v>268</v>
      </c>
      <c r="E11" s="79"/>
      <c r="F11" s="191"/>
      <c r="G11" s="79"/>
      <c r="H11" s="192"/>
      <c r="I11" s="192"/>
      <c r="J11" s="192"/>
      <c r="K11" s="192"/>
      <c r="L11" s="80"/>
      <c r="M11" s="50"/>
    </row>
    <row r="12" spans="2:14">
      <c r="B12" s="48"/>
      <c r="C12" s="77"/>
      <c r="D12" s="193"/>
      <c r="E12" s="79"/>
      <c r="F12" s="191"/>
      <c r="G12" s="79"/>
      <c r="H12" s="192"/>
      <c r="I12" s="192"/>
      <c r="J12" s="192"/>
      <c r="K12" s="192"/>
      <c r="L12" s="80"/>
      <c r="M12" s="50"/>
    </row>
    <row r="13" spans="2:14">
      <c r="B13" s="48"/>
      <c r="C13" s="77"/>
      <c r="D13" s="81" t="s">
        <v>194</v>
      </c>
      <c r="E13" s="79"/>
      <c r="F13" s="191"/>
      <c r="G13" s="79"/>
      <c r="H13" s="192"/>
      <c r="I13" s="192"/>
      <c r="J13" s="192"/>
      <c r="K13" s="192"/>
      <c r="L13" s="80"/>
      <c r="M13" s="50"/>
    </row>
    <row r="14" spans="2:14">
      <c r="B14" s="48"/>
      <c r="C14" s="77"/>
      <c r="D14" s="78" t="s">
        <v>144</v>
      </c>
      <c r="E14" s="79"/>
      <c r="F14" s="191"/>
      <c r="G14" s="79"/>
      <c r="H14" s="257">
        <f>'1'!F58+'2'!F58+'3'!F58+'4'!F58+'5'!F58+'6'!F58+'7'!F58+'8'!F58+'9'!F58+'10'!F58+'11'!F58+'12'!F58+'13'!F58+'14'!F58+'15'!F58+'16'!F58+'17'!F58+'18'!F58+'19'!F58+'20'!F58</f>
        <v>0</v>
      </c>
      <c r="I14" s="257">
        <f>'1'!G58+'2'!G58+'3'!G58+'4'!G58+'5'!G58+'6'!G58+'7'!G58+'8'!G58+'9'!G58+'10'!G58+'11'!G58+'12'!G58+'13'!G58+'14'!G58+'15'!G58+'16'!G58+'17'!G58+'18'!G58+'19'!G58+'20'!G58</f>
        <v>0</v>
      </c>
      <c r="J14" s="257">
        <f>'1'!H58+'2'!H58+'3'!H58+'4'!H58+'5'!H58+'6'!H58+'7'!H58+'8'!H58+'9'!H58+'10'!H58+'11'!H58+'12'!H58+'13'!H58+'14'!H58+'15'!H58+'16'!H58+'17'!H58+'18'!H58+'19'!H58+'20'!H58</f>
        <v>0</v>
      </c>
      <c r="K14" s="257">
        <f>'1'!I58+'2'!I58+'3'!I58+'4'!I58+'5'!I58+'6'!I58+'7'!I58+'8'!I58+'9'!I58+'10'!I58+'11'!I58+'12'!I58+'13'!I58+'14'!I58+'15'!I58+'16'!I58+'17'!I58+'18'!I58+'19'!I58+'20'!I58</f>
        <v>0</v>
      </c>
      <c r="L14" s="80"/>
      <c r="M14" s="50"/>
    </row>
    <row r="15" spans="2:14">
      <c r="B15" s="48"/>
      <c r="C15" s="77"/>
      <c r="D15" s="78" t="s">
        <v>145</v>
      </c>
      <c r="E15" s="79"/>
      <c r="F15" s="191"/>
      <c r="G15" s="79"/>
      <c r="H15" s="257">
        <f>'1'!F59+'2'!F59+'3'!F59+'4'!F59+'5'!F59+'6'!F59+'7'!F59+'8'!F59+'9'!F59+'10'!F59+'11'!F59+'12'!F59+'13'!F59+'14'!F59+'15'!F59+'16'!F59+'17'!F59+'18'!F59+'19'!F59+'20'!F59</f>
        <v>0</v>
      </c>
      <c r="I15" s="257">
        <f>'1'!G59+'2'!G59+'3'!G59+'4'!G59+'5'!G59+'6'!G59+'7'!G59+'8'!G59+'9'!G59+'10'!G59+'11'!G59+'12'!G59+'13'!G59+'14'!G59+'15'!G59+'16'!G59+'17'!G59+'18'!G59+'19'!G59+'20'!G59</f>
        <v>0</v>
      </c>
      <c r="J15" s="257">
        <f>'1'!H59+'2'!H59+'3'!H59+'4'!H59+'5'!H59+'6'!H59+'7'!H59+'8'!H59+'9'!H59+'10'!H59+'11'!H59+'12'!H59+'13'!H59+'14'!H59+'15'!H59+'16'!H59+'17'!H59+'18'!H59+'19'!H59+'20'!H59</f>
        <v>0</v>
      </c>
      <c r="K15" s="257">
        <f>'1'!I59+'2'!I59+'3'!I59+'4'!I59+'5'!I59+'6'!I59+'7'!I59+'8'!I59+'9'!I59+'10'!I59+'11'!I59+'12'!I59+'13'!I59+'14'!I59+'15'!I59+'16'!I59+'17'!I59+'18'!I59+'19'!I59+'20'!I59</f>
        <v>0</v>
      </c>
      <c r="L15" s="80"/>
      <c r="M15" s="50"/>
    </row>
    <row r="16" spans="2:14">
      <c r="B16" s="48"/>
      <c r="C16" s="77"/>
      <c r="D16" s="78"/>
      <c r="E16" s="79"/>
      <c r="F16" s="191"/>
      <c r="G16" s="79"/>
      <c r="H16" s="79"/>
      <c r="I16" s="79"/>
      <c r="J16" s="79"/>
      <c r="K16" s="79"/>
      <c r="L16" s="80"/>
      <c r="M16" s="50"/>
    </row>
    <row r="17" spans="2:13">
      <c r="B17" s="48"/>
      <c r="C17" s="77"/>
      <c r="D17" s="81" t="s">
        <v>193</v>
      </c>
      <c r="E17" s="79"/>
      <c r="F17" s="191"/>
      <c r="G17" s="79"/>
      <c r="H17" s="79"/>
      <c r="I17" s="79"/>
      <c r="J17" s="79"/>
      <c r="K17" s="79"/>
      <c r="L17" s="80"/>
      <c r="M17" s="50"/>
    </row>
    <row r="18" spans="2:13">
      <c r="B18" s="48"/>
      <c r="C18" s="77"/>
      <c r="D18" s="194" t="s">
        <v>286</v>
      </c>
      <c r="E18" s="79"/>
      <c r="F18" s="191"/>
      <c r="G18" s="79"/>
      <c r="H18" s="241">
        <v>0</v>
      </c>
      <c r="I18" s="241">
        <f t="shared" ref="I18:I20" si="0">H18</f>
        <v>0</v>
      </c>
      <c r="J18" s="241">
        <f t="shared" ref="J18:J20" si="1">I18</f>
        <v>0</v>
      </c>
      <c r="K18" s="241">
        <f t="shared" ref="K18:K20" si="2">J18</f>
        <v>0</v>
      </c>
      <c r="L18" s="80"/>
      <c r="M18" s="50"/>
    </row>
    <row r="19" spans="2:13">
      <c r="B19" s="48"/>
      <c r="C19" s="77"/>
      <c r="D19" s="240"/>
      <c r="E19" s="79"/>
      <c r="F19" s="191"/>
      <c r="G19" s="79"/>
      <c r="H19" s="241">
        <v>0</v>
      </c>
      <c r="I19" s="241">
        <f t="shared" si="0"/>
        <v>0</v>
      </c>
      <c r="J19" s="241">
        <f t="shared" si="1"/>
        <v>0</v>
      </c>
      <c r="K19" s="241">
        <f t="shared" si="2"/>
        <v>0</v>
      </c>
      <c r="L19" s="80"/>
      <c r="M19" s="50"/>
    </row>
    <row r="20" spans="2:13">
      <c r="B20" s="48"/>
      <c r="C20" s="77"/>
      <c r="D20" s="240"/>
      <c r="E20" s="79"/>
      <c r="F20" s="191"/>
      <c r="G20" s="79"/>
      <c r="H20" s="241">
        <v>0</v>
      </c>
      <c r="I20" s="241">
        <f t="shared" si="0"/>
        <v>0</v>
      </c>
      <c r="J20" s="241">
        <f t="shared" si="1"/>
        <v>0</v>
      </c>
      <c r="K20" s="241">
        <f t="shared" si="2"/>
        <v>0</v>
      </c>
      <c r="L20" s="80"/>
      <c r="M20" s="50"/>
    </row>
    <row r="21" spans="2:13">
      <c r="B21" s="48"/>
      <c r="C21" s="77"/>
      <c r="D21" s="191"/>
      <c r="E21" s="79"/>
      <c r="F21" s="191"/>
      <c r="G21" s="79"/>
      <c r="H21" s="192"/>
      <c r="I21" s="192"/>
      <c r="J21" s="192"/>
      <c r="K21" s="192"/>
      <c r="L21" s="80"/>
      <c r="M21" s="50"/>
    </row>
    <row r="22" spans="2:13">
      <c r="B22" s="48"/>
      <c r="C22" s="77"/>
      <c r="D22" s="481" t="s">
        <v>353</v>
      </c>
      <c r="E22" s="79"/>
      <c r="F22" s="191"/>
      <c r="G22" s="79"/>
      <c r="H22" s="192"/>
      <c r="I22" s="192"/>
      <c r="J22" s="192"/>
      <c r="K22" s="192"/>
      <c r="L22" s="80"/>
      <c r="M22" s="50"/>
    </row>
    <row r="23" spans="2:13">
      <c r="B23" s="48"/>
      <c r="C23" s="77"/>
      <c r="D23" s="79" t="s">
        <v>340</v>
      </c>
      <c r="E23" s="79"/>
      <c r="F23" s="191"/>
      <c r="G23" s="79"/>
      <c r="H23" s="241">
        <v>0</v>
      </c>
      <c r="I23" s="241">
        <f t="shared" ref="I23:I24" si="3">H23</f>
        <v>0</v>
      </c>
      <c r="J23" s="241">
        <f t="shared" ref="J23:J24" si="4">I23</f>
        <v>0</v>
      </c>
      <c r="K23" s="241">
        <f t="shared" ref="K23:K24" si="5">J23</f>
        <v>0</v>
      </c>
      <c r="L23" s="80"/>
      <c r="M23" s="50"/>
    </row>
    <row r="24" spans="2:13">
      <c r="B24" s="48"/>
      <c r="C24" s="77"/>
      <c r="D24" s="79" t="s">
        <v>341</v>
      </c>
      <c r="E24" s="79"/>
      <c r="F24" s="191"/>
      <c r="G24" s="79"/>
      <c r="H24" s="241">
        <v>0</v>
      </c>
      <c r="I24" s="241">
        <f t="shared" si="3"/>
        <v>0</v>
      </c>
      <c r="J24" s="241">
        <f t="shared" si="4"/>
        <v>0</v>
      </c>
      <c r="K24" s="241">
        <f t="shared" si="5"/>
        <v>0</v>
      </c>
      <c r="L24" s="80"/>
      <c r="M24" s="50"/>
    </row>
    <row r="25" spans="2:13">
      <c r="B25" s="48"/>
      <c r="C25" s="77"/>
      <c r="D25" s="191"/>
      <c r="E25" s="79"/>
      <c r="F25" s="191"/>
      <c r="G25" s="79"/>
      <c r="H25" s="192"/>
      <c r="I25" s="192"/>
      <c r="J25" s="192"/>
      <c r="K25" s="192"/>
      <c r="L25" s="80"/>
      <c r="M25" s="50"/>
    </row>
    <row r="26" spans="2:13">
      <c r="B26" s="48"/>
      <c r="C26" s="77"/>
      <c r="D26" s="195"/>
      <c r="E26" s="79"/>
      <c r="F26" s="191"/>
      <c r="G26" s="79"/>
      <c r="H26" s="256">
        <f>SUM(H14:H24)</f>
        <v>0</v>
      </c>
      <c r="I26" s="256">
        <f>SUM(I14:I24)</f>
        <v>0</v>
      </c>
      <c r="J26" s="256">
        <f>SUM(J14:J24)</f>
        <v>0</v>
      </c>
      <c r="K26" s="256">
        <f>SUM(K14:K24)</f>
        <v>0</v>
      </c>
      <c r="L26" s="80"/>
      <c r="M26" s="50"/>
    </row>
    <row r="27" spans="2:13">
      <c r="B27" s="48"/>
      <c r="C27" s="88"/>
      <c r="D27" s="235"/>
      <c r="E27" s="89"/>
      <c r="F27" s="236"/>
      <c r="G27" s="89"/>
      <c r="H27" s="237"/>
      <c r="I27" s="237"/>
      <c r="J27" s="237"/>
      <c r="K27" s="237"/>
      <c r="L27" s="91"/>
      <c r="M27" s="50"/>
    </row>
    <row r="28" spans="2:13">
      <c r="B28" s="48"/>
      <c r="C28" s="49"/>
      <c r="D28" s="163"/>
      <c r="E28" s="49"/>
      <c r="F28" s="164"/>
      <c r="G28" s="49"/>
      <c r="H28" s="165"/>
      <c r="I28" s="165"/>
      <c r="J28" s="165"/>
      <c r="K28" s="165"/>
      <c r="L28" s="49"/>
      <c r="M28" s="50"/>
    </row>
    <row r="29" spans="2:13">
      <c r="B29" s="48"/>
      <c r="C29" s="73"/>
      <c r="D29" s="238"/>
      <c r="E29" s="74"/>
      <c r="F29" s="186"/>
      <c r="G29" s="74"/>
      <c r="H29" s="239"/>
      <c r="I29" s="239"/>
      <c r="J29" s="239"/>
      <c r="K29" s="239"/>
      <c r="L29" s="189"/>
      <c r="M29" s="50"/>
    </row>
    <row r="30" spans="2:13">
      <c r="B30" s="48"/>
      <c r="C30" s="77"/>
      <c r="D30" s="196" t="s">
        <v>210</v>
      </c>
      <c r="E30" s="79"/>
      <c r="F30" s="191"/>
      <c r="G30" s="79"/>
      <c r="H30" s="192"/>
      <c r="I30" s="192"/>
      <c r="J30" s="192"/>
      <c r="K30" s="192"/>
      <c r="L30" s="80"/>
      <c r="M30" s="50"/>
    </row>
    <row r="31" spans="2:13">
      <c r="B31" s="48"/>
      <c r="C31" s="77"/>
      <c r="D31" s="197"/>
      <c r="E31" s="79"/>
      <c r="F31" s="191"/>
      <c r="G31" s="79"/>
      <c r="H31" s="192"/>
      <c r="I31" s="192"/>
      <c r="J31" s="192"/>
      <c r="K31" s="192"/>
      <c r="L31" s="80"/>
      <c r="M31" s="50"/>
    </row>
    <row r="32" spans="2:13" ht="12" customHeight="1">
      <c r="B32" s="48"/>
      <c r="C32" s="77"/>
      <c r="D32" s="622" t="s">
        <v>359</v>
      </c>
      <c r="E32" s="79"/>
      <c r="F32" s="191"/>
      <c r="G32" s="79"/>
      <c r="H32" s="241">
        <v>0</v>
      </c>
      <c r="I32" s="241">
        <f t="shared" ref="I32:K36" si="6">H32</f>
        <v>0</v>
      </c>
      <c r="J32" s="241">
        <f t="shared" si="6"/>
        <v>0</v>
      </c>
      <c r="K32" s="241">
        <f t="shared" si="6"/>
        <v>0</v>
      </c>
      <c r="L32" s="80"/>
      <c r="M32" s="50"/>
    </row>
    <row r="33" spans="2:13" ht="12" customHeight="1">
      <c r="B33" s="48"/>
      <c r="C33" s="77"/>
      <c r="D33" s="240"/>
      <c r="E33" s="79"/>
      <c r="F33" s="191"/>
      <c r="G33" s="79"/>
      <c r="H33" s="241">
        <v>0</v>
      </c>
      <c r="I33" s="241">
        <f t="shared" ref="I33:K34" si="7">H33</f>
        <v>0</v>
      </c>
      <c r="J33" s="241">
        <f t="shared" si="7"/>
        <v>0</v>
      </c>
      <c r="K33" s="241">
        <f t="shared" si="7"/>
        <v>0</v>
      </c>
      <c r="L33" s="80"/>
      <c r="M33" s="50"/>
    </row>
    <row r="34" spans="2:13" ht="12" customHeight="1">
      <c r="B34" s="48"/>
      <c r="C34" s="77"/>
      <c r="D34" s="240"/>
      <c r="E34" s="79"/>
      <c r="F34" s="191"/>
      <c r="G34" s="79"/>
      <c r="H34" s="241">
        <v>0</v>
      </c>
      <c r="I34" s="241">
        <f t="shared" si="7"/>
        <v>0</v>
      </c>
      <c r="J34" s="241">
        <f t="shared" si="7"/>
        <v>0</v>
      </c>
      <c r="K34" s="241">
        <f t="shared" si="7"/>
        <v>0</v>
      </c>
      <c r="L34" s="80"/>
      <c r="M34" s="50"/>
    </row>
    <row r="35" spans="2:13" ht="12" customHeight="1">
      <c r="B35" s="48"/>
      <c r="C35" s="77"/>
      <c r="D35" s="240"/>
      <c r="E35" s="79"/>
      <c r="F35" s="191"/>
      <c r="G35" s="79"/>
      <c r="H35" s="241">
        <v>0</v>
      </c>
      <c r="I35" s="241">
        <f t="shared" si="6"/>
        <v>0</v>
      </c>
      <c r="J35" s="241">
        <f t="shared" si="6"/>
        <v>0</v>
      </c>
      <c r="K35" s="241">
        <f t="shared" si="6"/>
        <v>0</v>
      </c>
      <c r="L35" s="80"/>
      <c r="M35" s="50"/>
    </row>
    <row r="36" spans="2:13" ht="12" customHeight="1">
      <c r="B36" s="48"/>
      <c r="C36" s="77"/>
      <c r="D36" s="240"/>
      <c r="E36" s="79"/>
      <c r="F36" s="191"/>
      <c r="G36" s="79"/>
      <c r="H36" s="241">
        <v>0</v>
      </c>
      <c r="I36" s="241">
        <f t="shared" si="6"/>
        <v>0</v>
      </c>
      <c r="J36" s="241">
        <f t="shared" si="6"/>
        <v>0</v>
      </c>
      <c r="K36" s="241">
        <f t="shared" si="6"/>
        <v>0</v>
      </c>
      <c r="L36" s="80"/>
      <c r="M36" s="50"/>
    </row>
    <row r="37" spans="2:13" ht="12" customHeight="1">
      <c r="B37" s="48"/>
      <c r="C37" s="77"/>
      <c r="D37" s="78"/>
      <c r="E37" s="79"/>
      <c r="F37" s="191"/>
      <c r="G37" s="79"/>
      <c r="H37" s="192"/>
      <c r="I37" s="198"/>
      <c r="J37" s="198"/>
      <c r="K37" s="198"/>
      <c r="L37" s="80"/>
      <c r="M37" s="50"/>
    </row>
    <row r="38" spans="2:13" ht="12" customHeight="1">
      <c r="B38" s="48"/>
      <c r="C38" s="77"/>
      <c r="D38" s="195" t="s">
        <v>77</v>
      </c>
      <c r="E38" s="79"/>
      <c r="F38" s="191"/>
      <c r="G38" s="79"/>
      <c r="H38" s="256">
        <f>SUM(H32:H36)</f>
        <v>0</v>
      </c>
      <c r="I38" s="256">
        <f>SUM(I32:I36)</f>
        <v>0</v>
      </c>
      <c r="J38" s="256">
        <f>SUM(J32:J36)</f>
        <v>0</v>
      </c>
      <c r="K38" s="256">
        <f>SUM(K32:K36)</f>
        <v>0</v>
      </c>
      <c r="L38" s="80"/>
      <c r="M38" s="50"/>
    </row>
    <row r="39" spans="2:13" ht="12" customHeight="1">
      <c r="B39" s="48"/>
      <c r="C39" s="88"/>
      <c r="D39" s="341"/>
      <c r="E39" s="89"/>
      <c r="F39" s="236"/>
      <c r="G39" s="89"/>
      <c r="H39" s="237"/>
      <c r="I39" s="537"/>
      <c r="J39" s="537"/>
      <c r="K39" s="537"/>
      <c r="L39" s="91"/>
      <c r="M39" s="50"/>
    </row>
    <row r="40" spans="2:13" ht="12" customHeight="1">
      <c r="B40" s="48"/>
      <c r="C40" s="49"/>
      <c r="D40" s="61"/>
      <c r="E40" s="49"/>
      <c r="F40" s="164"/>
      <c r="G40" s="49"/>
      <c r="H40" s="165"/>
      <c r="I40" s="166"/>
      <c r="J40" s="166"/>
      <c r="K40" s="166"/>
      <c r="L40" s="49"/>
      <c r="M40" s="50"/>
    </row>
    <row r="41" spans="2:13" ht="12" customHeight="1">
      <c r="B41" s="48"/>
      <c r="C41" s="73"/>
      <c r="D41" s="313"/>
      <c r="E41" s="74"/>
      <c r="F41" s="186"/>
      <c r="G41" s="74"/>
      <c r="H41" s="239"/>
      <c r="I41" s="538"/>
      <c r="J41" s="538"/>
      <c r="K41" s="538"/>
      <c r="L41" s="189"/>
      <c r="M41" s="50"/>
    </row>
    <row r="42" spans="2:13" ht="12" customHeight="1">
      <c r="B42" s="48"/>
      <c r="C42" s="77"/>
      <c r="D42" s="196" t="s">
        <v>67</v>
      </c>
      <c r="E42" s="195"/>
      <c r="F42" s="199"/>
      <c r="G42" s="195"/>
      <c r="H42" s="200"/>
      <c r="I42" s="200"/>
      <c r="J42" s="200"/>
      <c r="K42" s="200"/>
      <c r="L42" s="80"/>
      <c r="M42" s="50"/>
    </row>
    <row r="43" spans="2:13" ht="12" customHeight="1">
      <c r="B43" s="48"/>
      <c r="C43" s="77"/>
      <c r="D43" s="195"/>
      <c r="E43" s="195"/>
      <c r="F43" s="191"/>
      <c r="G43" s="195"/>
      <c r="H43" s="200"/>
      <c r="I43" s="200"/>
      <c r="J43" s="200"/>
      <c r="K43" s="200"/>
      <c r="L43" s="80"/>
      <c r="M43" s="50"/>
    </row>
    <row r="44" spans="2:13" ht="12" customHeight="1">
      <c r="B44" s="48"/>
      <c r="C44" s="77"/>
      <c r="D44" s="78" t="s">
        <v>211</v>
      </c>
      <c r="E44" s="79"/>
      <c r="F44" s="191"/>
      <c r="G44" s="79"/>
      <c r="H44" s="531">
        <v>0</v>
      </c>
      <c r="I44" s="241">
        <f t="shared" ref="I44" si="8">H44</f>
        <v>0</v>
      </c>
      <c r="J44" s="242">
        <f t="shared" ref="J44" si="9">I44</f>
        <v>0</v>
      </c>
      <c r="K44" s="242">
        <f t="shared" ref="K44" si="10">J44</f>
        <v>0</v>
      </c>
      <c r="L44" s="80"/>
      <c r="M44" s="50"/>
    </row>
    <row r="45" spans="2:13" ht="12" customHeight="1">
      <c r="B45" s="48"/>
      <c r="C45" s="77"/>
      <c r="D45" s="79" t="s">
        <v>212</v>
      </c>
      <c r="E45" s="79"/>
      <c r="F45" s="191"/>
      <c r="G45" s="79"/>
      <c r="H45" s="242">
        <v>0</v>
      </c>
      <c r="I45" s="241">
        <f t="shared" ref="I45:K52" si="11">H45</f>
        <v>0</v>
      </c>
      <c r="J45" s="242">
        <f t="shared" ref="J45:K52" si="12">I45</f>
        <v>0</v>
      </c>
      <c r="K45" s="242">
        <f t="shared" si="12"/>
        <v>0</v>
      </c>
      <c r="L45" s="80"/>
      <c r="M45" s="50"/>
    </row>
    <row r="46" spans="2:13" ht="12" customHeight="1">
      <c r="B46" s="48"/>
      <c r="C46" s="77"/>
      <c r="D46" s="79" t="s">
        <v>236</v>
      </c>
      <c r="E46" s="79"/>
      <c r="F46" s="191"/>
      <c r="G46" s="79"/>
      <c r="H46" s="242">
        <v>0</v>
      </c>
      <c r="I46" s="241">
        <f t="shared" si="11"/>
        <v>0</v>
      </c>
      <c r="J46" s="242">
        <f t="shared" si="11"/>
        <v>0</v>
      </c>
      <c r="K46" s="242">
        <f t="shared" si="11"/>
        <v>0</v>
      </c>
      <c r="L46" s="80"/>
      <c r="M46" s="50"/>
    </row>
    <row r="47" spans="2:13" ht="12" customHeight="1">
      <c r="B47" s="48"/>
      <c r="C47" s="77"/>
      <c r="D47" s="79" t="s">
        <v>237</v>
      </c>
      <c r="E47" s="79"/>
      <c r="F47" s="191"/>
      <c r="G47" s="79"/>
      <c r="H47" s="242">
        <v>0</v>
      </c>
      <c r="I47" s="241">
        <f t="shared" si="11"/>
        <v>0</v>
      </c>
      <c r="J47" s="242">
        <f t="shared" si="11"/>
        <v>0</v>
      </c>
      <c r="K47" s="242">
        <f t="shared" si="11"/>
        <v>0</v>
      </c>
      <c r="L47" s="80"/>
      <c r="M47" s="50"/>
    </row>
    <row r="48" spans="2:13" ht="12" customHeight="1">
      <c r="B48" s="48"/>
      <c r="C48" s="77"/>
      <c r="D48" s="591"/>
      <c r="E48" s="79"/>
      <c r="F48" s="191"/>
      <c r="G48" s="79"/>
      <c r="H48" s="242">
        <v>0</v>
      </c>
      <c r="I48" s="241">
        <f t="shared" ref="I48:I50" si="13">H48</f>
        <v>0</v>
      </c>
      <c r="J48" s="242">
        <f t="shared" ref="J48:J50" si="14">I48</f>
        <v>0</v>
      </c>
      <c r="K48" s="242">
        <f t="shared" ref="K48:K50" si="15">J48</f>
        <v>0</v>
      </c>
      <c r="L48" s="80"/>
      <c r="M48" s="50"/>
    </row>
    <row r="49" spans="2:13" ht="12" customHeight="1">
      <c r="B49" s="48"/>
      <c r="C49" s="77"/>
      <c r="D49" s="591"/>
      <c r="E49" s="79"/>
      <c r="F49" s="191"/>
      <c r="G49" s="79"/>
      <c r="H49" s="242">
        <v>0</v>
      </c>
      <c r="I49" s="241">
        <f t="shared" si="13"/>
        <v>0</v>
      </c>
      <c r="J49" s="242">
        <f t="shared" si="14"/>
        <v>0</v>
      </c>
      <c r="K49" s="242">
        <f t="shared" si="15"/>
        <v>0</v>
      </c>
      <c r="L49" s="80"/>
      <c r="M49" s="50"/>
    </row>
    <row r="50" spans="2:13" ht="12" customHeight="1">
      <c r="B50" s="48"/>
      <c r="C50" s="77"/>
      <c r="D50" s="591"/>
      <c r="E50" s="79"/>
      <c r="F50" s="191"/>
      <c r="G50" s="79"/>
      <c r="H50" s="242">
        <v>0</v>
      </c>
      <c r="I50" s="241">
        <f t="shared" si="13"/>
        <v>0</v>
      </c>
      <c r="J50" s="242">
        <f t="shared" si="14"/>
        <v>0</v>
      </c>
      <c r="K50" s="242">
        <f t="shared" si="15"/>
        <v>0</v>
      </c>
      <c r="L50" s="80"/>
      <c r="M50" s="50"/>
    </row>
    <row r="51" spans="2:13" ht="12" customHeight="1">
      <c r="B51" s="48"/>
      <c r="C51" s="77"/>
      <c r="D51" s="243"/>
      <c r="E51" s="79"/>
      <c r="F51" s="191"/>
      <c r="G51" s="79"/>
      <c r="H51" s="242">
        <v>0</v>
      </c>
      <c r="I51" s="241">
        <f t="shared" si="11"/>
        <v>0</v>
      </c>
      <c r="J51" s="242">
        <f t="shared" si="12"/>
        <v>0</v>
      </c>
      <c r="K51" s="242">
        <f t="shared" si="12"/>
        <v>0</v>
      </c>
      <c r="L51" s="80"/>
      <c r="M51" s="50"/>
    </row>
    <row r="52" spans="2:13" ht="12" customHeight="1">
      <c r="B52" s="48"/>
      <c r="C52" s="77"/>
      <c r="D52" s="243"/>
      <c r="E52" s="79"/>
      <c r="F52" s="191"/>
      <c r="G52" s="79"/>
      <c r="H52" s="242">
        <v>0</v>
      </c>
      <c r="I52" s="241">
        <f t="shared" si="11"/>
        <v>0</v>
      </c>
      <c r="J52" s="242">
        <f t="shared" si="12"/>
        <v>0</v>
      </c>
      <c r="K52" s="242">
        <f t="shared" si="12"/>
        <v>0</v>
      </c>
      <c r="L52" s="80"/>
      <c r="M52" s="50"/>
    </row>
    <row r="53" spans="2:13" ht="12" customHeight="1">
      <c r="B53" s="48"/>
      <c r="C53" s="77"/>
      <c r="D53" s="78"/>
      <c r="E53" s="79"/>
      <c r="F53" s="191"/>
      <c r="G53" s="79"/>
      <c r="H53" s="202"/>
      <c r="I53" s="202"/>
      <c r="J53" s="202"/>
      <c r="K53" s="202"/>
      <c r="L53" s="80"/>
      <c r="M53" s="50"/>
    </row>
    <row r="54" spans="2:13" ht="12" customHeight="1">
      <c r="B54" s="48"/>
      <c r="C54" s="77"/>
      <c r="D54" s="195" t="s">
        <v>77</v>
      </c>
      <c r="E54" s="79"/>
      <c r="F54" s="191"/>
      <c r="G54" s="79"/>
      <c r="H54" s="250">
        <f>SUM(H44:H52)</f>
        <v>0</v>
      </c>
      <c r="I54" s="250">
        <f>SUM(I44:I52)</f>
        <v>0</v>
      </c>
      <c r="J54" s="250">
        <f>SUM(J44:J52)</f>
        <v>0</v>
      </c>
      <c r="K54" s="250">
        <f>SUM(K44:K52)</f>
        <v>0</v>
      </c>
      <c r="L54" s="80"/>
      <c r="M54" s="50"/>
    </row>
    <row r="55" spans="2:13" ht="12" customHeight="1">
      <c r="B55" s="48"/>
      <c r="C55" s="77"/>
      <c r="D55" s="78"/>
      <c r="E55" s="79"/>
      <c r="F55" s="191"/>
      <c r="G55" s="79"/>
      <c r="H55" s="202"/>
      <c r="I55" s="202"/>
      <c r="J55" s="202"/>
      <c r="K55" s="202"/>
      <c r="L55" s="80"/>
      <c r="M55" s="50"/>
    </row>
    <row r="56" spans="2:13" ht="12" customHeight="1">
      <c r="B56" s="48"/>
      <c r="C56" s="49"/>
      <c r="D56" s="163"/>
      <c r="E56" s="49"/>
      <c r="F56" s="164"/>
      <c r="G56" s="49"/>
      <c r="H56" s="165"/>
      <c r="I56" s="165"/>
      <c r="J56" s="165"/>
      <c r="K56" s="165"/>
      <c r="L56" s="49"/>
      <c r="M56" s="50"/>
    </row>
    <row r="57" spans="2:13" ht="12" customHeight="1">
      <c r="B57" s="48"/>
      <c r="C57" s="77"/>
      <c r="D57" s="78"/>
      <c r="E57" s="79"/>
      <c r="F57" s="191"/>
      <c r="G57" s="79"/>
      <c r="H57" s="202"/>
      <c r="I57" s="202"/>
      <c r="J57" s="202"/>
      <c r="K57" s="202"/>
      <c r="L57" s="80"/>
      <c r="M57" s="50"/>
    </row>
    <row r="58" spans="2:13">
      <c r="B58" s="48"/>
      <c r="C58" s="77"/>
      <c r="D58" s="193" t="s">
        <v>214</v>
      </c>
      <c r="E58" s="195"/>
      <c r="F58" s="199"/>
      <c r="G58" s="195"/>
      <c r="H58" s="252">
        <f>H26+H38+H54</f>
        <v>0</v>
      </c>
      <c r="I58" s="252">
        <f>I26+I38+I54</f>
        <v>0</v>
      </c>
      <c r="J58" s="252">
        <f>J26+J38+J54</f>
        <v>0</v>
      </c>
      <c r="K58" s="252">
        <f>K26+K38+K54</f>
        <v>0</v>
      </c>
      <c r="L58" s="80"/>
      <c r="M58" s="50"/>
    </row>
    <row r="59" spans="2:13">
      <c r="B59" s="48"/>
      <c r="C59" s="77"/>
      <c r="D59" s="203"/>
      <c r="E59" s="195"/>
      <c r="F59" s="199"/>
      <c r="G59" s="195"/>
      <c r="H59" s="204"/>
      <c r="I59" s="204"/>
      <c r="J59" s="204"/>
      <c r="K59" s="204"/>
      <c r="L59" s="80"/>
      <c r="M59" s="50"/>
    </row>
    <row r="60" spans="2:13">
      <c r="B60" s="48"/>
      <c r="C60" s="49"/>
      <c r="D60" s="163"/>
      <c r="E60" s="49"/>
      <c r="F60" s="164"/>
      <c r="G60" s="49"/>
      <c r="H60" s="165"/>
      <c r="I60" s="165"/>
      <c r="J60" s="165"/>
      <c r="K60" s="165"/>
      <c r="L60" s="49"/>
      <c r="M60" s="50"/>
    </row>
    <row r="61" spans="2:13">
      <c r="B61" s="48"/>
      <c r="C61" s="49"/>
      <c r="D61" s="163"/>
      <c r="E61" s="49"/>
      <c r="F61" s="164"/>
      <c r="G61" s="49"/>
      <c r="H61" s="165"/>
      <c r="I61" s="165"/>
      <c r="J61" s="165"/>
      <c r="K61" s="165"/>
      <c r="L61" s="49"/>
      <c r="M61" s="50"/>
    </row>
    <row r="62" spans="2:13">
      <c r="B62" s="48"/>
      <c r="C62" s="77"/>
      <c r="D62" s="79"/>
      <c r="E62" s="79"/>
      <c r="F62" s="191"/>
      <c r="G62" s="79"/>
      <c r="H62" s="84"/>
      <c r="I62" s="84"/>
      <c r="J62" s="84"/>
      <c r="K62" s="84"/>
      <c r="L62" s="80"/>
      <c r="M62" s="50"/>
    </row>
    <row r="63" spans="2:13">
      <c r="B63" s="48"/>
      <c r="C63" s="77"/>
      <c r="D63" s="196" t="s">
        <v>267</v>
      </c>
      <c r="E63" s="79"/>
      <c r="F63" s="191"/>
      <c r="G63" s="79"/>
      <c r="H63" s="84"/>
      <c r="I63" s="84"/>
      <c r="J63" s="84"/>
      <c r="K63" s="84"/>
      <c r="L63" s="80"/>
      <c r="M63" s="50"/>
    </row>
    <row r="64" spans="2:13">
      <c r="B64" s="48"/>
      <c r="C64" s="77"/>
      <c r="D64" s="195"/>
      <c r="E64" s="79"/>
      <c r="F64" s="245" t="s">
        <v>217</v>
      </c>
      <c r="G64" s="79"/>
      <c r="H64" s="84"/>
      <c r="I64" s="84"/>
      <c r="J64" s="84"/>
      <c r="K64" s="84"/>
      <c r="L64" s="80"/>
      <c r="M64" s="50"/>
    </row>
    <row r="65" spans="2:26">
      <c r="B65" s="48"/>
      <c r="C65" s="77"/>
      <c r="D65" s="81" t="s">
        <v>269</v>
      </c>
      <c r="E65" s="79"/>
      <c r="F65" s="205"/>
      <c r="G65" s="79"/>
      <c r="H65" s="84"/>
      <c r="I65" s="84"/>
      <c r="J65" s="84"/>
      <c r="K65" s="84"/>
      <c r="L65" s="80"/>
      <c r="M65" s="50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spans="2:26">
      <c r="B66" s="48"/>
      <c r="C66" s="77"/>
      <c r="D66" s="78" t="s">
        <v>292</v>
      </c>
      <c r="E66" s="85"/>
      <c r="F66" s="205"/>
      <c r="G66" s="85"/>
      <c r="H66" s="258">
        <f>(7/12*loon!T35)+(5/12*loon!T67)</f>
        <v>0</v>
      </c>
      <c r="I66" s="258">
        <f>(7/12*loon!T67)+(5/12*loon!T100)</f>
        <v>0</v>
      </c>
      <c r="J66" s="258">
        <f>(7/12*loon!T100)+(5/12*loon!T132)</f>
        <v>0</v>
      </c>
      <c r="K66" s="258">
        <f>(7/12*loon!T132)+(5/12*loon!T164)</f>
        <v>0</v>
      </c>
      <c r="L66" s="80"/>
      <c r="M66" s="50"/>
    </row>
    <row r="67" spans="2:26">
      <c r="B67" s="48"/>
      <c r="C67" s="77"/>
      <c r="D67" s="195"/>
      <c r="E67" s="85"/>
      <c r="F67" s="205"/>
      <c r="G67" s="85"/>
      <c r="H67" s="206"/>
      <c r="I67" s="206"/>
      <c r="J67" s="206"/>
      <c r="K67" s="206"/>
      <c r="L67" s="80"/>
      <c r="M67" s="50"/>
    </row>
    <row r="68" spans="2:26">
      <c r="B68" s="48"/>
      <c r="C68" s="77"/>
      <c r="D68" s="207" t="s">
        <v>88</v>
      </c>
      <c r="E68" s="85"/>
      <c r="F68" s="205"/>
      <c r="G68" s="85"/>
      <c r="H68" s="79"/>
      <c r="I68" s="79"/>
      <c r="J68" s="79"/>
      <c r="K68" s="79"/>
      <c r="L68" s="80"/>
      <c r="M68" s="50"/>
    </row>
    <row r="69" spans="2:26">
      <c r="B69" s="48"/>
      <c r="C69" s="77"/>
      <c r="D69" s="79" t="s">
        <v>279</v>
      </c>
      <c r="E69" s="85"/>
      <c r="F69" s="244"/>
      <c r="G69" s="85"/>
      <c r="H69" s="241">
        <v>0</v>
      </c>
      <c r="I69" s="241">
        <f t="shared" ref="I69:K88" si="16">H69</f>
        <v>0</v>
      </c>
      <c r="J69" s="241">
        <f t="shared" si="16"/>
        <v>0</v>
      </c>
      <c r="K69" s="241">
        <f t="shared" si="16"/>
        <v>0</v>
      </c>
      <c r="L69" s="80"/>
      <c r="M69" s="50"/>
    </row>
    <row r="70" spans="2:26">
      <c r="B70" s="48"/>
      <c r="C70" s="77"/>
      <c r="D70" s="240"/>
      <c r="E70" s="85"/>
      <c r="F70" s="244"/>
      <c r="G70" s="85"/>
      <c r="H70" s="241">
        <v>0</v>
      </c>
      <c r="I70" s="241">
        <f t="shared" si="16"/>
        <v>0</v>
      </c>
      <c r="J70" s="241">
        <f t="shared" si="16"/>
        <v>0</v>
      </c>
      <c r="K70" s="241">
        <f t="shared" si="16"/>
        <v>0</v>
      </c>
      <c r="L70" s="80"/>
      <c r="M70" s="50"/>
    </row>
    <row r="71" spans="2:26">
      <c r="B71" s="48"/>
      <c r="C71" s="77"/>
      <c r="D71" s="240"/>
      <c r="E71" s="85"/>
      <c r="F71" s="244"/>
      <c r="G71" s="85"/>
      <c r="H71" s="241">
        <v>0</v>
      </c>
      <c r="I71" s="241">
        <f t="shared" si="16"/>
        <v>0</v>
      </c>
      <c r="J71" s="241">
        <f t="shared" si="16"/>
        <v>0</v>
      </c>
      <c r="K71" s="241">
        <f t="shared" si="16"/>
        <v>0</v>
      </c>
      <c r="L71" s="80"/>
      <c r="M71" s="50"/>
    </row>
    <row r="72" spans="2:26">
      <c r="B72" s="48"/>
      <c r="C72" s="77"/>
      <c r="D72" s="240"/>
      <c r="E72" s="85"/>
      <c r="F72" s="244"/>
      <c r="G72" s="85"/>
      <c r="H72" s="241">
        <v>0</v>
      </c>
      <c r="I72" s="241">
        <f t="shared" si="16"/>
        <v>0</v>
      </c>
      <c r="J72" s="241">
        <f t="shared" si="16"/>
        <v>0</v>
      </c>
      <c r="K72" s="241">
        <f t="shared" si="16"/>
        <v>0</v>
      </c>
      <c r="L72" s="80"/>
      <c r="M72" s="50"/>
    </row>
    <row r="73" spans="2:26">
      <c r="B73" s="48"/>
      <c r="C73" s="77"/>
      <c r="D73" s="240"/>
      <c r="E73" s="85"/>
      <c r="F73" s="244"/>
      <c r="G73" s="85"/>
      <c r="H73" s="241">
        <v>0</v>
      </c>
      <c r="I73" s="241">
        <f t="shared" si="16"/>
        <v>0</v>
      </c>
      <c r="J73" s="241">
        <f t="shared" si="16"/>
        <v>0</v>
      </c>
      <c r="K73" s="241">
        <f t="shared" si="16"/>
        <v>0</v>
      </c>
      <c r="L73" s="80"/>
      <c r="M73" s="50"/>
    </row>
    <row r="74" spans="2:26">
      <c r="B74" s="48"/>
      <c r="C74" s="77"/>
      <c r="D74" s="240"/>
      <c r="E74" s="85"/>
      <c r="F74" s="244"/>
      <c r="G74" s="85"/>
      <c r="H74" s="241">
        <v>0</v>
      </c>
      <c r="I74" s="241">
        <f t="shared" si="16"/>
        <v>0</v>
      </c>
      <c r="J74" s="241">
        <f t="shared" si="16"/>
        <v>0</v>
      </c>
      <c r="K74" s="241">
        <f t="shared" si="16"/>
        <v>0</v>
      </c>
      <c r="L74" s="80"/>
      <c r="M74" s="50"/>
    </row>
    <row r="75" spans="2:26">
      <c r="B75" s="48"/>
      <c r="C75" s="77"/>
      <c r="D75" s="240"/>
      <c r="E75" s="85"/>
      <c r="F75" s="244"/>
      <c r="G75" s="85"/>
      <c r="H75" s="241">
        <v>0</v>
      </c>
      <c r="I75" s="241">
        <f t="shared" si="16"/>
        <v>0</v>
      </c>
      <c r="J75" s="241">
        <f t="shared" si="16"/>
        <v>0</v>
      </c>
      <c r="K75" s="241">
        <f t="shared" si="16"/>
        <v>0</v>
      </c>
      <c r="L75" s="80"/>
      <c r="M75" s="50"/>
    </row>
    <row r="76" spans="2:26">
      <c r="B76" s="48"/>
      <c r="C76" s="77"/>
      <c r="D76" s="240"/>
      <c r="E76" s="85"/>
      <c r="F76" s="244"/>
      <c r="G76" s="85"/>
      <c r="H76" s="241">
        <v>0</v>
      </c>
      <c r="I76" s="241">
        <f t="shared" si="16"/>
        <v>0</v>
      </c>
      <c r="J76" s="241">
        <f t="shared" si="16"/>
        <v>0</v>
      </c>
      <c r="K76" s="241">
        <f t="shared" si="16"/>
        <v>0</v>
      </c>
      <c r="L76" s="80"/>
      <c r="M76" s="50"/>
    </row>
    <row r="77" spans="2:26">
      <c r="B77" s="48"/>
      <c r="C77" s="77"/>
      <c r="D77" s="240"/>
      <c r="E77" s="85"/>
      <c r="F77" s="244"/>
      <c r="G77" s="85"/>
      <c r="H77" s="241">
        <v>0</v>
      </c>
      <c r="I77" s="241">
        <f t="shared" si="16"/>
        <v>0</v>
      </c>
      <c r="J77" s="241">
        <f t="shared" si="16"/>
        <v>0</v>
      </c>
      <c r="K77" s="241">
        <f t="shared" si="16"/>
        <v>0</v>
      </c>
      <c r="L77" s="80"/>
      <c r="M77" s="50"/>
    </row>
    <row r="78" spans="2:26">
      <c r="B78" s="48"/>
      <c r="C78" s="77"/>
      <c r="D78" s="240"/>
      <c r="E78" s="85"/>
      <c r="F78" s="244"/>
      <c r="G78" s="85"/>
      <c r="H78" s="241">
        <v>0</v>
      </c>
      <c r="I78" s="241">
        <f t="shared" si="16"/>
        <v>0</v>
      </c>
      <c r="J78" s="241">
        <f t="shared" si="16"/>
        <v>0</v>
      </c>
      <c r="K78" s="241">
        <f t="shared" si="16"/>
        <v>0</v>
      </c>
      <c r="L78" s="80"/>
      <c r="M78" s="50"/>
    </row>
    <row r="79" spans="2:26">
      <c r="B79" s="48"/>
      <c r="C79" s="77"/>
      <c r="D79" s="240"/>
      <c r="E79" s="85"/>
      <c r="F79" s="244"/>
      <c r="G79" s="85"/>
      <c r="H79" s="241">
        <v>0</v>
      </c>
      <c r="I79" s="241">
        <f t="shared" si="16"/>
        <v>0</v>
      </c>
      <c r="J79" s="241">
        <f t="shared" si="16"/>
        <v>0</v>
      </c>
      <c r="K79" s="241">
        <f t="shared" si="16"/>
        <v>0</v>
      </c>
      <c r="L79" s="80"/>
      <c r="M79" s="50"/>
    </row>
    <row r="80" spans="2:26">
      <c r="B80" s="48"/>
      <c r="C80" s="77"/>
      <c r="D80" s="240"/>
      <c r="E80" s="85"/>
      <c r="F80" s="244"/>
      <c r="G80" s="85"/>
      <c r="H80" s="241">
        <v>0</v>
      </c>
      <c r="I80" s="241">
        <f t="shared" ref="I80:K84" si="17">H80</f>
        <v>0</v>
      </c>
      <c r="J80" s="241">
        <f t="shared" si="17"/>
        <v>0</v>
      </c>
      <c r="K80" s="241">
        <f t="shared" si="17"/>
        <v>0</v>
      </c>
      <c r="L80" s="80"/>
      <c r="M80" s="50"/>
    </row>
    <row r="81" spans="2:26">
      <c r="B81" s="48"/>
      <c r="C81" s="77"/>
      <c r="D81" s="240"/>
      <c r="E81" s="85"/>
      <c r="F81" s="244"/>
      <c r="G81" s="85"/>
      <c r="H81" s="241">
        <v>0</v>
      </c>
      <c r="I81" s="241">
        <f t="shared" si="17"/>
        <v>0</v>
      </c>
      <c r="J81" s="241">
        <f t="shared" si="17"/>
        <v>0</v>
      </c>
      <c r="K81" s="241">
        <f t="shared" si="17"/>
        <v>0</v>
      </c>
      <c r="L81" s="80"/>
      <c r="M81" s="50"/>
    </row>
    <row r="82" spans="2:26">
      <c r="B82" s="48"/>
      <c r="C82" s="77"/>
      <c r="D82" s="240"/>
      <c r="E82" s="85"/>
      <c r="F82" s="244"/>
      <c r="G82" s="85"/>
      <c r="H82" s="241">
        <v>0</v>
      </c>
      <c r="I82" s="241">
        <f t="shared" si="17"/>
        <v>0</v>
      </c>
      <c r="J82" s="241">
        <f t="shared" si="17"/>
        <v>0</v>
      </c>
      <c r="K82" s="241">
        <f t="shared" si="17"/>
        <v>0</v>
      </c>
      <c r="L82" s="80"/>
      <c r="M82" s="50"/>
    </row>
    <row r="83" spans="2:26">
      <c r="B83" s="48"/>
      <c r="C83" s="77"/>
      <c r="D83" s="240"/>
      <c r="E83" s="85"/>
      <c r="F83" s="244"/>
      <c r="G83" s="85"/>
      <c r="H83" s="241">
        <v>0</v>
      </c>
      <c r="I83" s="241">
        <f t="shared" si="17"/>
        <v>0</v>
      </c>
      <c r="J83" s="241">
        <f t="shared" si="17"/>
        <v>0</v>
      </c>
      <c r="K83" s="241">
        <f t="shared" si="17"/>
        <v>0</v>
      </c>
      <c r="L83" s="80"/>
      <c r="M83" s="50"/>
    </row>
    <row r="84" spans="2:26">
      <c r="B84" s="48"/>
      <c r="C84" s="77"/>
      <c r="D84" s="240"/>
      <c r="E84" s="85"/>
      <c r="F84" s="244"/>
      <c r="G84" s="85"/>
      <c r="H84" s="241">
        <v>0</v>
      </c>
      <c r="I84" s="241">
        <f t="shared" si="17"/>
        <v>0</v>
      </c>
      <c r="J84" s="241">
        <f t="shared" si="17"/>
        <v>0</v>
      </c>
      <c r="K84" s="241">
        <f t="shared" si="17"/>
        <v>0</v>
      </c>
      <c r="L84" s="80"/>
      <c r="M84" s="50"/>
    </row>
    <row r="85" spans="2:26">
      <c r="B85" s="48"/>
      <c r="C85" s="77"/>
      <c r="D85" s="240"/>
      <c r="E85" s="85"/>
      <c r="F85" s="244"/>
      <c r="G85" s="85"/>
      <c r="H85" s="241">
        <v>0</v>
      </c>
      <c r="I85" s="241">
        <f t="shared" si="16"/>
        <v>0</v>
      </c>
      <c r="J85" s="241">
        <f t="shared" si="16"/>
        <v>0</v>
      </c>
      <c r="K85" s="241">
        <f t="shared" si="16"/>
        <v>0</v>
      </c>
      <c r="L85" s="80"/>
      <c r="M85" s="50"/>
    </row>
    <row r="86" spans="2:26">
      <c r="B86" s="48"/>
      <c r="C86" s="77"/>
      <c r="D86" s="240"/>
      <c r="E86" s="85"/>
      <c r="F86" s="244"/>
      <c r="G86" s="85"/>
      <c r="H86" s="241">
        <v>0</v>
      </c>
      <c r="I86" s="241">
        <f t="shared" si="16"/>
        <v>0</v>
      </c>
      <c r="J86" s="241">
        <f t="shared" si="16"/>
        <v>0</v>
      </c>
      <c r="K86" s="241">
        <f t="shared" si="16"/>
        <v>0</v>
      </c>
      <c r="L86" s="80"/>
      <c r="M86" s="50"/>
    </row>
    <row r="87" spans="2:26">
      <c r="B87" s="48"/>
      <c r="C87" s="77"/>
      <c r="D87" s="240"/>
      <c r="E87" s="85"/>
      <c r="F87" s="244"/>
      <c r="G87" s="85"/>
      <c r="H87" s="241">
        <v>0</v>
      </c>
      <c r="I87" s="241">
        <f t="shared" si="16"/>
        <v>0</v>
      </c>
      <c r="J87" s="241">
        <f t="shared" si="16"/>
        <v>0</v>
      </c>
      <c r="K87" s="241">
        <f t="shared" si="16"/>
        <v>0</v>
      </c>
      <c r="L87" s="80"/>
      <c r="M87" s="50"/>
    </row>
    <row r="88" spans="2:26">
      <c r="B88" s="48"/>
      <c r="C88" s="77"/>
      <c r="D88" s="240"/>
      <c r="E88" s="85"/>
      <c r="F88" s="244"/>
      <c r="G88" s="85"/>
      <c r="H88" s="241">
        <v>0</v>
      </c>
      <c r="I88" s="241">
        <f t="shared" si="16"/>
        <v>0</v>
      </c>
      <c r="J88" s="241">
        <f t="shared" si="16"/>
        <v>0</v>
      </c>
      <c r="K88" s="241">
        <f t="shared" si="16"/>
        <v>0</v>
      </c>
      <c r="L88" s="80"/>
      <c r="M88" s="50"/>
    </row>
    <row r="89" spans="2:26">
      <c r="B89" s="48"/>
      <c r="C89" s="77"/>
      <c r="D89" s="78"/>
      <c r="E89" s="85"/>
      <c r="F89" s="208"/>
      <c r="G89" s="85"/>
      <c r="H89" s="198"/>
      <c r="I89" s="198"/>
      <c r="J89" s="198"/>
      <c r="K89" s="198"/>
      <c r="L89" s="80"/>
      <c r="M89" s="50"/>
    </row>
    <row r="90" spans="2:26" s="106" customFormat="1">
      <c r="B90" s="169"/>
      <c r="C90" s="209"/>
      <c r="D90" s="195" t="s">
        <v>77</v>
      </c>
      <c r="E90" s="195"/>
      <c r="F90" s="210"/>
      <c r="G90" s="195"/>
      <c r="H90" s="254">
        <f>SUM(H69:H88)</f>
        <v>0</v>
      </c>
      <c r="I90" s="254">
        <f>SUM(I69:I88)</f>
        <v>0</v>
      </c>
      <c r="J90" s="254">
        <f>SUM(J69:J88)</f>
        <v>0</v>
      </c>
      <c r="K90" s="254">
        <f>SUM(K69:K88)</f>
        <v>0</v>
      </c>
      <c r="L90" s="212"/>
      <c r="M90" s="170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2:26">
      <c r="B91" s="48"/>
      <c r="C91" s="88"/>
      <c r="D91" s="228"/>
      <c r="E91" s="229"/>
      <c r="F91" s="230"/>
      <c r="G91" s="229"/>
      <c r="H91" s="231"/>
      <c r="I91" s="231"/>
      <c r="J91" s="231"/>
      <c r="K91" s="231"/>
      <c r="L91" s="91"/>
      <c r="M91" s="50"/>
    </row>
    <row r="92" spans="2:26">
      <c r="B92" s="48"/>
      <c r="C92" s="49"/>
      <c r="D92" s="67"/>
      <c r="E92" s="66"/>
      <c r="F92" s="171"/>
      <c r="G92" s="66"/>
      <c r="H92" s="172"/>
      <c r="I92" s="172"/>
      <c r="J92" s="172"/>
      <c r="K92" s="172"/>
      <c r="L92" s="49"/>
      <c r="M92" s="50"/>
    </row>
    <row r="93" spans="2:26" ht="15">
      <c r="B93" s="69"/>
      <c r="C93" s="70"/>
      <c r="D93" s="173"/>
      <c r="E93" s="174"/>
      <c r="F93" s="175"/>
      <c r="G93" s="174"/>
      <c r="H93" s="176"/>
      <c r="I93" s="176"/>
      <c r="J93" s="176"/>
      <c r="K93" s="176"/>
      <c r="L93" s="177" t="s">
        <v>280</v>
      </c>
      <c r="M93" s="72"/>
    </row>
    <row r="94" spans="2:26">
      <c r="B94" s="43"/>
      <c r="C94" s="44"/>
      <c r="D94" s="178"/>
      <c r="E94" s="45"/>
      <c r="F94" s="588"/>
      <c r="G94" s="45"/>
      <c r="H94" s="589"/>
      <c r="I94" s="589"/>
      <c r="J94" s="589"/>
      <c r="K94" s="589"/>
      <c r="L94" s="44"/>
      <c r="M94" s="47"/>
    </row>
    <row r="95" spans="2:26">
      <c r="B95" s="48"/>
      <c r="C95" s="49"/>
      <c r="D95" s="67"/>
      <c r="E95" s="66"/>
      <c r="F95" s="171"/>
      <c r="G95" s="66"/>
      <c r="H95" s="172"/>
      <c r="I95" s="172"/>
      <c r="J95" s="172"/>
      <c r="K95" s="172"/>
      <c r="L95" s="49"/>
      <c r="M95" s="50"/>
    </row>
    <row r="96" spans="2:26">
      <c r="B96" s="48"/>
      <c r="C96" s="49"/>
      <c r="D96" s="67"/>
      <c r="E96" s="66"/>
      <c r="F96" s="171"/>
      <c r="G96" s="66"/>
      <c r="H96" s="179">
        <f>H8</f>
        <v>2014</v>
      </c>
      <c r="I96" s="179">
        <f>I8</f>
        <v>2015</v>
      </c>
      <c r="J96" s="179">
        <f>J8</f>
        <v>2016</v>
      </c>
      <c r="K96" s="179">
        <f>K8</f>
        <v>2017</v>
      </c>
      <c r="L96" s="49"/>
      <c r="M96" s="50"/>
    </row>
    <row r="97" spans="2:13">
      <c r="B97" s="48"/>
      <c r="C97" s="49"/>
      <c r="D97" s="67"/>
      <c r="E97" s="66"/>
      <c r="F97" s="171"/>
      <c r="G97" s="66"/>
      <c r="H97" s="172"/>
      <c r="I97" s="172"/>
      <c r="J97" s="172"/>
      <c r="K97" s="172"/>
      <c r="L97" s="49"/>
      <c r="M97" s="50"/>
    </row>
    <row r="98" spans="2:13">
      <c r="B98" s="48"/>
      <c r="E98" s="40"/>
      <c r="F98" s="155"/>
      <c r="G98" s="40"/>
      <c r="H98" s="146"/>
      <c r="I98" s="146"/>
      <c r="J98" s="146"/>
      <c r="K98" s="146"/>
      <c r="M98" s="50"/>
    </row>
    <row r="99" spans="2:13">
      <c r="B99" s="48"/>
      <c r="C99" s="73"/>
      <c r="D99" s="232" t="s">
        <v>68</v>
      </c>
      <c r="E99" s="74"/>
      <c r="F99" s="246" t="s">
        <v>217</v>
      </c>
      <c r="G99" s="74"/>
      <c r="H99" s="233"/>
      <c r="I99" s="233"/>
      <c r="J99" s="234"/>
      <c r="K99" s="234"/>
      <c r="L99" s="189"/>
      <c r="M99" s="50"/>
    </row>
    <row r="100" spans="2:13">
      <c r="B100" s="48"/>
      <c r="C100" s="77"/>
      <c r="D100" s="79"/>
      <c r="E100" s="79"/>
      <c r="F100" s="215"/>
      <c r="G100" s="79"/>
      <c r="H100" s="214"/>
      <c r="I100" s="214"/>
      <c r="J100" s="213"/>
      <c r="K100" s="213"/>
      <c r="L100" s="80"/>
      <c r="M100" s="50"/>
    </row>
    <row r="101" spans="2:13">
      <c r="B101" s="48"/>
      <c r="C101" s="77"/>
      <c r="D101" s="79" t="s">
        <v>56</v>
      </c>
      <c r="E101" s="79"/>
      <c r="F101" s="244"/>
      <c r="G101" s="79"/>
      <c r="H101" s="259">
        <f>act!G34+act!G42</f>
        <v>0</v>
      </c>
      <c r="I101" s="259">
        <f>act!H34+act!H42</f>
        <v>0</v>
      </c>
      <c r="J101" s="259">
        <f>act!I34+act!I42</f>
        <v>0</v>
      </c>
      <c r="K101" s="259">
        <f>act!J34+act!J42</f>
        <v>0</v>
      </c>
      <c r="L101" s="80"/>
      <c r="M101" s="50"/>
    </row>
    <row r="102" spans="2:13">
      <c r="B102" s="48"/>
      <c r="C102" s="77"/>
      <c r="D102" s="79" t="s">
        <v>57</v>
      </c>
      <c r="E102" s="79"/>
      <c r="F102" s="244"/>
      <c r="G102" s="79"/>
      <c r="H102" s="259">
        <f>act!G35+act!G43</f>
        <v>0</v>
      </c>
      <c r="I102" s="259">
        <f>act!H35+act!H43</f>
        <v>0</v>
      </c>
      <c r="J102" s="259">
        <f>act!I35+act!I43</f>
        <v>0</v>
      </c>
      <c r="K102" s="259">
        <f>act!J35+act!J43</f>
        <v>0</v>
      </c>
      <c r="L102" s="80"/>
      <c r="M102" s="50"/>
    </row>
    <row r="103" spans="2:13">
      <c r="B103" s="48"/>
      <c r="C103" s="77"/>
      <c r="D103" s="216" t="s">
        <v>158</v>
      </c>
      <c r="E103" s="79"/>
      <c r="F103" s="244"/>
      <c r="G103" s="79"/>
      <c r="H103" s="259">
        <f>act!G36+act!G44</f>
        <v>0</v>
      </c>
      <c r="I103" s="259">
        <f>act!H36+act!H44</f>
        <v>0</v>
      </c>
      <c r="J103" s="259">
        <f>act!I36+act!I44</f>
        <v>0</v>
      </c>
      <c r="K103" s="259">
        <f>act!J36+act!J44</f>
        <v>0</v>
      </c>
      <c r="L103" s="80"/>
      <c r="M103" s="50"/>
    </row>
    <row r="104" spans="2:13">
      <c r="B104" s="48"/>
      <c r="C104" s="77"/>
      <c r="D104" s="216" t="s">
        <v>159</v>
      </c>
      <c r="E104" s="79"/>
      <c r="F104" s="244"/>
      <c r="G104" s="79"/>
      <c r="H104" s="259">
        <f>act!G37+act!G45</f>
        <v>0</v>
      </c>
      <c r="I104" s="259">
        <f>act!H37+act!H45</f>
        <v>0</v>
      </c>
      <c r="J104" s="259">
        <f>act!I37+act!I45</f>
        <v>0</v>
      </c>
      <c r="K104" s="259">
        <f>act!J37+act!J45</f>
        <v>0</v>
      </c>
      <c r="L104" s="80"/>
      <c r="M104" s="50"/>
    </row>
    <row r="105" spans="2:13">
      <c r="B105" s="48"/>
      <c r="C105" s="77"/>
      <c r="D105" s="79" t="s">
        <v>70</v>
      </c>
      <c r="E105" s="79"/>
      <c r="F105" s="244"/>
      <c r="G105" s="79"/>
      <c r="H105" s="259">
        <f>act!G38+act!G46</f>
        <v>0</v>
      </c>
      <c r="I105" s="259">
        <f>act!H38+act!H46</f>
        <v>0</v>
      </c>
      <c r="J105" s="259">
        <f>act!I38+act!I46</f>
        <v>0</v>
      </c>
      <c r="K105" s="259">
        <f>act!J38+act!J46</f>
        <v>0</v>
      </c>
      <c r="L105" s="80"/>
      <c r="M105" s="50"/>
    </row>
    <row r="106" spans="2:13">
      <c r="B106" s="48"/>
      <c r="C106" s="77"/>
      <c r="D106" s="79" t="s">
        <v>58</v>
      </c>
      <c r="E106" s="79"/>
      <c r="F106" s="244"/>
      <c r="G106" s="79"/>
      <c r="H106" s="259">
        <f>act!G39+act!G47</f>
        <v>0</v>
      </c>
      <c r="I106" s="259">
        <f>act!H39+act!H47</f>
        <v>0</v>
      </c>
      <c r="J106" s="259">
        <f>act!I39+act!I47</f>
        <v>0</v>
      </c>
      <c r="K106" s="259">
        <f>act!J39+act!J47</f>
        <v>0</v>
      </c>
      <c r="L106" s="80"/>
      <c r="M106" s="50"/>
    </row>
    <row r="107" spans="2:13">
      <c r="B107" s="48"/>
      <c r="C107" s="77"/>
      <c r="D107" s="79"/>
      <c r="E107" s="79"/>
      <c r="F107" s="215"/>
      <c r="G107" s="79"/>
      <c r="H107" s="214"/>
      <c r="I107" s="214"/>
      <c r="J107" s="214"/>
      <c r="K107" s="214"/>
      <c r="L107" s="80"/>
      <c r="M107" s="50"/>
    </row>
    <row r="108" spans="2:13">
      <c r="B108" s="48"/>
      <c r="C108" s="77"/>
      <c r="D108" s="195" t="s">
        <v>77</v>
      </c>
      <c r="E108" s="79"/>
      <c r="F108" s="215"/>
      <c r="G108" s="79"/>
      <c r="H108" s="255">
        <f>SUM(H101:H106)</f>
        <v>0</v>
      </c>
      <c r="I108" s="255">
        <f>SUM(I101:I106)</f>
        <v>0</v>
      </c>
      <c r="J108" s="255">
        <f>SUM(J101:J106)</f>
        <v>0</v>
      </c>
      <c r="K108" s="255">
        <f>SUM(K101:K106)</f>
        <v>0</v>
      </c>
      <c r="L108" s="80"/>
      <c r="M108" s="50"/>
    </row>
    <row r="109" spans="2:13">
      <c r="B109" s="48"/>
      <c r="C109" s="77"/>
      <c r="D109" s="87"/>
      <c r="E109" s="85"/>
      <c r="F109" s="208"/>
      <c r="G109" s="85"/>
      <c r="H109" s="213"/>
      <c r="I109" s="213"/>
      <c r="J109" s="213"/>
      <c r="K109" s="213"/>
      <c r="L109" s="80"/>
      <c r="M109" s="50"/>
    </row>
    <row r="110" spans="2:13">
      <c r="B110" s="48"/>
      <c r="C110" s="49"/>
      <c r="D110" s="163"/>
      <c r="E110" s="49"/>
      <c r="F110" s="164"/>
      <c r="G110" s="49"/>
      <c r="H110" s="165"/>
      <c r="I110" s="165"/>
      <c r="J110" s="165"/>
      <c r="K110" s="165"/>
      <c r="L110" s="49"/>
      <c r="M110" s="50"/>
    </row>
    <row r="111" spans="2:13">
      <c r="B111" s="48"/>
      <c r="C111" s="77"/>
      <c r="D111" s="87"/>
      <c r="E111" s="85"/>
      <c r="F111" s="208"/>
      <c r="G111" s="85"/>
      <c r="H111" s="213"/>
      <c r="I111" s="213"/>
      <c r="J111" s="213"/>
      <c r="K111" s="213"/>
      <c r="L111" s="80"/>
      <c r="M111" s="50"/>
    </row>
    <row r="112" spans="2:13">
      <c r="B112" s="48"/>
      <c r="C112" s="77"/>
      <c r="D112" s="196" t="s">
        <v>69</v>
      </c>
      <c r="E112" s="85"/>
      <c r="F112" s="246" t="s">
        <v>217</v>
      </c>
      <c r="G112" s="85"/>
      <c r="H112" s="213"/>
      <c r="I112" s="213"/>
      <c r="J112" s="213"/>
      <c r="K112" s="213"/>
      <c r="L112" s="80"/>
      <c r="M112" s="50"/>
    </row>
    <row r="113" spans="2:13">
      <c r="B113" s="48"/>
      <c r="C113" s="77"/>
      <c r="D113" s="85"/>
      <c r="E113" s="85"/>
      <c r="F113" s="208"/>
      <c r="G113" s="85"/>
      <c r="H113" s="213"/>
      <c r="I113" s="213"/>
      <c r="J113" s="213"/>
      <c r="K113" s="213"/>
      <c r="L113" s="80"/>
      <c r="M113" s="50"/>
    </row>
    <row r="114" spans="2:13">
      <c r="B114" s="48"/>
      <c r="C114" s="77"/>
      <c r="D114" s="217" t="s">
        <v>238</v>
      </c>
      <c r="E114" s="85"/>
      <c r="F114" s="244"/>
      <c r="G114" s="85"/>
      <c r="H114" s="260">
        <f>mop!G16</f>
        <v>0</v>
      </c>
      <c r="I114" s="260">
        <f>mop!H16</f>
        <v>0</v>
      </c>
      <c r="J114" s="260">
        <f>mop!I16</f>
        <v>0</v>
      </c>
      <c r="K114" s="260">
        <f>mop!J16</f>
        <v>0</v>
      </c>
      <c r="L114" s="80"/>
      <c r="M114" s="50"/>
    </row>
    <row r="115" spans="2:13">
      <c r="B115" s="48"/>
      <c r="C115" s="77"/>
      <c r="D115" s="247"/>
      <c r="E115" s="85"/>
      <c r="F115" s="244"/>
      <c r="G115" s="85"/>
      <c r="H115" s="241">
        <v>0</v>
      </c>
      <c r="I115" s="241">
        <f t="shared" ref="I115:K121" si="18">H115</f>
        <v>0</v>
      </c>
      <c r="J115" s="241">
        <f t="shared" si="18"/>
        <v>0</v>
      </c>
      <c r="K115" s="241">
        <f t="shared" si="18"/>
        <v>0</v>
      </c>
      <c r="L115" s="80"/>
      <c r="M115" s="50"/>
    </row>
    <row r="116" spans="2:13">
      <c r="B116" s="48"/>
      <c r="C116" s="77"/>
      <c r="D116" s="243"/>
      <c r="E116" s="85"/>
      <c r="F116" s="244"/>
      <c r="G116" s="85"/>
      <c r="H116" s="241">
        <v>0</v>
      </c>
      <c r="I116" s="241">
        <f t="shared" si="18"/>
        <v>0</v>
      </c>
      <c r="J116" s="241">
        <f t="shared" si="18"/>
        <v>0</v>
      </c>
      <c r="K116" s="241">
        <f t="shared" si="18"/>
        <v>0</v>
      </c>
      <c r="L116" s="80"/>
      <c r="M116" s="50"/>
    </row>
    <row r="117" spans="2:13">
      <c r="B117" s="48"/>
      <c r="C117" s="77"/>
      <c r="D117" s="243"/>
      <c r="E117" s="85"/>
      <c r="F117" s="244"/>
      <c r="G117" s="85"/>
      <c r="H117" s="241">
        <v>0</v>
      </c>
      <c r="I117" s="241">
        <f t="shared" si="18"/>
        <v>0</v>
      </c>
      <c r="J117" s="241">
        <f t="shared" si="18"/>
        <v>0</v>
      </c>
      <c r="K117" s="241">
        <f t="shared" si="18"/>
        <v>0</v>
      </c>
      <c r="L117" s="80"/>
      <c r="M117" s="50"/>
    </row>
    <row r="118" spans="2:13">
      <c r="B118" s="48"/>
      <c r="C118" s="77"/>
      <c r="D118" s="243"/>
      <c r="E118" s="85"/>
      <c r="F118" s="244"/>
      <c r="G118" s="85"/>
      <c r="H118" s="241">
        <v>0</v>
      </c>
      <c r="I118" s="241">
        <f t="shared" ref="I118:K119" si="19">H118</f>
        <v>0</v>
      </c>
      <c r="J118" s="241">
        <f t="shared" si="19"/>
        <v>0</v>
      </c>
      <c r="K118" s="241">
        <f t="shared" si="19"/>
        <v>0</v>
      </c>
      <c r="L118" s="80"/>
      <c r="M118" s="50"/>
    </row>
    <row r="119" spans="2:13">
      <c r="B119" s="48"/>
      <c r="C119" s="77"/>
      <c r="D119" s="243"/>
      <c r="E119" s="85"/>
      <c r="F119" s="244"/>
      <c r="G119" s="85"/>
      <c r="H119" s="241">
        <v>0</v>
      </c>
      <c r="I119" s="241">
        <f t="shared" si="19"/>
        <v>0</v>
      </c>
      <c r="J119" s="241">
        <f t="shared" si="19"/>
        <v>0</v>
      </c>
      <c r="K119" s="241">
        <f t="shared" si="19"/>
        <v>0</v>
      </c>
      <c r="L119" s="80"/>
      <c r="M119" s="50"/>
    </row>
    <row r="120" spans="2:13">
      <c r="B120" s="48"/>
      <c r="C120" s="77"/>
      <c r="D120" s="243"/>
      <c r="E120" s="85"/>
      <c r="F120" s="244"/>
      <c r="G120" s="85"/>
      <c r="H120" s="241">
        <v>0</v>
      </c>
      <c r="I120" s="241">
        <f t="shared" si="18"/>
        <v>0</v>
      </c>
      <c r="J120" s="241">
        <f t="shared" si="18"/>
        <v>0</v>
      </c>
      <c r="K120" s="241">
        <f t="shared" si="18"/>
        <v>0</v>
      </c>
      <c r="L120" s="80"/>
      <c r="M120" s="50"/>
    </row>
    <row r="121" spans="2:13">
      <c r="B121" s="48"/>
      <c r="C121" s="77"/>
      <c r="D121" s="243"/>
      <c r="E121" s="85"/>
      <c r="F121" s="244"/>
      <c r="G121" s="85"/>
      <c r="H121" s="241">
        <v>0</v>
      </c>
      <c r="I121" s="241">
        <f t="shared" si="18"/>
        <v>0</v>
      </c>
      <c r="J121" s="241">
        <f t="shared" si="18"/>
        <v>0</v>
      </c>
      <c r="K121" s="241">
        <f t="shared" si="18"/>
        <v>0</v>
      </c>
      <c r="L121" s="80"/>
      <c r="M121" s="50"/>
    </row>
    <row r="122" spans="2:13">
      <c r="B122" s="48"/>
      <c r="C122" s="77"/>
      <c r="D122" s="243"/>
      <c r="E122" s="85"/>
      <c r="F122" s="244"/>
      <c r="G122" s="85"/>
      <c r="H122" s="241">
        <v>0</v>
      </c>
      <c r="I122" s="241">
        <f t="shared" ref="I122:K123" si="20">H122</f>
        <v>0</v>
      </c>
      <c r="J122" s="241">
        <f t="shared" si="20"/>
        <v>0</v>
      </c>
      <c r="K122" s="241">
        <f t="shared" si="20"/>
        <v>0</v>
      </c>
      <c r="L122" s="80"/>
      <c r="M122" s="50"/>
    </row>
    <row r="123" spans="2:13">
      <c r="B123" s="48"/>
      <c r="C123" s="77"/>
      <c r="D123" s="243"/>
      <c r="E123" s="85"/>
      <c r="F123" s="244"/>
      <c r="G123" s="85"/>
      <c r="H123" s="241">
        <v>0</v>
      </c>
      <c r="I123" s="241">
        <f t="shared" si="20"/>
        <v>0</v>
      </c>
      <c r="J123" s="241">
        <f t="shared" si="20"/>
        <v>0</v>
      </c>
      <c r="K123" s="241">
        <f t="shared" si="20"/>
        <v>0</v>
      </c>
      <c r="L123" s="80"/>
      <c r="M123" s="50"/>
    </row>
    <row r="124" spans="2:13">
      <c r="B124" s="48"/>
      <c r="C124" s="77"/>
      <c r="D124" s="218"/>
      <c r="E124" s="85"/>
      <c r="F124" s="208"/>
      <c r="G124" s="85"/>
      <c r="H124" s="198"/>
      <c r="I124" s="198"/>
      <c r="J124" s="198"/>
      <c r="K124" s="198"/>
      <c r="L124" s="80"/>
      <c r="M124" s="50"/>
    </row>
    <row r="125" spans="2:13">
      <c r="B125" s="48"/>
      <c r="C125" s="77"/>
      <c r="D125" s="195" t="s">
        <v>77</v>
      </c>
      <c r="E125" s="79"/>
      <c r="F125" s="215"/>
      <c r="G125" s="79"/>
      <c r="H125" s="254">
        <f>SUM(H114:H123)</f>
        <v>0</v>
      </c>
      <c r="I125" s="254">
        <f>SUM(I114:I123)</f>
        <v>0</v>
      </c>
      <c r="J125" s="254">
        <f>SUM(J114:J123)</f>
        <v>0</v>
      </c>
      <c r="K125" s="254">
        <f>SUM(K114:K123)</f>
        <v>0</v>
      </c>
      <c r="L125" s="80"/>
      <c r="M125" s="50"/>
    </row>
    <row r="126" spans="2:13">
      <c r="B126" s="48"/>
      <c r="C126" s="77"/>
      <c r="D126" s="87"/>
      <c r="E126" s="85"/>
      <c r="F126" s="208"/>
      <c r="G126" s="85"/>
      <c r="H126" s="213"/>
      <c r="I126" s="213"/>
      <c r="J126" s="213"/>
      <c r="K126" s="213"/>
      <c r="L126" s="80"/>
      <c r="M126" s="50"/>
    </row>
    <row r="127" spans="2:13">
      <c r="B127" s="48"/>
      <c r="C127" s="49"/>
      <c r="D127" s="163"/>
      <c r="E127" s="49"/>
      <c r="F127" s="164"/>
      <c r="G127" s="49"/>
      <c r="H127" s="165"/>
      <c r="I127" s="165"/>
      <c r="J127" s="165"/>
      <c r="K127" s="165"/>
      <c r="L127" s="49"/>
      <c r="M127" s="50"/>
    </row>
    <row r="128" spans="2:13">
      <c r="B128" s="48"/>
      <c r="C128" s="77"/>
      <c r="D128" s="87"/>
      <c r="E128" s="85"/>
      <c r="F128" s="208"/>
      <c r="G128" s="85"/>
      <c r="H128" s="213"/>
      <c r="I128" s="213"/>
      <c r="J128" s="213"/>
      <c r="K128" s="213"/>
      <c r="L128" s="80"/>
      <c r="M128" s="50"/>
    </row>
    <row r="129" spans="2:13">
      <c r="B129" s="48"/>
      <c r="C129" s="77"/>
      <c r="D129" s="196" t="s">
        <v>209</v>
      </c>
      <c r="E129" s="85"/>
      <c r="F129" s="246" t="s">
        <v>217</v>
      </c>
      <c r="G129" s="85"/>
      <c r="H129" s="213"/>
      <c r="I129" s="213"/>
      <c r="J129" s="213"/>
      <c r="K129" s="213"/>
      <c r="L129" s="80"/>
      <c r="M129" s="50"/>
    </row>
    <row r="130" spans="2:13">
      <c r="B130" s="48"/>
      <c r="C130" s="77"/>
      <c r="D130" s="219"/>
      <c r="E130" s="85"/>
      <c r="F130" s="215"/>
      <c r="G130" s="85"/>
      <c r="H130" s="213"/>
      <c r="I130" s="213"/>
      <c r="J130" s="213"/>
      <c r="K130" s="213"/>
      <c r="L130" s="80"/>
      <c r="M130" s="50"/>
    </row>
    <row r="131" spans="2:13">
      <c r="B131" s="48"/>
      <c r="C131" s="77"/>
      <c r="D131" s="247"/>
      <c r="E131" s="85"/>
      <c r="F131" s="244"/>
      <c r="G131" s="85"/>
      <c r="H131" s="241">
        <v>0</v>
      </c>
      <c r="I131" s="241">
        <f t="shared" ref="I131:K134" si="21">H131</f>
        <v>0</v>
      </c>
      <c r="J131" s="241">
        <f t="shared" si="21"/>
        <v>0</v>
      </c>
      <c r="K131" s="241">
        <f t="shared" si="21"/>
        <v>0</v>
      </c>
      <c r="L131" s="80"/>
      <c r="M131" s="50"/>
    </row>
    <row r="132" spans="2:13">
      <c r="B132" s="48"/>
      <c r="C132" s="77"/>
      <c r="D132" s="247"/>
      <c r="E132" s="85"/>
      <c r="F132" s="244"/>
      <c r="G132" s="85"/>
      <c r="H132" s="241">
        <v>0</v>
      </c>
      <c r="I132" s="241">
        <f t="shared" si="21"/>
        <v>0</v>
      </c>
      <c r="J132" s="241">
        <f t="shared" si="21"/>
        <v>0</v>
      </c>
      <c r="K132" s="241">
        <f t="shared" si="21"/>
        <v>0</v>
      </c>
      <c r="L132" s="80"/>
      <c r="M132" s="50"/>
    </row>
    <row r="133" spans="2:13">
      <c r="B133" s="48"/>
      <c r="C133" s="77"/>
      <c r="D133" s="247"/>
      <c r="E133" s="85"/>
      <c r="F133" s="244"/>
      <c r="G133" s="85"/>
      <c r="H133" s="241">
        <v>0</v>
      </c>
      <c r="I133" s="241">
        <f t="shared" si="21"/>
        <v>0</v>
      </c>
      <c r="J133" s="241">
        <f t="shared" si="21"/>
        <v>0</v>
      </c>
      <c r="K133" s="241">
        <f t="shared" si="21"/>
        <v>0</v>
      </c>
      <c r="L133" s="80"/>
      <c r="M133" s="50"/>
    </row>
    <row r="134" spans="2:13">
      <c r="B134" s="48"/>
      <c r="C134" s="77"/>
      <c r="D134" s="247"/>
      <c r="E134" s="85"/>
      <c r="F134" s="244"/>
      <c r="G134" s="85"/>
      <c r="H134" s="241">
        <v>0</v>
      </c>
      <c r="I134" s="241">
        <f t="shared" si="21"/>
        <v>0</v>
      </c>
      <c r="J134" s="241">
        <f t="shared" si="21"/>
        <v>0</v>
      </c>
      <c r="K134" s="241">
        <f t="shared" si="21"/>
        <v>0</v>
      </c>
      <c r="L134" s="80"/>
      <c r="M134" s="50"/>
    </row>
    <row r="135" spans="2:13">
      <c r="B135" s="48"/>
      <c r="C135" s="77"/>
      <c r="D135" s="247"/>
      <c r="E135" s="85"/>
      <c r="F135" s="244"/>
      <c r="G135" s="85"/>
      <c r="H135" s="241">
        <v>0</v>
      </c>
      <c r="I135" s="241">
        <f t="shared" ref="I135:K154" si="22">H135</f>
        <v>0</v>
      </c>
      <c r="J135" s="241">
        <f t="shared" si="22"/>
        <v>0</v>
      </c>
      <c r="K135" s="241">
        <f t="shared" si="22"/>
        <v>0</v>
      </c>
      <c r="L135" s="80"/>
      <c r="M135" s="50"/>
    </row>
    <row r="136" spans="2:13">
      <c r="B136" s="48"/>
      <c r="C136" s="77"/>
      <c r="D136" s="247"/>
      <c r="E136" s="85"/>
      <c r="F136" s="244"/>
      <c r="G136" s="85"/>
      <c r="H136" s="241">
        <v>0</v>
      </c>
      <c r="I136" s="241">
        <f t="shared" si="22"/>
        <v>0</v>
      </c>
      <c r="J136" s="241">
        <f t="shared" si="22"/>
        <v>0</v>
      </c>
      <c r="K136" s="241">
        <f t="shared" si="22"/>
        <v>0</v>
      </c>
      <c r="L136" s="80"/>
      <c r="M136" s="50"/>
    </row>
    <row r="137" spans="2:13">
      <c r="B137" s="48"/>
      <c r="C137" s="77"/>
      <c r="D137" s="247"/>
      <c r="E137" s="85"/>
      <c r="F137" s="244"/>
      <c r="G137" s="85"/>
      <c r="H137" s="241">
        <v>0</v>
      </c>
      <c r="I137" s="241">
        <f t="shared" si="22"/>
        <v>0</v>
      </c>
      <c r="J137" s="241">
        <f t="shared" si="22"/>
        <v>0</v>
      </c>
      <c r="K137" s="241">
        <f t="shared" si="22"/>
        <v>0</v>
      </c>
      <c r="L137" s="80"/>
      <c r="M137" s="50"/>
    </row>
    <row r="138" spans="2:13">
      <c r="B138" s="48"/>
      <c r="C138" s="77"/>
      <c r="D138" s="247"/>
      <c r="E138" s="85"/>
      <c r="F138" s="244"/>
      <c r="G138" s="85"/>
      <c r="H138" s="241">
        <v>0</v>
      </c>
      <c r="I138" s="241">
        <f t="shared" si="22"/>
        <v>0</v>
      </c>
      <c r="J138" s="241">
        <f t="shared" si="22"/>
        <v>0</v>
      </c>
      <c r="K138" s="241">
        <f t="shared" si="22"/>
        <v>0</v>
      </c>
      <c r="L138" s="80"/>
      <c r="M138" s="50"/>
    </row>
    <row r="139" spans="2:13">
      <c r="B139" s="48"/>
      <c r="C139" s="77"/>
      <c r="D139" s="247"/>
      <c r="E139" s="85"/>
      <c r="F139" s="244"/>
      <c r="G139" s="85"/>
      <c r="H139" s="241">
        <v>0</v>
      </c>
      <c r="I139" s="241">
        <f t="shared" si="22"/>
        <v>0</v>
      </c>
      <c r="J139" s="241">
        <f t="shared" si="22"/>
        <v>0</v>
      </c>
      <c r="K139" s="241">
        <f t="shared" si="22"/>
        <v>0</v>
      </c>
      <c r="L139" s="80"/>
      <c r="M139" s="50"/>
    </row>
    <row r="140" spans="2:13">
      <c r="B140" s="48"/>
      <c r="C140" s="77"/>
      <c r="D140" s="247"/>
      <c r="E140" s="85"/>
      <c r="F140" s="244"/>
      <c r="G140" s="85"/>
      <c r="H140" s="241">
        <v>0</v>
      </c>
      <c r="I140" s="241">
        <f t="shared" si="22"/>
        <v>0</v>
      </c>
      <c r="J140" s="241">
        <f t="shared" si="22"/>
        <v>0</v>
      </c>
      <c r="K140" s="241">
        <f t="shared" si="22"/>
        <v>0</v>
      </c>
      <c r="L140" s="80"/>
      <c r="M140" s="50"/>
    </row>
    <row r="141" spans="2:13">
      <c r="B141" s="48"/>
      <c r="C141" s="77"/>
      <c r="D141" s="247"/>
      <c r="E141" s="85"/>
      <c r="F141" s="244"/>
      <c r="G141" s="85"/>
      <c r="H141" s="241">
        <v>0</v>
      </c>
      <c r="I141" s="241">
        <f t="shared" si="22"/>
        <v>0</v>
      </c>
      <c r="J141" s="241">
        <f t="shared" si="22"/>
        <v>0</v>
      </c>
      <c r="K141" s="241">
        <f t="shared" si="22"/>
        <v>0</v>
      </c>
      <c r="L141" s="80"/>
      <c r="M141" s="50"/>
    </row>
    <row r="142" spans="2:13">
      <c r="B142" s="48"/>
      <c r="C142" s="77"/>
      <c r="D142" s="247"/>
      <c r="E142" s="85"/>
      <c r="F142" s="244"/>
      <c r="G142" s="85"/>
      <c r="H142" s="241">
        <v>0</v>
      </c>
      <c r="I142" s="241">
        <f t="shared" si="22"/>
        <v>0</v>
      </c>
      <c r="J142" s="241">
        <f t="shared" si="22"/>
        <v>0</v>
      </c>
      <c r="K142" s="241">
        <f t="shared" si="22"/>
        <v>0</v>
      </c>
      <c r="L142" s="80"/>
      <c r="M142" s="50"/>
    </row>
    <row r="143" spans="2:13">
      <c r="B143" s="48"/>
      <c r="C143" s="77"/>
      <c r="D143" s="247"/>
      <c r="E143" s="85"/>
      <c r="F143" s="244"/>
      <c r="G143" s="85"/>
      <c r="H143" s="241">
        <v>0</v>
      </c>
      <c r="I143" s="241">
        <f t="shared" si="22"/>
        <v>0</v>
      </c>
      <c r="J143" s="241">
        <f t="shared" si="22"/>
        <v>0</v>
      </c>
      <c r="K143" s="241">
        <f t="shared" si="22"/>
        <v>0</v>
      </c>
      <c r="L143" s="80"/>
      <c r="M143" s="50"/>
    </row>
    <row r="144" spans="2:13">
      <c r="B144" s="48"/>
      <c r="C144" s="77"/>
      <c r="D144" s="247"/>
      <c r="E144" s="85"/>
      <c r="F144" s="244"/>
      <c r="G144" s="85"/>
      <c r="H144" s="241">
        <v>0</v>
      </c>
      <c r="I144" s="241">
        <f t="shared" si="22"/>
        <v>0</v>
      </c>
      <c r="J144" s="241">
        <f t="shared" si="22"/>
        <v>0</v>
      </c>
      <c r="K144" s="241">
        <f t="shared" si="22"/>
        <v>0</v>
      </c>
      <c r="L144" s="80"/>
      <c r="M144" s="50"/>
    </row>
    <row r="145" spans="2:26">
      <c r="B145" s="48"/>
      <c r="C145" s="77"/>
      <c r="D145" s="248"/>
      <c r="E145" s="85"/>
      <c r="F145" s="244"/>
      <c r="G145" s="85"/>
      <c r="H145" s="241">
        <v>0</v>
      </c>
      <c r="I145" s="241">
        <f t="shared" si="22"/>
        <v>0</v>
      </c>
      <c r="J145" s="241">
        <f t="shared" si="22"/>
        <v>0</v>
      </c>
      <c r="K145" s="241">
        <f t="shared" si="22"/>
        <v>0</v>
      </c>
      <c r="L145" s="80"/>
      <c r="M145" s="50"/>
    </row>
    <row r="146" spans="2:26">
      <c r="B146" s="48"/>
      <c r="C146" s="77"/>
      <c r="D146" s="248"/>
      <c r="E146" s="85"/>
      <c r="F146" s="244"/>
      <c r="G146" s="85"/>
      <c r="H146" s="241">
        <v>0</v>
      </c>
      <c r="I146" s="241">
        <f t="shared" si="22"/>
        <v>0</v>
      </c>
      <c r="J146" s="241">
        <f t="shared" si="22"/>
        <v>0</v>
      </c>
      <c r="K146" s="241">
        <f t="shared" si="22"/>
        <v>0</v>
      </c>
      <c r="L146" s="80"/>
      <c r="M146" s="50"/>
    </row>
    <row r="147" spans="2:26">
      <c r="B147" s="48"/>
      <c r="C147" s="77"/>
      <c r="D147" s="248"/>
      <c r="E147" s="85"/>
      <c r="F147" s="244"/>
      <c r="G147" s="85"/>
      <c r="H147" s="241">
        <v>0</v>
      </c>
      <c r="I147" s="241">
        <f t="shared" si="22"/>
        <v>0</v>
      </c>
      <c r="J147" s="241">
        <f t="shared" si="22"/>
        <v>0</v>
      </c>
      <c r="K147" s="241">
        <f t="shared" si="22"/>
        <v>0</v>
      </c>
      <c r="L147" s="80"/>
      <c r="M147" s="50"/>
    </row>
    <row r="148" spans="2:26">
      <c r="B148" s="48"/>
      <c r="C148" s="77"/>
      <c r="D148" s="248"/>
      <c r="E148" s="85"/>
      <c r="F148" s="244"/>
      <c r="G148" s="85"/>
      <c r="H148" s="241">
        <v>0</v>
      </c>
      <c r="I148" s="241">
        <f t="shared" si="22"/>
        <v>0</v>
      </c>
      <c r="J148" s="241">
        <f t="shared" si="22"/>
        <v>0</v>
      </c>
      <c r="K148" s="241">
        <f t="shared" si="22"/>
        <v>0</v>
      </c>
      <c r="L148" s="80"/>
      <c r="M148" s="50"/>
    </row>
    <row r="149" spans="2:26">
      <c r="B149" s="48"/>
      <c r="C149" s="77"/>
      <c r="D149" s="248"/>
      <c r="E149" s="85"/>
      <c r="F149" s="244"/>
      <c r="G149" s="85"/>
      <c r="H149" s="241">
        <v>0</v>
      </c>
      <c r="I149" s="241">
        <f t="shared" si="22"/>
        <v>0</v>
      </c>
      <c r="J149" s="241">
        <f t="shared" si="22"/>
        <v>0</v>
      </c>
      <c r="K149" s="241">
        <f t="shared" si="22"/>
        <v>0</v>
      </c>
      <c r="L149" s="80"/>
      <c r="M149" s="50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2:26">
      <c r="B150" s="48"/>
      <c r="C150" s="77"/>
      <c r="D150" s="248"/>
      <c r="E150" s="85"/>
      <c r="F150" s="244"/>
      <c r="G150" s="85"/>
      <c r="H150" s="241">
        <v>0</v>
      </c>
      <c r="I150" s="241">
        <f t="shared" si="22"/>
        <v>0</v>
      </c>
      <c r="J150" s="241">
        <f t="shared" si="22"/>
        <v>0</v>
      </c>
      <c r="K150" s="241">
        <f t="shared" si="22"/>
        <v>0</v>
      </c>
      <c r="L150" s="80"/>
      <c r="M150" s="50"/>
    </row>
    <row r="151" spans="2:26">
      <c r="B151" s="48"/>
      <c r="C151" s="77"/>
      <c r="D151" s="248"/>
      <c r="E151" s="85"/>
      <c r="F151" s="244"/>
      <c r="G151" s="85"/>
      <c r="H151" s="241">
        <v>0</v>
      </c>
      <c r="I151" s="241">
        <f t="shared" si="22"/>
        <v>0</v>
      </c>
      <c r="J151" s="241">
        <f t="shared" si="22"/>
        <v>0</v>
      </c>
      <c r="K151" s="241">
        <f t="shared" si="22"/>
        <v>0</v>
      </c>
      <c r="L151" s="80"/>
      <c r="M151" s="50"/>
    </row>
    <row r="152" spans="2:26">
      <c r="B152" s="48"/>
      <c r="C152" s="77"/>
      <c r="D152" s="248"/>
      <c r="E152" s="85"/>
      <c r="F152" s="244"/>
      <c r="G152" s="85"/>
      <c r="H152" s="241">
        <v>0</v>
      </c>
      <c r="I152" s="241">
        <f t="shared" si="22"/>
        <v>0</v>
      </c>
      <c r="J152" s="241">
        <f t="shared" si="22"/>
        <v>0</v>
      </c>
      <c r="K152" s="241">
        <f t="shared" si="22"/>
        <v>0</v>
      </c>
      <c r="L152" s="80"/>
      <c r="M152" s="50"/>
    </row>
    <row r="153" spans="2:26">
      <c r="B153" s="48"/>
      <c r="C153" s="77"/>
      <c r="D153" s="248"/>
      <c r="E153" s="85"/>
      <c r="F153" s="244"/>
      <c r="G153" s="85"/>
      <c r="H153" s="241">
        <v>0</v>
      </c>
      <c r="I153" s="241">
        <f t="shared" si="22"/>
        <v>0</v>
      </c>
      <c r="J153" s="241">
        <f t="shared" si="22"/>
        <v>0</v>
      </c>
      <c r="K153" s="241">
        <f t="shared" si="22"/>
        <v>0</v>
      </c>
      <c r="L153" s="80"/>
      <c r="M153" s="50"/>
    </row>
    <row r="154" spans="2:26">
      <c r="B154" s="48"/>
      <c r="C154" s="77"/>
      <c r="D154" s="248"/>
      <c r="E154" s="85"/>
      <c r="F154" s="244"/>
      <c r="G154" s="85"/>
      <c r="H154" s="241">
        <v>0</v>
      </c>
      <c r="I154" s="241">
        <f t="shared" si="22"/>
        <v>0</v>
      </c>
      <c r="J154" s="241">
        <f t="shared" si="22"/>
        <v>0</v>
      </c>
      <c r="K154" s="241">
        <f t="shared" si="22"/>
        <v>0</v>
      </c>
      <c r="L154" s="80"/>
      <c r="M154" s="50"/>
    </row>
    <row r="155" spans="2:26">
      <c r="B155" s="48"/>
      <c r="C155" s="77"/>
      <c r="D155" s="218"/>
      <c r="E155" s="85"/>
      <c r="F155" s="205"/>
      <c r="G155" s="85"/>
      <c r="H155" s="198"/>
      <c r="I155" s="198"/>
      <c r="J155" s="198"/>
      <c r="K155" s="198"/>
      <c r="L155" s="80"/>
      <c r="M155" s="50"/>
    </row>
    <row r="156" spans="2:26">
      <c r="B156" s="48"/>
      <c r="C156" s="77"/>
      <c r="D156" s="195" t="s">
        <v>77</v>
      </c>
      <c r="E156" s="85"/>
      <c r="F156" s="205"/>
      <c r="G156" s="85"/>
      <c r="H156" s="253">
        <f>SUM(H131:H154)</f>
        <v>0</v>
      </c>
      <c r="I156" s="253">
        <f>SUM(I131:I154)</f>
        <v>0</v>
      </c>
      <c r="J156" s="253">
        <f>SUM(J131:J154)</f>
        <v>0</v>
      </c>
      <c r="K156" s="253">
        <f>SUM(K131:K154)</f>
        <v>0</v>
      </c>
      <c r="L156" s="80"/>
      <c r="M156" s="50"/>
    </row>
    <row r="157" spans="2:26">
      <c r="B157" s="48"/>
      <c r="C157" s="77"/>
      <c r="D157" s="87"/>
      <c r="E157" s="85"/>
      <c r="F157" s="205"/>
      <c r="G157" s="85"/>
      <c r="H157" s="213"/>
      <c r="I157" s="213"/>
      <c r="J157" s="213"/>
      <c r="K157" s="213"/>
      <c r="L157" s="80"/>
      <c r="M157" s="50"/>
    </row>
    <row r="158" spans="2:26">
      <c r="B158" s="48"/>
      <c r="C158" s="49"/>
      <c r="D158" s="163"/>
      <c r="E158" s="49"/>
      <c r="F158" s="164"/>
      <c r="G158" s="49"/>
      <c r="H158" s="165"/>
      <c r="I158" s="165"/>
      <c r="J158" s="165"/>
      <c r="K158" s="165"/>
      <c r="L158" s="49"/>
      <c r="M158" s="50"/>
    </row>
    <row r="159" spans="2:26">
      <c r="B159" s="48"/>
      <c r="C159" s="77"/>
      <c r="D159" s="87"/>
      <c r="E159" s="85"/>
      <c r="F159" s="205"/>
      <c r="G159" s="85"/>
      <c r="H159" s="213"/>
      <c r="I159" s="213"/>
      <c r="J159" s="213"/>
      <c r="K159" s="213"/>
      <c r="L159" s="80"/>
      <c r="M159" s="50"/>
    </row>
    <row r="160" spans="2:26">
      <c r="B160" s="48"/>
      <c r="C160" s="77"/>
      <c r="D160" s="193" t="s">
        <v>213</v>
      </c>
      <c r="E160" s="195"/>
      <c r="F160" s="199"/>
      <c r="G160" s="195"/>
      <c r="H160" s="252">
        <f>H66+H90+H108+H125+H156</f>
        <v>0</v>
      </c>
      <c r="I160" s="252">
        <f>I66+I90+I108+I125+I156</f>
        <v>0</v>
      </c>
      <c r="J160" s="252">
        <f>J66+J90+J108+J125+J156</f>
        <v>0</v>
      </c>
      <c r="K160" s="252">
        <f>K66+K90+K108+K125+K156</f>
        <v>0</v>
      </c>
      <c r="L160" s="80"/>
      <c r="M160" s="50"/>
    </row>
    <row r="161" spans="2:26">
      <c r="B161" s="48"/>
      <c r="C161" s="77"/>
      <c r="D161" s="87"/>
      <c r="E161" s="85"/>
      <c r="F161" s="205"/>
      <c r="G161" s="85"/>
      <c r="H161" s="213"/>
      <c r="I161" s="213"/>
      <c r="J161" s="213"/>
      <c r="K161" s="213"/>
      <c r="L161" s="80"/>
      <c r="M161" s="50"/>
    </row>
    <row r="162" spans="2:26">
      <c r="B162" s="48"/>
      <c r="C162" s="49"/>
      <c r="D162" s="163"/>
      <c r="E162" s="49"/>
      <c r="F162" s="164"/>
      <c r="G162" s="49"/>
      <c r="H162" s="165"/>
      <c r="I162" s="165"/>
      <c r="J162" s="165"/>
      <c r="K162" s="165"/>
      <c r="L162" s="49"/>
      <c r="M162" s="50"/>
    </row>
    <row r="163" spans="2:26">
      <c r="B163" s="48"/>
      <c r="C163" s="77"/>
      <c r="D163" s="203"/>
      <c r="E163" s="85"/>
      <c r="F163" s="205"/>
      <c r="G163" s="85"/>
      <c r="H163" s="220"/>
      <c r="I163" s="220"/>
      <c r="J163" s="220"/>
      <c r="K163" s="220"/>
      <c r="L163" s="80"/>
      <c r="M163" s="50"/>
    </row>
    <row r="164" spans="2:26">
      <c r="B164" s="169"/>
      <c r="C164" s="209"/>
      <c r="D164" s="442" t="s">
        <v>221</v>
      </c>
      <c r="E164" s="85"/>
      <c r="F164" s="205"/>
      <c r="G164" s="85"/>
      <c r="H164" s="251">
        <f>H58-H160</f>
        <v>0</v>
      </c>
      <c r="I164" s="251">
        <f>I58-I160</f>
        <v>0</v>
      </c>
      <c r="J164" s="251">
        <f>J58-J160</f>
        <v>0</v>
      </c>
      <c r="K164" s="251">
        <f>K58-K160</f>
        <v>0</v>
      </c>
      <c r="L164" s="80"/>
      <c r="M164" s="50"/>
    </row>
    <row r="165" spans="2:26">
      <c r="B165" s="48"/>
      <c r="C165" s="77"/>
      <c r="D165" s="81"/>
      <c r="E165" s="85"/>
      <c r="F165" s="205"/>
      <c r="G165" s="85"/>
      <c r="H165" s="220"/>
      <c r="I165" s="220"/>
      <c r="J165" s="220"/>
      <c r="K165" s="220"/>
      <c r="L165" s="80"/>
      <c r="M165" s="50"/>
    </row>
    <row r="166" spans="2:26">
      <c r="B166" s="48"/>
      <c r="C166" s="49"/>
      <c r="D166" s="163"/>
      <c r="E166" s="49"/>
      <c r="F166" s="164"/>
      <c r="G166" s="49"/>
      <c r="H166" s="165"/>
      <c r="I166" s="165"/>
      <c r="J166" s="165"/>
      <c r="K166" s="165"/>
      <c r="L166" s="49"/>
      <c r="M166" s="50"/>
    </row>
    <row r="167" spans="2:26">
      <c r="B167" s="48"/>
      <c r="C167" s="49"/>
      <c r="D167" s="163"/>
      <c r="E167" s="49"/>
      <c r="F167" s="164"/>
      <c r="G167" s="49"/>
      <c r="H167" s="165"/>
      <c r="I167" s="165"/>
      <c r="J167" s="165"/>
      <c r="K167" s="165"/>
      <c r="L167" s="49"/>
      <c r="M167" s="50"/>
    </row>
    <row r="168" spans="2:26">
      <c r="B168" s="48"/>
      <c r="C168" s="77"/>
      <c r="D168" s="81"/>
      <c r="E168" s="85"/>
      <c r="F168" s="205"/>
      <c r="G168" s="85"/>
      <c r="H168" s="222"/>
      <c r="I168" s="222"/>
      <c r="J168" s="222"/>
      <c r="K168" s="222"/>
      <c r="L168" s="80"/>
      <c r="M168" s="50"/>
    </row>
    <row r="169" spans="2:26">
      <c r="B169" s="48"/>
      <c r="C169" s="77"/>
      <c r="D169" s="587" t="s">
        <v>92</v>
      </c>
      <c r="E169" s="85"/>
      <c r="F169" s="205"/>
      <c r="G169" s="85"/>
      <c r="H169" s="222"/>
      <c r="I169" s="222"/>
      <c r="J169" s="222"/>
      <c r="K169" s="222"/>
      <c r="L169" s="80"/>
      <c r="M169" s="50"/>
    </row>
    <row r="170" spans="2:26">
      <c r="B170" s="48"/>
      <c r="C170" s="77"/>
      <c r="D170" s="193"/>
      <c r="E170" s="85"/>
      <c r="F170" s="205"/>
      <c r="G170" s="85"/>
      <c r="H170" s="222"/>
      <c r="I170" s="222"/>
      <c r="J170" s="222"/>
      <c r="K170" s="222"/>
      <c r="L170" s="80"/>
      <c r="M170" s="50"/>
    </row>
    <row r="171" spans="2:26">
      <c r="B171" s="48"/>
      <c r="C171" s="77"/>
      <c r="D171" s="78" t="s">
        <v>54</v>
      </c>
      <c r="E171" s="85"/>
      <c r="F171" s="205"/>
      <c r="G171" s="85"/>
      <c r="H171" s="249">
        <v>0</v>
      </c>
      <c r="I171" s="249">
        <f t="shared" ref="I171:K172" si="23">H171</f>
        <v>0</v>
      </c>
      <c r="J171" s="249">
        <f t="shared" si="23"/>
        <v>0</v>
      </c>
      <c r="K171" s="249">
        <f t="shared" si="23"/>
        <v>0</v>
      </c>
      <c r="L171" s="80"/>
      <c r="M171" s="50"/>
    </row>
    <row r="172" spans="2:26">
      <c r="B172" s="48"/>
      <c r="C172" s="77"/>
      <c r="D172" s="78" t="s">
        <v>55</v>
      </c>
      <c r="E172" s="85"/>
      <c r="F172" s="205"/>
      <c r="G172" s="85"/>
      <c r="H172" s="249">
        <v>0</v>
      </c>
      <c r="I172" s="249">
        <f t="shared" si="23"/>
        <v>0</v>
      </c>
      <c r="J172" s="249">
        <f t="shared" si="23"/>
        <v>0</v>
      </c>
      <c r="K172" s="249">
        <f t="shared" si="23"/>
        <v>0</v>
      </c>
      <c r="L172" s="80"/>
      <c r="M172" s="50"/>
    </row>
    <row r="173" spans="2:26">
      <c r="B173" s="48"/>
      <c r="C173" s="77"/>
      <c r="D173" s="203"/>
      <c r="E173" s="85"/>
      <c r="F173" s="205"/>
      <c r="G173" s="85"/>
      <c r="H173" s="222"/>
      <c r="I173" s="222"/>
      <c r="J173" s="222"/>
      <c r="K173" s="222"/>
      <c r="L173" s="80"/>
      <c r="M173" s="50"/>
    </row>
    <row r="174" spans="2:26" s="106" customFormat="1">
      <c r="B174" s="169"/>
      <c r="C174" s="209"/>
      <c r="D174" s="193" t="s">
        <v>215</v>
      </c>
      <c r="E174" s="195"/>
      <c r="F174" s="199"/>
      <c r="G174" s="195"/>
      <c r="H174" s="251">
        <f>H171-H172</f>
        <v>0</v>
      </c>
      <c r="I174" s="251">
        <f>I171-I172</f>
        <v>0</v>
      </c>
      <c r="J174" s="251">
        <f>J171-J172</f>
        <v>0</v>
      </c>
      <c r="K174" s="251">
        <f>K171-K172</f>
        <v>0</v>
      </c>
      <c r="L174" s="212"/>
      <c r="M174" s="170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2:26">
      <c r="B175" s="48"/>
      <c r="C175" s="77"/>
      <c r="D175" s="78"/>
      <c r="E175" s="85"/>
      <c r="F175" s="205"/>
      <c r="G175" s="85"/>
      <c r="H175" s="222"/>
      <c r="I175" s="222"/>
      <c r="J175" s="222"/>
      <c r="K175" s="222"/>
      <c r="L175" s="80"/>
      <c r="M175" s="50"/>
    </row>
    <row r="176" spans="2:26">
      <c r="B176" s="48"/>
      <c r="C176" s="49"/>
      <c r="D176" s="163"/>
      <c r="E176" s="49"/>
      <c r="F176" s="164"/>
      <c r="G176" s="49"/>
      <c r="H176" s="165"/>
      <c r="I176" s="165"/>
      <c r="J176" s="165"/>
      <c r="K176" s="165"/>
      <c r="L176" s="49"/>
      <c r="M176" s="50"/>
    </row>
    <row r="177" spans="2:13">
      <c r="B177" s="48"/>
      <c r="C177" s="49"/>
      <c r="D177" s="163"/>
      <c r="E177" s="49"/>
      <c r="F177" s="164"/>
      <c r="G177" s="49"/>
      <c r="H177" s="165"/>
      <c r="I177" s="165"/>
      <c r="J177" s="165"/>
      <c r="K177" s="165"/>
      <c r="L177" s="49"/>
      <c r="M177" s="50"/>
    </row>
    <row r="178" spans="2:13">
      <c r="B178" s="48"/>
      <c r="C178" s="77"/>
      <c r="D178" s="84"/>
      <c r="E178" s="84"/>
      <c r="F178" s="223"/>
      <c r="G178" s="84"/>
      <c r="H178" s="224"/>
      <c r="I178" s="224"/>
      <c r="J178" s="224"/>
      <c r="K178" s="224"/>
      <c r="L178" s="80"/>
      <c r="M178" s="50"/>
    </row>
    <row r="179" spans="2:13">
      <c r="B179" s="48"/>
      <c r="C179" s="77"/>
      <c r="D179" s="195" t="s">
        <v>216</v>
      </c>
      <c r="E179" s="84"/>
      <c r="F179" s="223"/>
      <c r="G179" s="84"/>
      <c r="H179" s="250">
        <f>H164+H174</f>
        <v>0</v>
      </c>
      <c r="I179" s="250">
        <f>I164+I174</f>
        <v>0</v>
      </c>
      <c r="J179" s="250">
        <f>J164+J174</f>
        <v>0</v>
      </c>
      <c r="K179" s="250">
        <f>K164+K174</f>
        <v>0</v>
      </c>
      <c r="L179" s="80"/>
      <c r="M179" s="50"/>
    </row>
    <row r="180" spans="2:13">
      <c r="B180" s="48"/>
      <c r="C180" s="88"/>
      <c r="D180" s="225"/>
      <c r="E180" s="225"/>
      <c r="F180" s="226"/>
      <c r="G180" s="225"/>
      <c r="H180" s="227"/>
      <c r="I180" s="227"/>
      <c r="J180" s="227"/>
      <c r="K180" s="227"/>
      <c r="L180" s="91"/>
      <c r="M180" s="50"/>
    </row>
    <row r="181" spans="2:13">
      <c r="B181" s="48"/>
      <c r="C181" s="49"/>
      <c r="D181" s="61"/>
      <c r="E181" s="66"/>
      <c r="F181" s="180"/>
      <c r="G181" s="66"/>
      <c r="H181" s="181"/>
      <c r="I181" s="181"/>
      <c r="J181" s="181"/>
      <c r="K181" s="181"/>
      <c r="L181" s="49"/>
      <c r="M181" s="50"/>
    </row>
    <row r="182" spans="2:13" ht="15">
      <c r="B182" s="69"/>
      <c r="C182" s="70"/>
      <c r="D182" s="183"/>
      <c r="E182" s="70"/>
      <c r="F182" s="70"/>
      <c r="G182" s="70"/>
      <c r="H182" s="184"/>
      <c r="I182" s="184"/>
      <c r="J182" s="184"/>
      <c r="K182" s="184"/>
      <c r="L182" s="177" t="s">
        <v>280</v>
      </c>
      <c r="M182" s="72"/>
    </row>
    <row r="183" spans="2:13">
      <c r="D183" s="111"/>
      <c r="H183" s="156"/>
      <c r="I183" s="156"/>
      <c r="J183" s="156"/>
      <c r="K183" s="156"/>
    </row>
    <row r="184" spans="2:13">
      <c r="J184" s="42"/>
    </row>
    <row r="185" spans="2:13">
      <c r="J185" s="42"/>
    </row>
    <row r="186" spans="2:13">
      <c r="J186" s="42"/>
    </row>
    <row r="187" spans="2:13">
      <c r="J187" s="42"/>
    </row>
    <row r="188" spans="2:13">
      <c r="J188" s="42"/>
    </row>
    <row r="189" spans="2:13">
      <c r="J189" s="42"/>
    </row>
    <row r="190" spans="2:13">
      <c r="J190" s="42"/>
    </row>
    <row r="191" spans="2:13">
      <c r="J191" s="42"/>
    </row>
    <row r="192" spans="2:13">
      <c r="J192" s="42"/>
    </row>
    <row r="193" spans="10:10">
      <c r="J193" s="42"/>
    </row>
    <row r="194" spans="10:10">
      <c r="J194" s="42"/>
    </row>
    <row r="195" spans="10:10">
      <c r="J195" s="42"/>
    </row>
    <row r="196" spans="10:10">
      <c r="J196" s="42"/>
    </row>
    <row r="197" spans="10:10">
      <c r="J197" s="42"/>
    </row>
    <row r="198" spans="10:10">
      <c r="J198" s="42"/>
    </row>
    <row r="199" spans="10:10">
      <c r="J199" s="42"/>
    </row>
    <row r="200" spans="10:10">
      <c r="J200" s="42"/>
    </row>
    <row r="201" spans="10:10">
      <c r="J201" s="42"/>
    </row>
    <row r="202" spans="10:10">
      <c r="J202" s="42"/>
    </row>
    <row r="203" spans="10:10">
      <c r="J203" s="42"/>
    </row>
    <row r="204" spans="10:10">
      <c r="J204" s="42"/>
    </row>
    <row r="205" spans="10:10">
      <c r="J205" s="42"/>
    </row>
    <row r="206" spans="10:10">
      <c r="J206" s="42"/>
    </row>
    <row r="207" spans="10:10">
      <c r="J207" s="42"/>
    </row>
    <row r="208" spans="10:10">
      <c r="J208" s="42"/>
    </row>
    <row r="209" spans="10:10">
      <c r="J209" s="42"/>
    </row>
    <row r="210" spans="10:10">
      <c r="J210" s="42"/>
    </row>
    <row r="211" spans="10:10">
      <c r="J211" s="42"/>
    </row>
    <row r="212" spans="10:10">
      <c r="J212" s="42"/>
    </row>
    <row r="213" spans="10:10">
      <c r="J213" s="42"/>
    </row>
    <row r="214" spans="10:10">
      <c r="J214" s="42"/>
    </row>
    <row r="215" spans="10:10">
      <c r="J215" s="42"/>
    </row>
    <row r="216" spans="10:10">
      <c r="J216" s="42"/>
    </row>
    <row r="217" spans="10:10">
      <c r="J217" s="42"/>
    </row>
    <row r="218" spans="10:10">
      <c r="J218" s="42"/>
    </row>
    <row r="219" spans="10:10">
      <c r="J219" s="42"/>
    </row>
    <row r="220" spans="10:10">
      <c r="J220" s="42"/>
    </row>
    <row r="221" spans="10:10">
      <c r="J221" s="42"/>
    </row>
    <row r="222" spans="10:10">
      <c r="J222" s="42"/>
    </row>
    <row r="223" spans="10:10">
      <c r="J223" s="42"/>
    </row>
    <row r="224" spans="10:10">
      <c r="J224" s="42"/>
    </row>
    <row r="225" spans="10:10">
      <c r="J225" s="42"/>
    </row>
    <row r="226" spans="10:10">
      <c r="J226" s="42"/>
    </row>
    <row r="227" spans="10:10">
      <c r="J227" s="42"/>
    </row>
    <row r="228" spans="10:10">
      <c r="J228" s="42"/>
    </row>
    <row r="229" spans="10:10">
      <c r="J229" s="42"/>
    </row>
    <row r="230" spans="10:10">
      <c r="J230" s="42"/>
    </row>
    <row r="231" spans="10:10">
      <c r="J231" s="42"/>
    </row>
    <row r="232" spans="10:10">
      <c r="J232" s="42"/>
    </row>
    <row r="233" spans="10:10">
      <c r="J233" s="42"/>
    </row>
    <row r="234" spans="10:10">
      <c r="J234" s="42"/>
    </row>
    <row r="235" spans="10:10">
      <c r="J235" s="42"/>
    </row>
    <row r="236" spans="10:10">
      <c r="J236" s="42"/>
    </row>
    <row r="237" spans="10:10">
      <c r="J237" s="42"/>
    </row>
    <row r="238" spans="10:10">
      <c r="J238" s="42"/>
    </row>
    <row r="239" spans="10:10">
      <c r="J239" s="42"/>
    </row>
    <row r="240" spans="10:10">
      <c r="J240" s="42"/>
    </row>
    <row r="241" spans="10:10">
      <c r="J241" s="42"/>
    </row>
    <row r="242" spans="10:10">
      <c r="J242" s="42"/>
    </row>
    <row r="243" spans="10:10">
      <c r="J243" s="42"/>
    </row>
    <row r="244" spans="10:10">
      <c r="J244" s="42"/>
    </row>
    <row r="245" spans="10:10">
      <c r="J245" s="42"/>
    </row>
    <row r="246" spans="10:10">
      <c r="J246" s="42"/>
    </row>
    <row r="247" spans="10:10">
      <c r="J247" s="42"/>
    </row>
    <row r="248" spans="10:10">
      <c r="J248" s="42"/>
    </row>
    <row r="249" spans="10:10">
      <c r="J249" s="42"/>
    </row>
    <row r="250" spans="10:10">
      <c r="J250" s="42"/>
    </row>
    <row r="251" spans="10:10">
      <c r="J251" s="42"/>
    </row>
    <row r="252" spans="10:10">
      <c r="J252" s="42"/>
    </row>
    <row r="253" spans="10:10">
      <c r="J253" s="42"/>
    </row>
    <row r="254" spans="10:10">
      <c r="J254" s="42"/>
    </row>
    <row r="255" spans="10:10">
      <c r="J255" s="42"/>
    </row>
    <row r="256" spans="10:10">
      <c r="J256" s="42"/>
    </row>
    <row r="257" spans="10:10">
      <c r="J257" s="42"/>
    </row>
    <row r="258" spans="10:10">
      <c r="J258" s="42"/>
    </row>
    <row r="259" spans="10:10">
      <c r="J259" s="42"/>
    </row>
    <row r="260" spans="10:10">
      <c r="J260" s="42"/>
    </row>
    <row r="261" spans="10:10">
      <c r="J261" s="42"/>
    </row>
    <row r="262" spans="10:10">
      <c r="J262" s="42"/>
    </row>
    <row r="263" spans="10:10">
      <c r="J263" s="42"/>
    </row>
    <row r="264" spans="10:10">
      <c r="J264" s="42"/>
    </row>
    <row r="265" spans="10:10">
      <c r="J265" s="42"/>
    </row>
    <row r="266" spans="10:10">
      <c r="J266" s="42"/>
    </row>
    <row r="267" spans="10:10">
      <c r="J267" s="42"/>
    </row>
    <row r="268" spans="10:10">
      <c r="J268" s="42"/>
    </row>
    <row r="269" spans="10:10">
      <c r="J269" s="42"/>
    </row>
    <row r="270" spans="10:10">
      <c r="J270" s="42"/>
    </row>
    <row r="271" spans="10:10">
      <c r="J271" s="42"/>
    </row>
    <row r="272" spans="10:10">
      <c r="J272" s="42"/>
    </row>
    <row r="273" spans="10:10">
      <c r="J273" s="42"/>
    </row>
    <row r="274" spans="10:10">
      <c r="J274" s="42"/>
    </row>
    <row r="275" spans="10:10">
      <c r="J275" s="42"/>
    </row>
    <row r="276" spans="10:10">
      <c r="J276" s="42"/>
    </row>
    <row r="277" spans="10:10">
      <c r="J277" s="42"/>
    </row>
    <row r="278" spans="10:10">
      <c r="J278" s="42"/>
    </row>
    <row r="279" spans="10:10">
      <c r="J279" s="42"/>
    </row>
    <row r="280" spans="10:10">
      <c r="J280" s="42"/>
    </row>
    <row r="281" spans="10:10">
      <c r="J281" s="42"/>
    </row>
    <row r="282" spans="10:10">
      <c r="J282" s="42"/>
    </row>
    <row r="283" spans="10:10">
      <c r="J283" s="42"/>
    </row>
    <row r="284" spans="10:10">
      <c r="J284" s="42"/>
    </row>
    <row r="285" spans="10:10">
      <c r="J285" s="42"/>
    </row>
    <row r="286" spans="10:10">
      <c r="J286" s="42"/>
    </row>
    <row r="287" spans="10:10">
      <c r="J287" s="42"/>
    </row>
    <row r="288" spans="10:10">
      <c r="J288" s="42"/>
    </row>
    <row r="289" spans="10:10">
      <c r="J289" s="42"/>
    </row>
    <row r="290" spans="10:10">
      <c r="J290" s="42"/>
    </row>
    <row r="291" spans="10:10">
      <c r="J291" s="42"/>
    </row>
    <row r="292" spans="10:10">
      <c r="J292" s="42"/>
    </row>
    <row r="293" spans="10:10">
      <c r="J293" s="42"/>
    </row>
    <row r="294" spans="10:10">
      <c r="J294" s="42"/>
    </row>
    <row r="295" spans="10:10">
      <c r="J295" s="42"/>
    </row>
    <row r="296" spans="10:10">
      <c r="J296" s="42"/>
    </row>
    <row r="297" spans="10:10">
      <c r="J297" s="42"/>
    </row>
    <row r="298" spans="10:10">
      <c r="J298" s="42"/>
    </row>
    <row r="299" spans="10:10">
      <c r="J299" s="42"/>
    </row>
    <row r="300" spans="10:10">
      <c r="J300" s="42"/>
    </row>
    <row r="301" spans="10:10">
      <c r="J301" s="42"/>
    </row>
    <row r="302" spans="10:10">
      <c r="J302" s="42"/>
    </row>
    <row r="303" spans="10:10">
      <c r="J303" s="42"/>
    </row>
    <row r="304" spans="10:10">
      <c r="J304" s="42"/>
    </row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2" width="2.7109375" style="33" customWidth="1"/>
    <col min="3" max="3" width="1.7109375" style="33" customWidth="1"/>
    <col min="4" max="4" width="45.7109375" style="33" customWidth="1"/>
    <col min="5" max="5" width="2.7109375" style="33" customWidth="1"/>
    <col min="6" max="9" width="16.85546875" style="33" customWidth="1"/>
    <col min="10" max="11" width="2.5703125" style="33" customWidth="1"/>
    <col min="12" max="16384" width="9.140625" style="33"/>
  </cols>
  <sheetData>
    <row r="2" spans="1:11">
      <c r="B2" s="43"/>
      <c r="C2" s="44"/>
      <c r="D2" s="45"/>
      <c r="E2" s="44"/>
      <c r="F2" s="46"/>
      <c r="G2" s="44"/>
      <c r="H2" s="44"/>
      <c r="I2" s="44"/>
      <c r="J2" s="44"/>
      <c r="K2" s="47"/>
    </row>
    <row r="3" spans="1:1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1:11" s="34" customFormat="1">
      <c r="B4" s="51"/>
      <c r="C4" s="52"/>
      <c r="D4" s="93" t="s">
        <v>66</v>
      </c>
      <c r="E4" s="94"/>
      <c r="F4" s="95">
        <f>tab!E2</f>
        <v>2014</v>
      </c>
      <c r="G4" s="95">
        <f>F4+1</f>
        <v>2015</v>
      </c>
      <c r="H4" s="95">
        <f>G4+1</f>
        <v>2016</v>
      </c>
      <c r="I4" s="95">
        <f>H4+1</f>
        <v>2017</v>
      </c>
      <c r="J4" s="56"/>
      <c r="K4" s="57"/>
    </row>
    <row r="5" spans="1:11">
      <c r="B5" s="48"/>
      <c r="C5" s="49"/>
      <c r="D5" s="49"/>
      <c r="E5" s="58"/>
      <c r="F5" s="49"/>
      <c r="G5" s="49"/>
      <c r="H5" s="49"/>
      <c r="I5" s="49"/>
      <c r="J5" s="59"/>
      <c r="K5" s="60"/>
    </row>
    <row r="6" spans="1:11">
      <c r="B6" s="48"/>
      <c r="C6" s="73"/>
      <c r="D6" s="74"/>
      <c r="E6" s="75"/>
      <c r="F6" s="74"/>
      <c r="G6" s="74"/>
      <c r="H6" s="74"/>
      <c r="I6" s="74"/>
      <c r="J6" s="76"/>
      <c r="K6" s="50"/>
    </row>
    <row r="7" spans="1:11">
      <c r="B7" s="48"/>
      <c r="C7" s="77"/>
      <c r="D7" s="78" t="s">
        <v>105</v>
      </c>
      <c r="E7" s="79"/>
      <c r="F7" s="599"/>
      <c r="G7" s="600"/>
      <c r="H7" s="600"/>
      <c r="I7" s="599"/>
      <c r="J7" s="80"/>
      <c r="K7" s="50"/>
    </row>
    <row r="8" spans="1:11">
      <c r="B8" s="48"/>
      <c r="C8" s="77"/>
      <c r="D8" s="78" t="s">
        <v>106</v>
      </c>
      <c r="E8" s="79"/>
      <c r="F8" s="599"/>
      <c r="G8" s="600"/>
      <c r="H8" s="600"/>
      <c r="I8" s="599"/>
      <c r="J8" s="80"/>
      <c r="K8" s="50"/>
    </row>
    <row r="9" spans="1:11">
      <c r="B9" s="48"/>
      <c r="C9" s="77"/>
      <c r="D9" s="78" t="s">
        <v>108</v>
      </c>
      <c r="E9" s="79"/>
      <c r="F9" s="601"/>
      <c r="G9" s="600"/>
      <c r="H9" s="600"/>
      <c r="I9" s="599"/>
      <c r="J9" s="80"/>
      <c r="K9" s="50"/>
    </row>
    <row r="10" spans="1:11">
      <c r="B10" s="48"/>
      <c r="C10" s="77"/>
      <c r="D10" s="81"/>
      <c r="E10" s="79"/>
      <c r="F10" s="602"/>
      <c r="G10" s="600"/>
      <c r="H10" s="600"/>
      <c r="I10" s="599"/>
      <c r="J10" s="80"/>
      <c r="K10" s="50"/>
    </row>
    <row r="11" spans="1:11">
      <c r="A11" s="39"/>
      <c r="B11" s="63"/>
      <c r="C11" s="82"/>
      <c r="D11" s="78" t="s">
        <v>0</v>
      </c>
      <c r="E11" s="79"/>
      <c r="F11" s="600"/>
      <c r="G11" s="600"/>
      <c r="H11" s="600"/>
      <c r="I11" s="600"/>
      <c r="J11" s="83"/>
      <c r="K11" s="65"/>
    </row>
    <row r="12" spans="1:11">
      <c r="A12" s="39"/>
      <c r="B12" s="63"/>
      <c r="C12" s="82"/>
      <c r="D12" s="78" t="s">
        <v>317</v>
      </c>
      <c r="E12" s="84"/>
      <c r="F12" s="600"/>
      <c r="G12" s="600"/>
      <c r="H12" s="600"/>
      <c r="I12" s="600"/>
      <c r="J12" s="83"/>
      <c r="K12" s="65"/>
    </row>
    <row r="13" spans="1:11">
      <c r="A13" s="39"/>
      <c r="B13" s="63"/>
      <c r="C13" s="82"/>
      <c r="D13" s="78" t="s">
        <v>211</v>
      </c>
      <c r="E13" s="84"/>
      <c r="F13" s="600"/>
      <c r="G13" s="600"/>
      <c r="H13" s="600"/>
      <c r="I13" s="600"/>
      <c r="J13" s="83"/>
      <c r="K13" s="65"/>
    </row>
    <row r="14" spans="1:11">
      <c r="A14" s="39"/>
      <c r="B14" s="63"/>
      <c r="C14" s="82"/>
      <c r="D14" s="78" t="s">
        <v>212</v>
      </c>
      <c r="E14" s="84"/>
      <c r="F14" s="600"/>
      <c r="G14" s="600"/>
      <c r="H14" s="600"/>
      <c r="I14" s="600"/>
      <c r="J14" s="83"/>
      <c r="K14" s="65"/>
    </row>
    <row r="15" spans="1:11">
      <c r="B15" s="48"/>
      <c r="C15" s="77"/>
      <c r="D15" s="79" t="s">
        <v>67</v>
      </c>
      <c r="E15" s="79"/>
      <c r="F15" s="600"/>
      <c r="G15" s="600"/>
      <c r="H15" s="600"/>
      <c r="I15" s="600"/>
      <c r="J15" s="80"/>
      <c r="K15" s="50"/>
    </row>
    <row r="16" spans="1:11">
      <c r="B16" s="48"/>
      <c r="C16" s="77"/>
      <c r="D16" s="79" t="s">
        <v>93</v>
      </c>
      <c r="E16" s="79"/>
      <c r="F16" s="600"/>
      <c r="G16" s="600"/>
      <c r="H16" s="600"/>
      <c r="I16" s="600"/>
      <c r="J16" s="80"/>
      <c r="K16" s="50"/>
    </row>
    <row r="17" spans="2:11">
      <c r="B17" s="48"/>
      <c r="C17" s="77"/>
      <c r="D17" s="79" t="s">
        <v>88</v>
      </c>
      <c r="E17" s="79"/>
      <c r="F17" s="600"/>
      <c r="G17" s="600"/>
      <c r="H17" s="600"/>
      <c r="I17" s="600"/>
      <c r="J17" s="80"/>
      <c r="K17" s="50"/>
    </row>
    <row r="18" spans="2:11">
      <c r="B18" s="48"/>
      <c r="C18" s="77"/>
      <c r="D18" s="79" t="s">
        <v>68</v>
      </c>
      <c r="E18" s="79"/>
      <c r="F18" s="600"/>
      <c r="G18" s="600"/>
      <c r="H18" s="600"/>
      <c r="I18" s="600"/>
      <c r="J18" s="80"/>
      <c r="K18" s="50"/>
    </row>
    <row r="19" spans="2:11">
      <c r="B19" s="48"/>
      <c r="C19" s="77"/>
      <c r="D19" s="79" t="s">
        <v>69</v>
      </c>
      <c r="E19" s="79"/>
      <c r="F19" s="600"/>
      <c r="G19" s="600"/>
      <c r="H19" s="600"/>
      <c r="I19" s="600"/>
      <c r="J19" s="80"/>
      <c r="K19" s="50"/>
    </row>
    <row r="20" spans="2:11">
      <c r="B20" s="48"/>
      <c r="C20" s="77"/>
      <c r="D20" s="79" t="s">
        <v>318</v>
      </c>
      <c r="E20" s="79"/>
      <c r="F20" s="600"/>
      <c r="G20" s="600"/>
      <c r="H20" s="600"/>
      <c r="I20" s="600"/>
      <c r="J20" s="80"/>
      <c r="K20" s="50"/>
    </row>
    <row r="21" spans="2:11">
      <c r="B21" s="48"/>
      <c r="C21" s="77"/>
      <c r="D21" s="78" t="s">
        <v>54</v>
      </c>
      <c r="E21" s="85"/>
      <c r="F21" s="600"/>
      <c r="G21" s="600"/>
      <c r="H21" s="600"/>
      <c r="I21" s="600"/>
      <c r="J21" s="80"/>
      <c r="K21" s="50"/>
    </row>
    <row r="22" spans="2:11">
      <c r="B22" s="48"/>
      <c r="C22" s="77"/>
      <c r="D22" s="78" t="s">
        <v>55</v>
      </c>
      <c r="E22" s="85"/>
      <c r="F22" s="600"/>
      <c r="G22" s="600"/>
      <c r="H22" s="600"/>
      <c r="I22" s="600"/>
      <c r="J22" s="80"/>
      <c r="K22" s="50"/>
    </row>
    <row r="23" spans="2:11">
      <c r="B23" s="48"/>
      <c r="C23" s="77"/>
      <c r="D23" s="78" t="s">
        <v>216</v>
      </c>
      <c r="E23" s="85"/>
      <c r="F23" s="600"/>
      <c r="G23" s="600"/>
      <c r="H23" s="600"/>
      <c r="I23" s="600"/>
      <c r="J23" s="80"/>
      <c r="K23" s="50"/>
    </row>
    <row r="24" spans="2:11">
      <c r="B24" s="48"/>
      <c r="C24" s="77"/>
      <c r="D24" s="78"/>
      <c r="E24" s="85"/>
      <c r="F24" s="600"/>
      <c r="G24" s="600"/>
      <c r="H24" s="600"/>
      <c r="I24" s="600"/>
      <c r="J24" s="80"/>
      <c r="K24" s="50"/>
    </row>
    <row r="25" spans="2:11">
      <c r="B25" s="48"/>
      <c r="C25" s="77"/>
      <c r="D25" s="79" t="s">
        <v>319</v>
      </c>
      <c r="E25" s="79"/>
      <c r="F25" s="600"/>
      <c r="G25" s="600"/>
      <c r="H25" s="600"/>
      <c r="I25" s="600"/>
      <c r="J25" s="80"/>
      <c r="K25" s="50"/>
    </row>
    <row r="26" spans="2:11">
      <c r="B26" s="48"/>
      <c r="C26" s="77"/>
      <c r="D26" s="79" t="s">
        <v>181</v>
      </c>
      <c r="E26" s="79"/>
      <c r="F26" s="600"/>
      <c r="G26" s="600"/>
      <c r="H26" s="600"/>
      <c r="I26" s="600"/>
      <c r="J26" s="80"/>
      <c r="K26" s="50"/>
    </row>
    <row r="27" spans="2:11">
      <c r="B27" s="48"/>
      <c r="C27" s="77"/>
      <c r="D27" s="79" t="s">
        <v>1</v>
      </c>
      <c r="E27" s="79"/>
      <c r="F27" s="600"/>
      <c r="G27" s="600"/>
      <c r="H27" s="600"/>
      <c r="I27" s="600"/>
      <c r="J27" s="80"/>
      <c r="K27" s="50"/>
    </row>
    <row r="28" spans="2:11">
      <c r="B28" s="48"/>
      <c r="C28" s="77"/>
      <c r="D28" s="79" t="s">
        <v>44</v>
      </c>
      <c r="E28" s="79"/>
      <c r="F28" s="600"/>
      <c r="G28" s="600"/>
      <c r="H28" s="600"/>
      <c r="I28" s="600"/>
      <c r="J28" s="80"/>
      <c r="K28" s="50"/>
    </row>
    <row r="29" spans="2:11">
      <c r="B29" s="48"/>
      <c r="C29" s="77"/>
      <c r="D29" s="79" t="s">
        <v>30</v>
      </c>
      <c r="E29" s="79"/>
      <c r="F29" s="600"/>
      <c r="G29" s="600"/>
      <c r="H29" s="600"/>
      <c r="I29" s="600"/>
      <c r="J29" s="80"/>
      <c r="K29" s="50"/>
    </row>
    <row r="30" spans="2:11">
      <c r="B30" s="48"/>
      <c r="C30" s="77"/>
      <c r="D30" s="79" t="s">
        <v>31</v>
      </c>
      <c r="E30" s="79"/>
      <c r="F30" s="600"/>
      <c r="G30" s="600"/>
      <c r="H30" s="600"/>
      <c r="I30" s="600"/>
      <c r="J30" s="80"/>
      <c r="K30" s="50"/>
    </row>
    <row r="31" spans="2:11">
      <c r="B31" s="48"/>
      <c r="C31" s="77"/>
      <c r="D31" s="79"/>
      <c r="E31" s="79"/>
      <c r="F31" s="599"/>
      <c r="G31" s="599"/>
      <c r="H31" s="603"/>
      <c r="I31" s="599"/>
      <c r="J31" s="80"/>
      <c r="K31" s="50"/>
    </row>
    <row r="32" spans="2:11">
      <c r="B32" s="48"/>
      <c r="C32" s="77"/>
      <c r="D32" s="79" t="s">
        <v>112</v>
      </c>
      <c r="E32" s="79"/>
      <c r="F32" s="604"/>
      <c r="G32" s="604"/>
      <c r="H32" s="604"/>
      <c r="I32" s="604"/>
      <c r="J32" s="80"/>
      <c r="K32" s="50"/>
    </row>
    <row r="33" spans="2:11">
      <c r="B33" s="48"/>
      <c r="C33" s="77"/>
      <c r="D33" s="79" t="s">
        <v>113</v>
      </c>
      <c r="E33" s="79"/>
      <c r="F33" s="604"/>
      <c r="G33" s="604"/>
      <c r="H33" s="604"/>
      <c r="I33" s="604"/>
      <c r="J33" s="80"/>
      <c r="K33" s="50"/>
    </row>
    <row r="34" spans="2:11">
      <c r="B34" s="48"/>
      <c r="C34" s="77"/>
      <c r="D34" s="78" t="s">
        <v>114</v>
      </c>
      <c r="E34" s="79"/>
      <c r="F34" s="604"/>
      <c r="G34" s="604"/>
      <c r="H34" s="604"/>
      <c r="I34" s="604"/>
      <c r="J34" s="80"/>
      <c r="K34" s="50"/>
    </row>
    <row r="35" spans="2:11">
      <c r="B35" s="48"/>
      <c r="C35" s="77"/>
      <c r="D35" s="78" t="s">
        <v>115</v>
      </c>
      <c r="E35" s="79"/>
      <c r="F35" s="604"/>
      <c r="G35" s="604"/>
      <c r="H35" s="604"/>
      <c r="I35" s="604"/>
      <c r="J35" s="80"/>
      <c r="K35" s="50"/>
    </row>
    <row r="36" spans="2:11">
      <c r="B36" s="48"/>
      <c r="C36" s="77"/>
      <c r="D36" s="78" t="s">
        <v>121</v>
      </c>
      <c r="E36" s="79"/>
      <c r="F36" s="604"/>
      <c r="G36" s="604"/>
      <c r="H36" s="604"/>
      <c r="I36" s="604"/>
      <c r="J36" s="80"/>
      <c r="K36" s="50"/>
    </row>
    <row r="37" spans="2:11">
      <c r="B37" s="48"/>
      <c r="C37" s="77"/>
      <c r="D37" s="78" t="s">
        <v>160</v>
      </c>
      <c r="E37" s="79"/>
      <c r="F37" s="604"/>
      <c r="G37" s="604"/>
      <c r="H37" s="604"/>
      <c r="I37" s="604"/>
      <c r="J37" s="80"/>
      <c r="K37" s="50"/>
    </row>
    <row r="38" spans="2:11">
      <c r="B38" s="48"/>
      <c r="C38" s="77"/>
      <c r="D38" s="78" t="s">
        <v>161</v>
      </c>
      <c r="E38" s="79"/>
      <c r="F38" s="604"/>
      <c r="G38" s="604"/>
      <c r="H38" s="604"/>
      <c r="I38" s="604"/>
      <c r="J38" s="80"/>
      <c r="K38" s="50"/>
    </row>
    <row r="39" spans="2:11">
      <c r="B39" s="48"/>
      <c r="C39" s="77"/>
      <c r="D39" s="78" t="s">
        <v>162</v>
      </c>
      <c r="E39" s="79"/>
      <c r="F39" s="604"/>
      <c r="G39" s="604"/>
      <c r="H39" s="604"/>
      <c r="I39" s="604"/>
      <c r="J39" s="80"/>
      <c r="K39" s="50"/>
    </row>
    <row r="40" spans="2:11">
      <c r="B40" s="48"/>
      <c r="C40" s="77"/>
      <c r="D40" s="78" t="s">
        <v>163</v>
      </c>
      <c r="E40" s="79"/>
      <c r="F40" s="604"/>
      <c r="G40" s="604"/>
      <c r="H40" s="604"/>
      <c r="I40" s="604"/>
      <c r="J40" s="80"/>
      <c r="K40" s="50"/>
    </row>
    <row r="41" spans="2:11">
      <c r="B41" s="48"/>
      <c r="C41" s="77"/>
      <c r="D41" s="78" t="s">
        <v>164</v>
      </c>
      <c r="E41" s="79"/>
      <c r="F41" s="604"/>
      <c r="G41" s="604"/>
      <c r="H41" s="604"/>
      <c r="I41" s="604"/>
      <c r="J41" s="80"/>
      <c r="K41" s="50"/>
    </row>
    <row r="42" spans="2:11">
      <c r="B42" s="48"/>
      <c r="C42" s="77"/>
      <c r="D42" s="86" t="s">
        <v>165</v>
      </c>
      <c r="E42" s="79"/>
      <c r="F42" s="604"/>
      <c r="G42" s="604"/>
      <c r="H42" s="604"/>
      <c r="I42" s="604"/>
      <c r="J42" s="80"/>
      <c r="K42" s="50"/>
    </row>
    <row r="43" spans="2:11">
      <c r="B43" s="48"/>
      <c r="C43" s="77"/>
      <c r="D43" s="86" t="s">
        <v>166</v>
      </c>
      <c r="E43" s="79"/>
      <c r="F43" s="604"/>
      <c r="G43" s="604"/>
      <c r="H43" s="604"/>
      <c r="I43" s="604"/>
      <c r="J43" s="80"/>
      <c r="K43" s="50"/>
    </row>
    <row r="44" spans="2:11">
      <c r="B44" s="48"/>
      <c r="C44" s="77"/>
      <c r="D44" s="86" t="s">
        <v>167</v>
      </c>
      <c r="E44" s="79"/>
      <c r="F44" s="604"/>
      <c r="G44" s="604"/>
      <c r="H44" s="604"/>
      <c r="I44" s="604"/>
      <c r="J44" s="80"/>
      <c r="K44" s="50"/>
    </row>
    <row r="45" spans="2:11">
      <c r="B45" s="48"/>
      <c r="C45" s="77"/>
      <c r="D45" s="86" t="s">
        <v>168</v>
      </c>
      <c r="E45" s="79"/>
      <c r="F45" s="604"/>
      <c r="G45" s="604"/>
      <c r="H45" s="604"/>
      <c r="I45" s="604"/>
      <c r="J45" s="80"/>
      <c r="K45" s="50"/>
    </row>
    <row r="46" spans="2:11">
      <c r="B46" s="48"/>
      <c r="C46" s="77"/>
      <c r="D46" s="86" t="s">
        <v>169</v>
      </c>
      <c r="E46" s="79"/>
      <c r="F46" s="604"/>
      <c r="G46" s="604"/>
      <c r="H46" s="604"/>
      <c r="I46" s="604"/>
      <c r="J46" s="80"/>
      <c r="K46" s="50"/>
    </row>
    <row r="47" spans="2:11">
      <c r="B47" s="48"/>
      <c r="C47" s="77"/>
      <c r="D47" s="86" t="s">
        <v>170</v>
      </c>
      <c r="E47" s="79"/>
      <c r="F47" s="604"/>
      <c r="G47" s="604"/>
      <c r="H47" s="604"/>
      <c r="I47" s="604"/>
      <c r="J47" s="80"/>
      <c r="K47" s="50"/>
    </row>
    <row r="48" spans="2:11">
      <c r="B48" s="48"/>
      <c r="C48" s="77"/>
      <c r="D48" s="86" t="s">
        <v>171</v>
      </c>
      <c r="E48" s="79"/>
      <c r="F48" s="604"/>
      <c r="G48" s="604"/>
      <c r="H48" s="604"/>
      <c r="I48" s="604"/>
      <c r="J48" s="80"/>
      <c r="K48" s="50"/>
    </row>
    <row r="49" spans="2:11">
      <c r="B49" s="48"/>
      <c r="C49" s="77"/>
      <c r="D49" s="86" t="s">
        <v>172</v>
      </c>
      <c r="E49" s="79"/>
      <c r="F49" s="604"/>
      <c r="G49" s="604"/>
      <c r="H49" s="604"/>
      <c r="I49" s="604"/>
      <c r="J49" s="80"/>
      <c r="K49" s="50"/>
    </row>
    <row r="50" spans="2:11">
      <c r="B50" s="48"/>
      <c r="C50" s="77"/>
      <c r="D50" s="78"/>
      <c r="E50" s="79"/>
      <c r="F50" s="604"/>
      <c r="G50" s="604"/>
      <c r="H50" s="604"/>
      <c r="I50" s="604"/>
      <c r="J50" s="80"/>
      <c r="K50" s="50"/>
    </row>
    <row r="51" spans="2:11">
      <c r="B51" s="48"/>
      <c r="C51" s="77"/>
      <c r="D51" s="78" t="s">
        <v>256</v>
      </c>
      <c r="E51" s="79"/>
      <c r="F51" s="600"/>
      <c r="G51" s="600"/>
      <c r="H51" s="600"/>
      <c r="I51" s="600"/>
      <c r="J51" s="80"/>
      <c r="K51" s="50"/>
    </row>
    <row r="52" spans="2:11">
      <c r="B52" s="48"/>
      <c r="C52" s="77"/>
      <c r="D52" s="78" t="s">
        <v>257</v>
      </c>
      <c r="E52" s="79"/>
      <c r="F52" s="600"/>
      <c r="G52" s="600"/>
      <c r="H52" s="600"/>
      <c r="I52" s="600"/>
      <c r="J52" s="80"/>
      <c r="K52" s="50"/>
    </row>
    <row r="53" spans="2:11">
      <c r="B53" s="48"/>
      <c r="C53" s="77"/>
      <c r="D53" s="79" t="s">
        <v>258</v>
      </c>
      <c r="E53" s="79"/>
      <c r="F53" s="600"/>
      <c r="G53" s="600"/>
      <c r="H53" s="600"/>
      <c r="I53" s="600"/>
      <c r="J53" s="80"/>
      <c r="K53" s="50"/>
    </row>
    <row r="54" spans="2:11">
      <c r="B54" s="48"/>
      <c r="C54" s="77"/>
      <c r="D54" s="87" t="s">
        <v>116</v>
      </c>
      <c r="E54" s="79"/>
      <c r="F54" s="605"/>
      <c r="G54" s="605"/>
      <c r="H54" s="605"/>
      <c r="I54" s="605"/>
      <c r="J54" s="80"/>
      <c r="K54" s="50"/>
    </row>
    <row r="55" spans="2:11">
      <c r="B55" s="48"/>
      <c r="C55" s="77"/>
      <c r="D55" s="87" t="s">
        <v>117</v>
      </c>
      <c r="E55" s="79"/>
      <c r="F55" s="605"/>
      <c r="G55" s="605"/>
      <c r="H55" s="605"/>
      <c r="I55" s="605"/>
      <c r="J55" s="80"/>
      <c r="K55" s="50"/>
    </row>
    <row r="56" spans="2:11">
      <c r="B56" s="48"/>
      <c r="C56" s="77"/>
      <c r="D56" s="87" t="s">
        <v>343</v>
      </c>
      <c r="E56" s="79"/>
      <c r="F56" s="605"/>
      <c r="G56" s="605"/>
      <c r="H56" s="605"/>
      <c r="I56" s="605"/>
      <c r="J56" s="80"/>
      <c r="K56" s="50"/>
    </row>
    <row r="57" spans="2:11">
      <c r="B57" s="48"/>
      <c r="C57" s="77"/>
      <c r="D57" s="79"/>
      <c r="E57" s="79"/>
      <c r="F57" s="600"/>
      <c r="G57" s="600"/>
      <c r="H57" s="600"/>
      <c r="I57" s="600"/>
      <c r="J57" s="80"/>
      <c r="K57" s="50"/>
    </row>
    <row r="58" spans="2:11">
      <c r="B58" s="48"/>
      <c r="C58" s="77"/>
      <c r="D58" s="79" t="s">
        <v>102</v>
      </c>
      <c r="E58" s="79"/>
      <c r="F58" s="600"/>
      <c r="G58" s="600"/>
      <c r="H58" s="600"/>
      <c r="I58" s="600"/>
      <c r="J58" s="80"/>
      <c r="K58" s="50"/>
    </row>
    <row r="59" spans="2:11">
      <c r="B59" s="48"/>
      <c r="C59" s="77"/>
      <c r="D59" s="79" t="s">
        <v>103</v>
      </c>
      <c r="E59" s="79"/>
      <c r="F59" s="600"/>
      <c r="G59" s="600"/>
      <c r="H59" s="600"/>
      <c r="I59" s="600"/>
      <c r="J59" s="80"/>
      <c r="K59" s="50"/>
    </row>
    <row r="60" spans="2:11">
      <c r="B60" s="48"/>
      <c r="C60" s="77"/>
      <c r="D60" s="79"/>
      <c r="E60" s="79"/>
      <c r="F60" s="600"/>
      <c r="G60" s="600"/>
      <c r="H60" s="600"/>
      <c r="I60" s="600"/>
      <c r="J60" s="80"/>
      <c r="K60" s="50"/>
    </row>
    <row r="61" spans="2:11">
      <c r="B61" s="48"/>
      <c r="C61" s="77"/>
      <c r="D61" s="78" t="s">
        <v>227</v>
      </c>
      <c r="E61" s="79"/>
      <c r="F61" s="600"/>
      <c r="G61" s="600"/>
      <c r="H61" s="600"/>
      <c r="I61" s="600"/>
      <c r="J61" s="80"/>
      <c r="K61" s="50"/>
    </row>
    <row r="62" spans="2:11">
      <c r="B62" s="48"/>
      <c r="C62" s="77"/>
      <c r="D62" s="78" t="s">
        <v>228</v>
      </c>
      <c r="E62" s="79"/>
      <c r="F62" s="600"/>
      <c r="G62" s="600"/>
      <c r="H62" s="600"/>
      <c r="I62" s="600"/>
      <c r="J62" s="80"/>
      <c r="K62" s="50"/>
    </row>
    <row r="63" spans="2:11">
      <c r="B63" s="48"/>
      <c r="C63" s="77"/>
      <c r="D63" s="79"/>
      <c r="E63" s="79"/>
      <c r="F63" s="600"/>
      <c r="G63" s="600"/>
      <c r="H63" s="600"/>
      <c r="I63" s="600"/>
      <c r="J63" s="80"/>
      <c r="K63" s="50"/>
    </row>
    <row r="64" spans="2:11">
      <c r="B64" s="48"/>
      <c r="C64" s="77"/>
      <c r="D64" s="78" t="s">
        <v>80</v>
      </c>
      <c r="E64" s="79"/>
      <c r="F64" s="600"/>
      <c r="G64" s="600"/>
      <c r="H64" s="600"/>
      <c r="I64" s="600"/>
      <c r="J64" s="80"/>
      <c r="K64" s="50"/>
    </row>
    <row r="65" spans="2:11">
      <c r="B65" s="48"/>
      <c r="C65" s="77"/>
      <c r="D65" s="78" t="s">
        <v>239</v>
      </c>
      <c r="E65" s="79"/>
      <c r="F65" s="600"/>
      <c r="G65" s="600"/>
      <c r="H65" s="600"/>
      <c r="I65" s="600"/>
      <c r="J65" s="80"/>
      <c r="K65" s="50"/>
    </row>
    <row r="66" spans="2:11">
      <c r="B66" s="48"/>
      <c r="C66" s="77"/>
      <c r="D66" s="78" t="s">
        <v>91</v>
      </c>
      <c r="E66" s="79"/>
      <c r="F66" s="600"/>
      <c r="G66" s="600"/>
      <c r="H66" s="600"/>
      <c r="I66" s="600"/>
      <c r="J66" s="80"/>
      <c r="K66" s="50"/>
    </row>
    <row r="67" spans="2:11">
      <c r="B67" s="48"/>
      <c r="C67" s="77"/>
      <c r="D67" s="78" t="s">
        <v>94</v>
      </c>
      <c r="E67" s="79"/>
      <c r="F67" s="600"/>
      <c r="G67" s="600"/>
      <c r="H67" s="600"/>
      <c r="I67" s="600"/>
      <c r="J67" s="80"/>
      <c r="K67" s="50"/>
    </row>
    <row r="68" spans="2:11">
      <c r="B68" s="48"/>
      <c r="C68" s="77"/>
      <c r="D68" s="78" t="s">
        <v>95</v>
      </c>
      <c r="E68" s="79"/>
      <c r="F68" s="600"/>
      <c r="G68" s="600"/>
      <c r="H68" s="600"/>
      <c r="I68" s="600"/>
      <c r="J68" s="80"/>
      <c r="K68" s="50"/>
    </row>
    <row r="69" spans="2:11">
      <c r="B69" s="48"/>
      <c r="C69" s="77"/>
      <c r="D69" s="78" t="s">
        <v>96</v>
      </c>
      <c r="E69" s="79"/>
      <c r="F69" s="600"/>
      <c r="G69" s="600"/>
      <c r="H69" s="600"/>
      <c r="I69" s="600"/>
      <c r="J69" s="80"/>
      <c r="K69" s="50"/>
    </row>
    <row r="70" spans="2:11">
      <c r="B70" s="48"/>
      <c r="C70" s="77"/>
      <c r="D70" s="78" t="s">
        <v>97</v>
      </c>
      <c r="E70" s="79"/>
      <c r="F70" s="600"/>
      <c r="G70" s="600"/>
      <c r="H70" s="600"/>
      <c r="I70" s="600"/>
      <c r="J70" s="80"/>
      <c r="K70" s="50"/>
    </row>
    <row r="71" spans="2:11">
      <c r="B71" s="48"/>
      <c r="C71" s="77"/>
      <c r="D71" s="78" t="s">
        <v>98</v>
      </c>
      <c r="E71" s="79"/>
      <c r="F71" s="600"/>
      <c r="G71" s="600"/>
      <c r="H71" s="600"/>
      <c r="I71" s="600"/>
      <c r="J71" s="80"/>
      <c r="K71" s="50"/>
    </row>
    <row r="72" spans="2:11">
      <c r="B72" s="48"/>
      <c r="C72" s="77"/>
      <c r="D72" s="78" t="s">
        <v>99</v>
      </c>
      <c r="E72" s="79"/>
      <c r="F72" s="600"/>
      <c r="G72" s="600"/>
      <c r="H72" s="600"/>
      <c r="I72" s="600"/>
      <c r="J72" s="80"/>
      <c r="K72" s="50"/>
    </row>
    <row r="73" spans="2:11">
      <c r="B73" s="48"/>
      <c r="C73" s="77"/>
      <c r="D73" s="78" t="s">
        <v>100</v>
      </c>
      <c r="E73" s="79"/>
      <c r="F73" s="600"/>
      <c r="G73" s="600"/>
      <c r="H73" s="600"/>
      <c r="I73" s="600"/>
      <c r="J73" s="80"/>
      <c r="K73" s="50"/>
    </row>
    <row r="74" spans="2:11">
      <c r="B74" s="48"/>
      <c r="C74" s="77"/>
      <c r="D74" s="78" t="s">
        <v>101</v>
      </c>
      <c r="E74" s="79"/>
      <c r="F74" s="600"/>
      <c r="G74" s="600"/>
      <c r="H74" s="600"/>
      <c r="I74" s="600"/>
      <c r="J74" s="80"/>
      <c r="K74" s="50"/>
    </row>
    <row r="75" spans="2:11">
      <c r="B75" s="48"/>
      <c r="C75" s="77"/>
      <c r="D75" s="78" t="s">
        <v>90</v>
      </c>
      <c r="E75" s="79"/>
      <c r="F75" s="600"/>
      <c r="G75" s="600"/>
      <c r="H75" s="600"/>
      <c r="I75" s="600"/>
      <c r="J75" s="80"/>
      <c r="K75" s="50"/>
    </row>
    <row r="76" spans="2:11">
      <c r="B76" s="48"/>
      <c r="C76" s="77"/>
      <c r="D76" s="78" t="s">
        <v>336</v>
      </c>
      <c r="E76" s="79"/>
      <c r="F76" s="600"/>
      <c r="G76" s="600"/>
      <c r="H76" s="600"/>
      <c r="I76" s="600"/>
      <c r="J76" s="80"/>
      <c r="K76" s="50"/>
    </row>
    <row r="77" spans="2:11">
      <c r="B77" s="48"/>
      <c r="C77" s="77"/>
      <c r="D77" s="78" t="s">
        <v>337</v>
      </c>
      <c r="E77" s="79"/>
      <c r="F77" s="600"/>
      <c r="G77" s="600"/>
      <c r="H77" s="600"/>
      <c r="I77" s="600"/>
      <c r="J77" s="80"/>
      <c r="K77" s="50"/>
    </row>
    <row r="78" spans="2:11">
      <c r="B78" s="48"/>
      <c r="C78" s="88"/>
      <c r="D78" s="89"/>
      <c r="E78" s="89"/>
      <c r="F78" s="89"/>
      <c r="G78" s="89"/>
      <c r="H78" s="90"/>
      <c r="I78" s="89"/>
      <c r="J78" s="91"/>
      <c r="K78" s="50"/>
    </row>
    <row r="79" spans="2:11">
      <c r="B79" s="48"/>
      <c r="C79" s="49"/>
      <c r="D79" s="49"/>
      <c r="E79" s="49"/>
      <c r="F79" s="49"/>
      <c r="G79" s="49"/>
      <c r="H79" s="68"/>
      <c r="I79" s="49"/>
      <c r="J79" s="49"/>
      <c r="K79" s="50"/>
    </row>
    <row r="80" spans="2:11">
      <c r="B80" s="69"/>
      <c r="C80" s="70"/>
      <c r="D80" s="70"/>
      <c r="E80" s="70"/>
      <c r="F80" s="70"/>
      <c r="G80" s="70"/>
      <c r="H80" s="71"/>
      <c r="I80" s="70"/>
      <c r="J80" s="70"/>
      <c r="K80" s="72"/>
    </row>
    <row r="81" spans="8:8">
      <c r="H81" s="42"/>
    </row>
    <row r="82" spans="8:8">
      <c r="H82" s="42"/>
    </row>
    <row r="83" spans="8:8">
      <c r="H83" s="42"/>
    </row>
    <row r="84" spans="8:8">
      <c r="H84" s="42"/>
    </row>
    <row r="85" spans="8:8">
      <c r="H85" s="42"/>
    </row>
    <row r="86" spans="8:8">
      <c r="H86" s="42"/>
    </row>
    <row r="87" spans="8:8">
      <c r="H87" s="42"/>
    </row>
    <row r="88" spans="8:8">
      <c r="H88" s="42"/>
    </row>
    <row r="89" spans="8:8">
      <c r="H89" s="42"/>
    </row>
    <row r="90" spans="8:8">
      <c r="H90" s="42"/>
    </row>
    <row r="91" spans="8:8">
      <c r="H91" s="42"/>
    </row>
    <row r="92" spans="8:8">
      <c r="H92" s="42"/>
    </row>
    <row r="93" spans="8:8">
      <c r="H93" s="42"/>
    </row>
    <row r="94" spans="8:8">
      <c r="H94" s="42"/>
    </row>
    <row r="95" spans="8:8">
      <c r="H95" s="42"/>
    </row>
    <row r="96" spans="8:8">
      <c r="H96" s="42"/>
    </row>
    <row r="97" spans="8:8">
      <c r="H97" s="42"/>
    </row>
    <row r="98" spans="8:8">
      <c r="H98" s="42"/>
    </row>
    <row r="99" spans="8:8">
      <c r="H99" s="42"/>
    </row>
    <row r="100" spans="8:8">
      <c r="H100" s="42"/>
    </row>
    <row r="101" spans="8:8">
      <c r="H101" s="42"/>
    </row>
    <row r="102" spans="8:8">
      <c r="H102" s="42"/>
    </row>
    <row r="103" spans="8:8">
      <c r="H103" s="42"/>
    </row>
    <row r="104" spans="8:8">
      <c r="H104" s="42"/>
    </row>
    <row r="105" spans="8:8">
      <c r="H105" s="42"/>
    </row>
    <row r="106" spans="8:8">
      <c r="H106" s="42"/>
    </row>
    <row r="107" spans="8:8">
      <c r="H107" s="42"/>
    </row>
    <row r="108" spans="8:8">
      <c r="H108" s="42"/>
    </row>
    <row r="109" spans="8:8">
      <c r="H109" s="42"/>
    </row>
    <row r="110" spans="8:8">
      <c r="H110" s="42"/>
    </row>
    <row r="111" spans="8:8">
      <c r="H111" s="42"/>
    </row>
    <row r="112" spans="8:8">
      <c r="H112" s="42"/>
    </row>
    <row r="113" spans="8:8">
      <c r="H113" s="42"/>
    </row>
    <row r="114" spans="8:8">
      <c r="H114" s="42"/>
    </row>
    <row r="115" spans="8:8">
      <c r="H115" s="42"/>
    </row>
    <row r="116" spans="8:8">
      <c r="H116" s="42"/>
    </row>
    <row r="117" spans="8:8">
      <c r="H117" s="42"/>
    </row>
    <row r="118" spans="8:8">
      <c r="H118" s="42"/>
    </row>
    <row r="119" spans="8:8">
      <c r="H119" s="42"/>
    </row>
    <row r="120" spans="8:8">
      <c r="H120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B1:AO237"/>
  <sheetViews>
    <sheetView showGridLines="0" zoomScale="85" zoomScaleNormal="85" workbookViewId="0">
      <pane ySplit="14" topLeftCell="A15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3" width="2.7109375" style="33" customWidth="1"/>
    <col min="4" max="4" width="10.7109375" style="38" customWidth="1"/>
    <col min="5" max="6" width="20.7109375" style="38" customWidth="1"/>
    <col min="7" max="8" width="8.7109375" style="97" customWidth="1"/>
    <col min="9" max="10" width="8.7109375" style="115" customWidth="1"/>
    <col min="11" max="11" width="8.7109375" style="116" customWidth="1"/>
    <col min="12" max="12" width="8.7109375" style="115" customWidth="1"/>
    <col min="13" max="13" width="8.7109375" style="117" customWidth="1"/>
    <col min="14" max="14" width="0.85546875" style="33" customWidth="1"/>
    <col min="15" max="15" width="10.7109375" style="118" customWidth="1"/>
    <col min="16" max="16" width="12.7109375" style="33" customWidth="1"/>
    <col min="17" max="17" width="10.7109375" style="33" customWidth="1"/>
    <col min="18" max="18" width="12.7109375" style="33" customWidth="1"/>
    <col min="19" max="19" width="10.7109375" style="33" customWidth="1"/>
    <col min="20" max="20" width="12.7109375" style="119" customWidth="1"/>
    <col min="21" max="21" width="10.7109375" style="120" hidden="1" customWidth="1"/>
    <col min="22" max="22" width="10.7109375" style="99" customWidth="1"/>
    <col min="23" max="23" width="3" style="33" customWidth="1"/>
    <col min="24" max="24" width="2.7109375" style="33" customWidth="1"/>
    <col min="25" max="25" width="20.7109375" style="33" customWidth="1"/>
    <col min="26" max="28" width="8.7109375" style="33" customWidth="1"/>
    <col min="29" max="29" width="8.7109375" style="97" customWidth="1"/>
    <col min="30" max="30" width="1.5703125" style="42" customWidth="1"/>
    <col min="31" max="31" width="1.7109375" style="33" customWidth="1"/>
    <col min="32" max="35" width="8.7109375" style="33" customWidth="1"/>
    <col min="36" max="36" width="1.5703125" style="33" customWidth="1"/>
    <col min="37" max="37" width="12.7109375" style="33" customWidth="1"/>
    <col min="38" max="38" width="12.7109375" style="97" customWidth="1"/>
    <col min="39" max="39" width="12.7109375" style="42" customWidth="1"/>
    <col min="40" max="40" width="12.7109375" style="33" customWidth="1"/>
    <col min="41" max="41" width="1.5703125" style="33" customWidth="1"/>
    <col min="42" max="43" width="10.7109375" style="33" customWidth="1"/>
    <col min="44" max="45" width="2.7109375" style="33" customWidth="1"/>
    <col min="46" max="51" width="9.28515625" style="33" bestFit="1" customWidth="1"/>
    <col min="52" max="16384" width="9.140625" style="33"/>
  </cols>
  <sheetData>
    <row r="1" spans="2:41" ht="12.75" customHeight="1"/>
    <row r="2" spans="2:41">
      <c r="B2" s="43" t="s">
        <v>107</v>
      </c>
      <c r="C2" s="44"/>
      <c r="D2" s="261"/>
      <c r="E2" s="261"/>
      <c r="F2" s="261"/>
      <c r="G2" s="262"/>
      <c r="H2" s="262"/>
      <c r="I2" s="263"/>
      <c r="J2" s="263"/>
      <c r="K2" s="264"/>
      <c r="L2" s="263"/>
      <c r="M2" s="265"/>
      <c r="N2" s="44"/>
      <c r="O2" s="266"/>
      <c r="P2" s="44"/>
      <c r="Q2" s="44"/>
      <c r="R2" s="44"/>
      <c r="S2" s="44"/>
      <c r="T2" s="267"/>
      <c r="U2" s="268"/>
      <c r="V2" s="269"/>
      <c r="W2" s="44"/>
      <c r="X2" s="47"/>
    </row>
    <row r="3" spans="2:41">
      <c r="B3" s="48"/>
      <c r="C3" s="49"/>
      <c r="D3" s="61"/>
      <c r="E3" s="61"/>
      <c r="F3" s="61"/>
      <c r="G3" s="164"/>
      <c r="H3" s="164"/>
      <c r="I3" s="270"/>
      <c r="J3" s="270"/>
      <c r="K3" s="271"/>
      <c r="L3" s="270"/>
      <c r="M3" s="272"/>
      <c r="N3" s="49"/>
      <c r="O3" s="273"/>
      <c r="P3" s="49"/>
      <c r="Q3" s="49"/>
      <c r="R3" s="49"/>
      <c r="S3" s="49"/>
      <c r="T3" s="181"/>
      <c r="U3" s="274"/>
      <c r="V3" s="275"/>
      <c r="W3" s="49"/>
      <c r="X3" s="50"/>
    </row>
    <row r="4" spans="2:41" s="121" customFormat="1" ht="18.75">
      <c r="B4" s="276"/>
      <c r="C4" s="380" t="s">
        <v>189</v>
      </c>
      <c r="D4" s="278"/>
      <c r="E4" s="278"/>
      <c r="F4" s="278"/>
      <c r="G4" s="279"/>
      <c r="H4" s="279"/>
      <c r="I4" s="280"/>
      <c r="J4" s="280"/>
      <c r="K4" s="281"/>
      <c r="L4" s="280"/>
      <c r="M4" s="282"/>
      <c r="N4" s="278"/>
      <c r="O4" s="283"/>
      <c r="P4" s="278"/>
      <c r="Q4" s="278"/>
      <c r="R4" s="278"/>
      <c r="S4" s="278"/>
      <c r="T4" s="284"/>
      <c r="U4" s="285"/>
      <c r="V4" s="286"/>
      <c r="W4" s="278"/>
      <c r="X4" s="287"/>
      <c r="AC4" s="126"/>
      <c r="AD4" s="125"/>
      <c r="AE4" s="126"/>
      <c r="AF4" s="126"/>
      <c r="AG4" s="126"/>
      <c r="AH4" s="126"/>
      <c r="AI4" s="123"/>
      <c r="AJ4" s="122"/>
      <c r="AK4" s="124"/>
      <c r="AL4" s="127"/>
      <c r="AM4" s="123"/>
    </row>
    <row r="5" spans="2:41" ht="12.75" customHeight="1">
      <c r="B5" s="48"/>
      <c r="C5" s="49"/>
      <c r="D5" s="49"/>
      <c r="E5" s="49"/>
      <c r="F5" s="61"/>
      <c r="G5" s="164"/>
      <c r="H5" s="164"/>
      <c r="I5" s="270"/>
      <c r="J5" s="270"/>
      <c r="K5" s="271"/>
      <c r="L5" s="270"/>
      <c r="M5" s="272"/>
      <c r="N5" s="49"/>
      <c r="O5" s="273"/>
      <c r="P5" s="49"/>
      <c r="Q5" s="49"/>
      <c r="R5" s="49"/>
      <c r="S5" s="49"/>
      <c r="T5" s="181"/>
      <c r="U5" s="274"/>
      <c r="V5" s="275"/>
      <c r="W5" s="49"/>
      <c r="X5" s="50"/>
      <c r="AC5" s="41"/>
      <c r="AD5" s="99"/>
      <c r="AE5" s="41"/>
      <c r="AF5" s="41"/>
      <c r="AG5" s="41"/>
      <c r="AH5" s="41"/>
      <c r="AI5" s="116"/>
      <c r="AJ5" s="115"/>
      <c r="AK5" s="117"/>
      <c r="AL5" s="128"/>
      <c r="AM5" s="116"/>
    </row>
    <row r="6" spans="2:41" ht="12.75" customHeight="1">
      <c r="B6" s="48"/>
      <c r="C6" s="49"/>
      <c r="D6" s="49"/>
      <c r="E6" s="49"/>
      <c r="F6" s="288"/>
      <c r="G6" s="162"/>
      <c r="H6" s="162"/>
      <c r="I6" s="270"/>
      <c r="J6" s="270"/>
      <c r="K6" s="271"/>
      <c r="L6" s="270"/>
      <c r="M6" s="272"/>
      <c r="N6" s="49"/>
      <c r="O6" s="273"/>
      <c r="P6" s="49"/>
      <c r="Q6" s="49"/>
      <c r="R6" s="49"/>
      <c r="S6" s="49"/>
      <c r="T6" s="181"/>
      <c r="U6" s="274"/>
      <c r="V6" s="275"/>
      <c r="W6" s="49"/>
      <c r="X6" s="50"/>
      <c r="AC6" s="41"/>
      <c r="AD6" s="99"/>
      <c r="AE6" s="41"/>
      <c r="AF6" s="41"/>
      <c r="AG6" s="41"/>
      <c r="AH6" s="41"/>
      <c r="AI6" s="116"/>
      <c r="AJ6" s="115"/>
      <c r="AK6" s="117"/>
      <c r="AL6" s="128"/>
      <c r="AM6" s="116"/>
    </row>
    <row r="7" spans="2:41" ht="12.75" customHeight="1">
      <c r="B7" s="48"/>
      <c r="C7" s="49" t="s">
        <v>33</v>
      </c>
      <c r="D7" s="61"/>
      <c r="E7" s="289" t="str">
        <f>tab!D3</f>
        <v>2013/14</v>
      </c>
      <c r="F7" s="288"/>
      <c r="G7" s="162"/>
      <c r="H7" s="162"/>
      <c r="I7" s="270"/>
      <c r="J7" s="270"/>
      <c r="K7" s="271"/>
      <c r="L7" s="270"/>
      <c r="M7" s="272"/>
      <c r="N7" s="49"/>
      <c r="O7" s="273"/>
      <c r="P7" s="49"/>
      <c r="Q7" s="49"/>
      <c r="R7" s="49"/>
      <c r="S7" s="49"/>
      <c r="T7" s="181"/>
      <c r="U7" s="274"/>
      <c r="V7" s="275"/>
      <c r="W7" s="49"/>
      <c r="X7" s="50"/>
      <c r="AC7" s="41"/>
      <c r="AD7" s="99"/>
      <c r="AE7" s="41"/>
      <c r="AF7" s="41"/>
      <c r="AG7" s="41"/>
      <c r="AH7" s="41"/>
      <c r="AI7" s="116"/>
      <c r="AJ7" s="115"/>
      <c r="AK7" s="117"/>
      <c r="AL7" s="128"/>
      <c r="AM7" s="116"/>
    </row>
    <row r="8" spans="2:41" ht="12.75" customHeight="1">
      <c r="B8" s="48"/>
      <c r="C8" s="49" t="s">
        <v>40</v>
      </c>
      <c r="D8" s="61"/>
      <c r="E8" s="290">
        <f>tab!E4</f>
        <v>41548</v>
      </c>
      <c r="F8" s="288"/>
      <c r="G8" s="162"/>
      <c r="H8" s="162"/>
      <c r="I8" s="270"/>
      <c r="J8" s="270"/>
      <c r="K8" s="271"/>
      <c r="L8" s="270"/>
      <c r="M8" s="272"/>
      <c r="N8" s="49"/>
      <c r="O8" s="273"/>
      <c r="P8" s="49"/>
      <c r="Q8" s="49"/>
      <c r="R8" s="49"/>
      <c r="S8" s="49"/>
      <c r="T8" s="181"/>
      <c r="U8" s="274"/>
      <c r="V8" s="275"/>
      <c r="W8" s="49"/>
      <c r="X8" s="50"/>
      <c r="AC8" s="41"/>
      <c r="AD8" s="99"/>
      <c r="AE8" s="41"/>
      <c r="AF8" s="41"/>
      <c r="AG8" s="41"/>
      <c r="AH8" s="41"/>
      <c r="AI8" s="116"/>
      <c r="AJ8" s="115"/>
      <c r="AK8" s="117"/>
      <c r="AL8" s="128"/>
      <c r="AM8" s="116"/>
    </row>
    <row r="9" spans="2:41" ht="12.75" customHeight="1">
      <c r="B9" s="48"/>
      <c r="C9" s="49"/>
      <c r="D9" s="61"/>
      <c r="E9" s="291"/>
      <c r="F9" s="288"/>
      <c r="G9" s="162"/>
      <c r="H9" s="162"/>
      <c r="I9" s="270"/>
      <c r="J9" s="270"/>
      <c r="K9" s="271"/>
      <c r="L9" s="270"/>
      <c r="M9" s="272"/>
      <c r="N9" s="49"/>
      <c r="O9" s="273"/>
      <c r="P9" s="49"/>
      <c r="Q9" s="49"/>
      <c r="R9" s="49"/>
      <c r="S9" s="49"/>
      <c r="T9" s="181"/>
      <c r="U9" s="274"/>
      <c r="V9" s="275"/>
      <c r="W9" s="49"/>
      <c r="X9" s="50"/>
      <c r="AC9" s="130"/>
      <c r="AD9" s="131"/>
      <c r="AE9" s="130"/>
      <c r="AF9" s="130"/>
      <c r="AG9" s="130"/>
      <c r="AH9" s="41"/>
      <c r="AI9" s="132"/>
      <c r="AJ9" s="133"/>
      <c r="AK9" s="134"/>
      <c r="AL9" s="135"/>
      <c r="AM9" s="132"/>
    </row>
    <row r="10" spans="2:41" ht="12.75" customHeight="1">
      <c r="B10" s="48"/>
      <c r="C10" s="73"/>
      <c r="D10" s="311"/>
      <c r="E10" s="312"/>
      <c r="F10" s="313"/>
      <c r="G10" s="186"/>
      <c r="H10" s="314"/>
      <c r="I10" s="315"/>
      <c r="J10" s="315"/>
      <c r="K10" s="316"/>
      <c r="L10" s="315"/>
      <c r="M10" s="317"/>
      <c r="N10" s="74"/>
      <c r="O10" s="318"/>
      <c r="P10" s="74"/>
      <c r="Q10" s="74"/>
      <c r="R10" s="74"/>
      <c r="S10" s="74"/>
      <c r="T10" s="319"/>
      <c r="U10" s="320"/>
      <c r="V10" s="188"/>
      <c r="W10" s="189"/>
      <c r="X10" s="50"/>
      <c r="AC10" s="41"/>
      <c r="AD10" s="99"/>
      <c r="AE10" s="41"/>
      <c r="AF10" s="41"/>
      <c r="AG10" s="41"/>
      <c r="AH10" s="41"/>
      <c r="AI10" s="116"/>
      <c r="AJ10" s="115"/>
      <c r="AK10" s="117"/>
      <c r="AL10" s="128"/>
      <c r="AM10" s="116"/>
    </row>
    <row r="11" spans="2:41" s="104" customFormat="1" ht="12.75" customHeight="1">
      <c r="B11" s="292"/>
      <c r="C11" s="321"/>
      <c r="D11" s="623" t="s">
        <v>264</v>
      </c>
      <c r="E11" s="625"/>
      <c r="F11" s="625"/>
      <c r="G11" s="625"/>
      <c r="H11" s="625"/>
      <c r="I11" s="624"/>
      <c r="J11" s="624"/>
      <c r="K11" s="624"/>
      <c r="L11" s="624"/>
      <c r="M11" s="624"/>
      <c r="N11" s="349"/>
      <c r="O11" s="623" t="s">
        <v>35</v>
      </c>
      <c r="P11" s="624"/>
      <c r="Q11" s="624"/>
      <c r="R11" s="624"/>
      <c r="S11" s="624"/>
      <c r="T11" s="624"/>
      <c r="U11" s="350"/>
      <c r="V11" s="368"/>
      <c r="W11" s="322"/>
      <c r="X11" s="293"/>
      <c r="Y11" s="136"/>
      <c r="Z11" s="137"/>
      <c r="AA11" s="138"/>
      <c r="AB11" s="137"/>
      <c r="AN11" s="136"/>
      <c r="AO11" s="136"/>
    </row>
    <row r="12" spans="2:41" s="104" customFormat="1" ht="12.75" customHeight="1">
      <c r="B12" s="292"/>
      <c r="C12" s="321"/>
      <c r="D12" s="351" t="s">
        <v>125</v>
      </c>
      <c r="E12" s="352" t="s">
        <v>34</v>
      </c>
      <c r="F12" s="352" t="s">
        <v>29</v>
      </c>
      <c r="G12" s="353" t="s">
        <v>2</v>
      </c>
      <c r="H12" s="354" t="s">
        <v>265</v>
      </c>
      <c r="I12" s="353" t="s">
        <v>45</v>
      </c>
      <c r="J12" s="353" t="s">
        <v>52</v>
      </c>
      <c r="K12" s="355" t="s">
        <v>266</v>
      </c>
      <c r="L12" s="356" t="s">
        <v>46</v>
      </c>
      <c r="M12" s="355" t="s">
        <v>4</v>
      </c>
      <c r="N12" s="245"/>
      <c r="O12" s="357" t="s">
        <v>82</v>
      </c>
      <c r="P12" s="357" t="s">
        <v>294</v>
      </c>
      <c r="Q12" s="362" t="s">
        <v>295</v>
      </c>
      <c r="R12" s="369"/>
      <c r="S12" s="359" t="s">
        <v>46</v>
      </c>
      <c r="T12" s="370" t="s">
        <v>39</v>
      </c>
      <c r="U12" s="358" t="s">
        <v>81</v>
      </c>
      <c r="V12" s="368" t="s">
        <v>296</v>
      </c>
      <c r="W12" s="323"/>
      <c r="X12" s="294"/>
      <c r="Y12" s="139"/>
      <c r="Z12" s="140"/>
      <c r="AA12" s="141"/>
      <c r="AB12" s="140"/>
      <c r="AN12" s="136"/>
      <c r="AO12" s="139"/>
    </row>
    <row r="13" spans="2:41" s="34" customFormat="1" ht="12.75" customHeight="1">
      <c r="B13" s="51"/>
      <c r="C13" s="324"/>
      <c r="D13" s="360"/>
      <c r="E13" s="352"/>
      <c r="F13" s="361"/>
      <c r="G13" s="353" t="s">
        <v>3</v>
      </c>
      <c r="H13" s="353" t="s">
        <v>287</v>
      </c>
      <c r="I13" s="353"/>
      <c r="J13" s="353"/>
      <c r="K13" s="355"/>
      <c r="L13" s="356"/>
      <c r="M13" s="355" t="s">
        <v>47</v>
      </c>
      <c r="N13" s="245"/>
      <c r="O13" s="357" t="s">
        <v>42</v>
      </c>
      <c r="P13" s="357" t="s">
        <v>297</v>
      </c>
      <c r="Q13" s="579">
        <f>tab!D6</f>
        <v>0.62</v>
      </c>
      <c r="R13" s="369" t="s">
        <v>298</v>
      </c>
      <c r="S13" s="359" t="s">
        <v>51</v>
      </c>
      <c r="T13" s="370" t="s">
        <v>77</v>
      </c>
      <c r="U13" s="358"/>
      <c r="V13" s="359" t="s">
        <v>51</v>
      </c>
      <c r="W13" s="325"/>
      <c r="X13" s="161"/>
      <c r="AO13" s="142"/>
    </row>
    <row r="14" spans="2:41" ht="12.75" customHeight="1">
      <c r="B14" s="48"/>
      <c r="C14" s="77"/>
      <c r="D14" s="78"/>
      <c r="E14" s="78"/>
      <c r="F14" s="78"/>
      <c r="G14" s="191"/>
      <c r="H14" s="191"/>
      <c r="I14" s="326"/>
      <c r="J14" s="326"/>
      <c r="K14" s="327"/>
      <c r="L14" s="328"/>
      <c r="M14" s="327"/>
      <c r="N14" s="329"/>
      <c r="O14" s="330"/>
      <c r="P14" s="331"/>
      <c r="Q14" s="331"/>
      <c r="R14" s="331"/>
      <c r="S14" s="331"/>
      <c r="T14" s="331"/>
      <c r="U14" s="332"/>
      <c r="V14" s="200"/>
      <c r="W14" s="333"/>
      <c r="X14" s="50"/>
      <c r="AC14" s="33"/>
      <c r="AD14" s="33"/>
      <c r="AL14" s="33"/>
      <c r="AM14" s="33"/>
      <c r="AO14" s="143"/>
    </row>
    <row r="15" spans="2:41" ht="12.75" customHeight="1">
      <c r="B15" s="48"/>
      <c r="C15" s="77"/>
      <c r="D15" s="240"/>
      <c r="E15" s="240"/>
      <c r="F15" s="240"/>
      <c r="G15" s="363"/>
      <c r="H15" s="582"/>
      <c r="I15" s="364"/>
      <c r="J15" s="364"/>
      <c r="K15" s="365"/>
      <c r="L15" s="366"/>
      <c r="M15" s="367">
        <f t="shared" ref="M15:M34" si="0">(IF(L15=0,(K15),(K15)-L15))</f>
        <v>0</v>
      </c>
      <c r="N15" s="214"/>
      <c r="O15" s="371" t="str">
        <f>IF(I15="","",VLOOKUP(I15,tab!$A$15:$V$57,J15+2,FALSE))</f>
        <v/>
      </c>
      <c r="P15" s="259" t="str">
        <f t="shared" ref="P15:P34" si="1">IF(E15=0,"",(O15*M15*12))</f>
        <v/>
      </c>
      <c r="Q15" s="580">
        <f>$Q$13</f>
        <v>0.62</v>
      </c>
      <c r="R15" s="259" t="str">
        <f>IF(E15=0,"",(P15*Q15))</f>
        <v/>
      </c>
      <c r="S15" s="259">
        <f>IF(L15="",0,(((O15*12)*L15)*(IF(I15&gt;8,1+tab!$D$8,1+tab!$D$10))))</f>
        <v>0</v>
      </c>
      <c r="T15" s="372">
        <f>IF(E15=0,0,(P15+R15+S15))</f>
        <v>0</v>
      </c>
      <c r="U15" s="373">
        <f t="shared" ref="U15:U34" si="2">IF(G15&lt;25,0,IF(G15=25,25,IF(G15&lt;40,0,IF(G15=40,40,IF(G15&gt;=40,0)))))</f>
        <v>0</v>
      </c>
      <c r="V15" s="374">
        <f t="shared" ref="V15:V34" si="3">IF(U15=25,(O15*1.08*(K15)/2),IF(U15=40,(O15*1.08*(K15)),IF(U15=0,0)))</f>
        <v>0</v>
      </c>
      <c r="W15" s="335"/>
      <c r="X15" s="50"/>
    </row>
    <row r="16" spans="2:41" ht="12.75" customHeight="1">
      <c r="B16" s="48"/>
      <c r="C16" s="77"/>
      <c r="D16" s="240"/>
      <c r="E16" s="240"/>
      <c r="F16" s="240"/>
      <c r="G16" s="363"/>
      <c r="H16" s="582"/>
      <c r="I16" s="363"/>
      <c r="J16" s="364"/>
      <c r="K16" s="365"/>
      <c r="L16" s="366"/>
      <c r="M16" s="367">
        <f t="shared" si="0"/>
        <v>0</v>
      </c>
      <c r="N16" s="214"/>
      <c r="O16" s="371" t="str">
        <f>IF(I16="","",VLOOKUP(I16,tab!$A$15:$V$57,J16+2,FALSE))</f>
        <v/>
      </c>
      <c r="P16" s="259" t="str">
        <f t="shared" si="1"/>
        <v/>
      </c>
      <c r="Q16" s="580">
        <f t="shared" ref="Q16:Q34" si="4">$Q$13</f>
        <v>0.62</v>
      </c>
      <c r="R16" s="259" t="str">
        <f t="shared" ref="R16:R33" si="5">IF(E16=0,"",(P16*Q16))</f>
        <v/>
      </c>
      <c r="S16" s="259">
        <f>IF(L16="",0,(((O16*12)*L16)*(IF(I16&gt;8,1+tab!$D$8,1+tab!$D$10))))</f>
        <v>0</v>
      </c>
      <c r="T16" s="372">
        <f t="shared" ref="T16:T34" si="6">IF(E16=0,0,(P16+R16+S16))</f>
        <v>0</v>
      </c>
      <c r="U16" s="373">
        <f t="shared" si="2"/>
        <v>0</v>
      </c>
      <c r="V16" s="374">
        <f t="shared" si="3"/>
        <v>0</v>
      </c>
      <c r="W16" s="335"/>
      <c r="X16" s="50"/>
    </row>
    <row r="17" spans="2:24" ht="12.75" customHeight="1">
      <c r="B17" s="48"/>
      <c r="C17" s="77"/>
      <c r="D17" s="240"/>
      <c r="E17" s="240"/>
      <c r="F17" s="240"/>
      <c r="G17" s="363"/>
      <c r="H17" s="582"/>
      <c r="I17" s="363"/>
      <c r="J17" s="364"/>
      <c r="K17" s="365"/>
      <c r="L17" s="366"/>
      <c r="M17" s="367">
        <f t="shared" si="0"/>
        <v>0</v>
      </c>
      <c r="N17" s="214"/>
      <c r="O17" s="371" t="str">
        <f>IF(I17="","",VLOOKUP(I17,tab!$A$15:$V$57,J17+2,FALSE))</f>
        <v/>
      </c>
      <c r="P17" s="259" t="str">
        <f t="shared" si="1"/>
        <v/>
      </c>
      <c r="Q17" s="580">
        <f t="shared" si="4"/>
        <v>0.62</v>
      </c>
      <c r="R17" s="259" t="str">
        <f t="shared" si="5"/>
        <v/>
      </c>
      <c r="S17" s="259">
        <f>IF(L17="",0,(((O17*12)*L17)*(IF(I17&gt;8,1+tab!$D$8,1+tab!$D$10))))</f>
        <v>0</v>
      </c>
      <c r="T17" s="372">
        <f t="shared" si="6"/>
        <v>0</v>
      </c>
      <c r="U17" s="373">
        <f t="shared" si="2"/>
        <v>0</v>
      </c>
      <c r="V17" s="374">
        <f t="shared" si="3"/>
        <v>0</v>
      </c>
      <c r="W17" s="335"/>
      <c r="X17" s="50"/>
    </row>
    <row r="18" spans="2:24" ht="12.75" customHeight="1">
      <c r="B18" s="48"/>
      <c r="C18" s="77"/>
      <c r="D18" s="240"/>
      <c r="E18" s="240"/>
      <c r="F18" s="240"/>
      <c r="G18" s="363"/>
      <c r="H18" s="582"/>
      <c r="I18" s="363"/>
      <c r="J18" s="364"/>
      <c r="K18" s="365"/>
      <c r="L18" s="366"/>
      <c r="M18" s="367">
        <f t="shared" si="0"/>
        <v>0</v>
      </c>
      <c r="N18" s="214"/>
      <c r="O18" s="371" t="str">
        <f>IF(I18="","",VLOOKUP(I18,tab!$A$15:$V$57,J18+2,FALSE))</f>
        <v/>
      </c>
      <c r="P18" s="259" t="str">
        <f t="shared" si="1"/>
        <v/>
      </c>
      <c r="Q18" s="580">
        <f t="shared" si="4"/>
        <v>0.62</v>
      </c>
      <c r="R18" s="259" t="str">
        <f t="shared" si="5"/>
        <v/>
      </c>
      <c r="S18" s="259">
        <f>IF(L18="",0,(((O18*12)*L18)*(IF(I18&gt;8,1+tab!$D$8,1+tab!$D$10))))</f>
        <v>0</v>
      </c>
      <c r="T18" s="372">
        <f t="shared" si="6"/>
        <v>0</v>
      </c>
      <c r="U18" s="373">
        <f t="shared" si="2"/>
        <v>0</v>
      </c>
      <c r="V18" s="374">
        <f t="shared" si="3"/>
        <v>0</v>
      </c>
      <c r="W18" s="335"/>
      <c r="X18" s="50"/>
    </row>
    <row r="19" spans="2:24" ht="12.75" customHeight="1">
      <c r="B19" s="48"/>
      <c r="C19" s="77"/>
      <c r="D19" s="240"/>
      <c r="E19" s="240"/>
      <c r="F19" s="240"/>
      <c r="G19" s="363"/>
      <c r="H19" s="582"/>
      <c r="I19" s="363"/>
      <c r="J19" s="364"/>
      <c r="K19" s="365"/>
      <c r="L19" s="366"/>
      <c r="M19" s="367">
        <f t="shared" si="0"/>
        <v>0</v>
      </c>
      <c r="N19" s="214"/>
      <c r="O19" s="371" t="str">
        <f>IF(I19="","",VLOOKUP(I19,tab!$A$15:$V$57,J19+2,FALSE))</f>
        <v/>
      </c>
      <c r="P19" s="259" t="str">
        <f t="shared" si="1"/>
        <v/>
      </c>
      <c r="Q19" s="580">
        <f t="shared" si="4"/>
        <v>0.62</v>
      </c>
      <c r="R19" s="259" t="str">
        <f t="shared" si="5"/>
        <v/>
      </c>
      <c r="S19" s="259">
        <f>IF(L19="",0,(((O19*12)*L19)*(IF(I19&gt;8,1+tab!$D$8,1+tab!$D$10))))</f>
        <v>0</v>
      </c>
      <c r="T19" s="372">
        <f t="shared" si="6"/>
        <v>0</v>
      </c>
      <c r="U19" s="373">
        <f t="shared" si="2"/>
        <v>0</v>
      </c>
      <c r="V19" s="374">
        <f t="shared" si="3"/>
        <v>0</v>
      </c>
      <c r="W19" s="335"/>
      <c r="X19" s="50"/>
    </row>
    <row r="20" spans="2:24" ht="12.75" customHeight="1">
      <c r="B20" s="48"/>
      <c r="C20" s="77"/>
      <c r="D20" s="240"/>
      <c r="E20" s="240"/>
      <c r="F20" s="240"/>
      <c r="G20" s="363"/>
      <c r="H20" s="582"/>
      <c r="I20" s="363"/>
      <c r="J20" s="364"/>
      <c r="K20" s="365"/>
      <c r="L20" s="366"/>
      <c r="M20" s="367">
        <f t="shared" si="0"/>
        <v>0</v>
      </c>
      <c r="N20" s="214"/>
      <c r="O20" s="371" t="str">
        <f>IF(I20="","",VLOOKUP(I20,tab!$A$15:$V$57,J20+2,FALSE))</f>
        <v/>
      </c>
      <c r="P20" s="259" t="str">
        <f t="shared" si="1"/>
        <v/>
      </c>
      <c r="Q20" s="580">
        <f t="shared" si="4"/>
        <v>0.62</v>
      </c>
      <c r="R20" s="259" t="str">
        <f t="shared" si="5"/>
        <v/>
      </c>
      <c r="S20" s="259">
        <f>IF(L20="",0,(((O20*12)*L20)*(IF(I20&gt;8,1+tab!$D$8,1+tab!$D$10))))</f>
        <v>0</v>
      </c>
      <c r="T20" s="372">
        <f t="shared" si="6"/>
        <v>0</v>
      </c>
      <c r="U20" s="373">
        <f t="shared" si="2"/>
        <v>0</v>
      </c>
      <c r="V20" s="374">
        <f t="shared" si="3"/>
        <v>0</v>
      </c>
      <c r="W20" s="335"/>
      <c r="X20" s="50"/>
    </row>
    <row r="21" spans="2:24" ht="12.75" customHeight="1">
      <c r="B21" s="48"/>
      <c r="C21" s="77"/>
      <c r="D21" s="240"/>
      <c r="E21" s="240"/>
      <c r="F21" s="240"/>
      <c r="G21" s="363"/>
      <c r="H21" s="582"/>
      <c r="I21" s="363"/>
      <c r="J21" s="364"/>
      <c r="K21" s="365"/>
      <c r="L21" s="366"/>
      <c r="M21" s="367">
        <f t="shared" si="0"/>
        <v>0</v>
      </c>
      <c r="N21" s="214"/>
      <c r="O21" s="371" t="str">
        <f>IF(I21="","",VLOOKUP(I21,tab!$A$15:$V$57,J21+2,FALSE))</f>
        <v/>
      </c>
      <c r="P21" s="259" t="str">
        <f t="shared" si="1"/>
        <v/>
      </c>
      <c r="Q21" s="580">
        <f t="shared" si="4"/>
        <v>0.62</v>
      </c>
      <c r="R21" s="259" t="str">
        <f t="shared" si="5"/>
        <v/>
      </c>
      <c r="S21" s="259">
        <f>IF(L21="",0,(((O21*12)*L21)*(IF(I21&gt;8,1+tab!$D$8,1+tab!$D$10))))</f>
        <v>0</v>
      </c>
      <c r="T21" s="372">
        <f t="shared" si="6"/>
        <v>0</v>
      </c>
      <c r="U21" s="373">
        <f t="shared" si="2"/>
        <v>0</v>
      </c>
      <c r="V21" s="374">
        <f t="shared" si="3"/>
        <v>0</v>
      </c>
      <c r="W21" s="335"/>
      <c r="X21" s="50"/>
    </row>
    <row r="22" spans="2:24" ht="12.75" customHeight="1">
      <c r="B22" s="48"/>
      <c r="C22" s="77"/>
      <c r="D22" s="240"/>
      <c r="E22" s="240"/>
      <c r="F22" s="240"/>
      <c r="G22" s="363"/>
      <c r="H22" s="582"/>
      <c r="I22" s="363"/>
      <c r="J22" s="364"/>
      <c r="K22" s="365"/>
      <c r="L22" s="366"/>
      <c r="M22" s="367">
        <f t="shared" si="0"/>
        <v>0</v>
      </c>
      <c r="N22" s="214"/>
      <c r="O22" s="371" t="str">
        <f>IF(I22="","",VLOOKUP(I22,tab!$A$15:$V$57,J22+2,FALSE))</f>
        <v/>
      </c>
      <c r="P22" s="259" t="str">
        <f t="shared" si="1"/>
        <v/>
      </c>
      <c r="Q22" s="580">
        <f t="shared" si="4"/>
        <v>0.62</v>
      </c>
      <c r="R22" s="259" t="str">
        <f t="shared" si="5"/>
        <v/>
      </c>
      <c r="S22" s="259">
        <f>IF(L22="",0,(((O22*12)*L22)*(IF(I22&gt;8,1+tab!$D$8,1+tab!$D$10))))</f>
        <v>0</v>
      </c>
      <c r="T22" s="372">
        <f t="shared" si="6"/>
        <v>0</v>
      </c>
      <c r="U22" s="373">
        <f t="shared" si="2"/>
        <v>0</v>
      </c>
      <c r="V22" s="374">
        <f t="shared" si="3"/>
        <v>0</v>
      </c>
      <c r="W22" s="335"/>
      <c r="X22" s="50"/>
    </row>
    <row r="23" spans="2:24" ht="12.75" customHeight="1">
      <c r="B23" s="48"/>
      <c r="C23" s="77"/>
      <c r="D23" s="240"/>
      <c r="E23" s="240"/>
      <c r="F23" s="240"/>
      <c r="G23" s="363"/>
      <c r="H23" s="582"/>
      <c r="I23" s="363"/>
      <c r="J23" s="364"/>
      <c r="K23" s="365"/>
      <c r="L23" s="366"/>
      <c r="M23" s="367">
        <f t="shared" si="0"/>
        <v>0</v>
      </c>
      <c r="N23" s="214"/>
      <c r="O23" s="371" t="str">
        <f>IF(I23="","",VLOOKUP(I23,tab!$A$15:$V$57,J23+2,FALSE))</f>
        <v/>
      </c>
      <c r="P23" s="259" t="str">
        <f t="shared" si="1"/>
        <v/>
      </c>
      <c r="Q23" s="580">
        <f t="shared" si="4"/>
        <v>0.62</v>
      </c>
      <c r="R23" s="259" t="str">
        <f t="shared" si="5"/>
        <v/>
      </c>
      <c r="S23" s="259">
        <f>IF(L23="",0,(((O23*12)*L23)*(IF(I23&gt;8,1+tab!$D$8,1+tab!$D$10))))</f>
        <v>0</v>
      </c>
      <c r="T23" s="372">
        <f t="shared" si="6"/>
        <v>0</v>
      </c>
      <c r="U23" s="373">
        <f t="shared" si="2"/>
        <v>0</v>
      </c>
      <c r="V23" s="374">
        <f t="shared" si="3"/>
        <v>0</v>
      </c>
      <c r="W23" s="335"/>
      <c r="X23" s="50"/>
    </row>
    <row r="24" spans="2:24" ht="12.75" customHeight="1">
      <c r="B24" s="48"/>
      <c r="C24" s="77"/>
      <c r="D24" s="240"/>
      <c r="E24" s="240"/>
      <c r="F24" s="240"/>
      <c r="G24" s="363"/>
      <c r="H24" s="582"/>
      <c r="I24" s="363"/>
      <c r="J24" s="364"/>
      <c r="K24" s="365"/>
      <c r="L24" s="366"/>
      <c r="M24" s="367">
        <f t="shared" si="0"/>
        <v>0</v>
      </c>
      <c r="N24" s="214"/>
      <c r="O24" s="371" t="str">
        <f>IF(I24="","",VLOOKUP(I24,tab!$A$15:$V$57,J24+2,FALSE))</f>
        <v/>
      </c>
      <c r="P24" s="259" t="str">
        <f t="shared" si="1"/>
        <v/>
      </c>
      <c r="Q24" s="580">
        <f t="shared" si="4"/>
        <v>0.62</v>
      </c>
      <c r="R24" s="259" t="str">
        <f t="shared" si="5"/>
        <v/>
      </c>
      <c r="S24" s="259">
        <f>IF(L24="",0,(((O24*12)*L24)*(IF(I24&gt;8,1+tab!$D$8,1+tab!$D$10))))</f>
        <v>0</v>
      </c>
      <c r="T24" s="372">
        <f t="shared" si="6"/>
        <v>0</v>
      </c>
      <c r="U24" s="373">
        <f t="shared" si="2"/>
        <v>0</v>
      </c>
      <c r="V24" s="374">
        <f t="shared" si="3"/>
        <v>0</v>
      </c>
      <c r="W24" s="335"/>
      <c r="X24" s="50"/>
    </row>
    <row r="25" spans="2:24" ht="12.75" customHeight="1">
      <c r="B25" s="48"/>
      <c r="C25" s="77"/>
      <c r="D25" s="240"/>
      <c r="E25" s="240"/>
      <c r="F25" s="240"/>
      <c r="G25" s="363"/>
      <c r="H25" s="582"/>
      <c r="I25" s="363"/>
      <c r="J25" s="364"/>
      <c r="K25" s="365"/>
      <c r="L25" s="366"/>
      <c r="M25" s="367">
        <f t="shared" si="0"/>
        <v>0</v>
      </c>
      <c r="N25" s="214"/>
      <c r="O25" s="371" t="str">
        <f>IF(I25="","",VLOOKUP(I25,tab!$A$15:$V$57,J25+2,FALSE))</f>
        <v/>
      </c>
      <c r="P25" s="259" t="str">
        <f t="shared" si="1"/>
        <v/>
      </c>
      <c r="Q25" s="580">
        <f t="shared" si="4"/>
        <v>0.62</v>
      </c>
      <c r="R25" s="259" t="str">
        <f t="shared" si="5"/>
        <v/>
      </c>
      <c r="S25" s="259">
        <f>IF(L25="",0,(((O25*12)*L25)*(IF(I25&gt;8,1+tab!$D$8,1+tab!$D$10))))</f>
        <v>0</v>
      </c>
      <c r="T25" s="372">
        <f t="shared" si="6"/>
        <v>0</v>
      </c>
      <c r="U25" s="373">
        <f t="shared" si="2"/>
        <v>0</v>
      </c>
      <c r="V25" s="374">
        <f t="shared" si="3"/>
        <v>0</v>
      </c>
      <c r="W25" s="335"/>
      <c r="X25" s="50"/>
    </row>
    <row r="26" spans="2:24" ht="12.75" customHeight="1">
      <c r="B26" s="48"/>
      <c r="C26" s="77"/>
      <c r="D26" s="240"/>
      <c r="E26" s="240"/>
      <c r="F26" s="240"/>
      <c r="G26" s="363"/>
      <c r="H26" s="582"/>
      <c r="I26" s="363"/>
      <c r="J26" s="364"/>
      <c r="K26" s="365"/>
      <c r="L26" s="366"/>
      <c r="M26" s="367">
        <f t="shared" si="0"/>
        <v>0</v>
      </c>
      <c r="N26" s="214"/>
      <c r="O26" s="371" t="str">
        <f>IF(I26="","",VLOOKUP(I26,tab!$A$15:$V$57,J26+2,FALSE))</f>
        <v/>
      </c>
      <c r="P26" s="259" t="str">
        <f t="shared" si="1"/>
        <v/>
      </c>
      <c r="Q26" s="580">
        <f t="shared" si="4"/>
        <v>0.62</v>
      </c>
      <c r="R26" s="259" t="str">
        <f t="shared" si="5"/>
        <v/>
      </c>
      <c r="S26" s="259">
        <f>IF(L26="",0,(((O26*12)*L26)*(IF(I26&gt;8,1+tab!$D$8,1+tab!$D$10))))</f>
        <v>0</v>
      </c>
      <c r="T26" s="372">
        <f t="shared" si="6"/>
        <v>0</v>
      </c>
      <c r="U26" s="373">
        <f t="shared" si="2"/>
        <v>0</v>
      </c>
      <c r="V26" s="374">
        <f t="shared" si="3"/>
        <v>0</v>
      </c>
      <c r="W26" s="335"/>
      <c r="X26" s="50"/>
    </row>
    <row r="27" spans="2:24" ht="12.75" customHeight="1">
      <c r="B27" s="48"/>
      <c r="C27" s="77"/>
      <c r="D27" s="240"/>
      <c r="E27" s="240"/>
      <c r="F27" s="240"/>
      <c r="G27" s="363"/>
      <c r="H27" s="582"/>
      <c r="I27" s="363"/>
      <c r="J27" s="364"/>
      <c r="K27" s="365"/>
      <c r="L27" s="366"/>
      <c r="M27" s="367">
        <f t="shared" si="0"/>
        <v>0</v>
      </c>
      <c r="N27" s="214"/>
      <c r="O27" s="371" t="str">
        <f>IF(I27="","",VLOOKUP(I27,tab!$A$15:$V$57,J27+2,FALSE))</f>
        <v/>
      </c>
      <c r="P27" s="259" t="str">
        <f t="shared" si="1"/>
        <v/>
      </c>
      <c r="Q27" s="580">
        <f t="shared" si="4"/>
        <v>0.62</v>
      </c>
      <c r="R27" s="259" t="str">
        <f t="shared" si="5"/>
        <v/>
      </c>
      <c r="S27" s="259">
        <f>IF(L27="",0,(((O27*12)*L27)*(IF(I27&gt;8,1+tab!$D$8,1+tab!$D$10))))</f>
        <v>0</v>
      </c>
      <c r="T27" s="372">
        <f t="shared" si="6"/>
        <v>0</v>
      </c>
      <c r="U27" s="373">
        <f t="shared" si="2"/>
        <v>0</v>
      </c>
      <c r="V27" s="374">
        <f t="shared" si="3"/>
        <v>0</v>
      </c>
      <c r="W27" s="335"/>
      <c r="X27" s="50"/>
    </row>
    <row r="28" spans="2:24" ht="12.75" customHeight="1">
      <c r="B28" s="48"/>
      <c r="C28" s="77"/>
      <c r="D28" s="240"/>
      <c r="E28" s="240"/>
      <c r="F28" s="240"/>
      <c r="G28" s="363"/>
      <c r="H28" s="582"/>
      <c r="I28" s="363"/>
      <c r="J28" s="364"/>
      <c r="K28" s="365"/>
      <c r="L28" s="366"/>
      <c r="M28" s="367">
        <f t="shared" si="0"/>
        <v>0</v>
      </c>
      <c r="N28" s="214"/>
      <c r="O28" s="371" t="str">
        <f>IF(I28="","",VLOOKUP(I28,tab!$A$15:$V$57,J28+2,FALSE))</f>
        <v/>
      </c>
      <c r="P28" s="259" t="str">
        <f t="shared" si="1"/>
        <v/>
      </c>
      <c r="Q28" s="580">
        <f t="shared" si="4"/>
        <v>0.62</v>
      </c>
      <c r="R28" s="259" t="str">
        <f t="shared" si="5"/>
        <v/>
      </c>
      <c r="S28" s="259">
        <f>IF(L28="",0,(((O28*12)*L28)*(IF(I28&gt;8,1+tab!$D$8,1+tab!$D$10))))</f>
        <v>0</v>
      </c>
      <c r="T28" s="372">
        <f t="shared" si="6"/>
        <v>0</v>
      </c>
      <c r="U28" s="373">
        <f t="shared" si="2"/>
        <v>0</v>
      </c>
      <c r="V28" s="374">
        <f t="shared" si="3"/>
        <v>0</v>
      </c>
      <c r="W28" s="335"/>
      <c r="X28" s="50"/>
    </row>
    <row r="29" spans="2:24" ht="12.75" customHeight="1">
      <c r="B29" s="48"/>
      <c r="C29" s="77"/>
      <c r="D29" s="240"/>
      <c r="E29" s="240"/>
      <c r="F29" s="240"/>
      <c r="G29" s="363"/>
      <c r="H29" s="582"/>
      <c r="I29" s="363"/>
      <c r="J29" s="364"/>
      <c r="K29" s="365"/>
      <c r="L29" s="366"/>
      <c r="M29" s="367">
        <f t="shared" si="0"/>
        <v>0</v>
      </c>
      <c r="N29" s="214"/>
      <c r="O29" s="371" t="str">
        <f>IF(I29="","",VLOOKUP(I29,tab!$A$15:$V$57,J29+2,FALSE))</f>
        <v/>
      </c>
      <c r="P29" s="259" t="str">
        <f t="shared" si="1"/>
        <v/>
      </c>
      <c r="Q29" s="580">
        <f t="shared" si="4"/>
        <v>0.62</v>
      </c>
      <c r="R29" s="259" t="str">
        <f t="shared" si="5"/>
        <v/>
      </c>
      <c r="S29" s="259">
        <f>IF(L29="",0,(((O29*12)*L29)*(IF(I29&gt;8,1+tab!$D$8,1+tab!$D$10))))</f>
        <v>0</v>
      </c>
      <c r="T29" s="372">
        <f t="shared" si="6"/>
        <v>0</v>
      </c>
      <c r="U29" s="373">
        <f t="shared" si="2"/>
        <v>0</v>
      </c>
      <c r="V29" s="374">
        <f t="shared" si="3"/>
        <v>0</v>
      </c>
      <c r="W29" s="335"/>
      <c r="X29" s="50"/>
    </row>
    <row r="30" spans="2:24" ht="12.75" customHeight="1">
      <c r="B30" s="48"/>
      <c r="C30" s="77"/>
      <c r="D30" s="240"/>
      <c r="E30" s="240"/>
      <c r="F30" s="240"/>
      <c r="G30" s="363"/>
      <c r="H30" s="582"/>
      <c r="I30" s="363"/>
      <c r="J30" s="364"/>
      <c r="K30" s="365"/>
      <c r="L30" s="366"/>
      <c r="M30" s="367">
        <f t="shared" si="0"/>
        <v>0</v>
      </c>
      <c r="N30" s="214"/>
      <c r="O30" s="371" t="str">
        <f>IF(I30="","",VLOOKUP(I30,tab!$A$15:$V$57,J30+2,FALSE))</f>
        <v/>
      </c>
      <c r="P30" s="259" t="str">
        <f t="shared" si="1"/>
        <v/>
      </c>
      <c r="Q30" s="580">
        <f t="shared" si="4"/>
        <v>0.62</v>
      </c>
      <c r="R30" s="259" t="str">
        <f t="shared" si="5"/>
        <v/>
      </c>
      <c r="S30" s="259">
        <f>IF(L30="",0,(((O30*12)*L30)*(IF(I30&gt;8,1+tab!$D$8,1+tab!$D$10))))</f>
        <v>0</v>
      </c>
      <c r="T30" s="372">
        <f t="shared" si="6"/>
        <v>0</v>
      </c>
      <c r="U30" s="373">
        <f t="shared" si="2"/>
        <v>0</v>
      </c>
      <c r="V30" s="374">
        <f t="shared" si="3"/>
        <v>0</v>
      </c>
      <c r="W30" s="335"/>
      <c r="X30" s="50"/>
    </row>
    <row r="31" spans="2:24" ht="12.75" customHeight="1">
      <c r="B31" s="48"/>
      <c r="C31" s="77"/>
      <c r="D31" s="240"/>
      <c r="E31" s="240"/>
      <c r="F31" s="240"/>
      <c r="G31" s="363"/>
      <c r="H31" s="582"/>
      <c r="I31" s="363"/>
      <c r="J31" s="364"/>
      <c r="K31" s="365"/>
      <c r="L31" s="366"/>
      <c r="M31" s="367">
        <f t="shared" si="0"/>
        <v>0</v>
      </c>
      <c r="N31" s="214"/>
      <c r="O31" s="371" t="str">
        <f>IF(I31="","",VLOOKUP(I31,tab!$A$15:$V$57,J31+2,FALSE))</f>
        <v/>
      </c>
      <c r="P31" s="259" t="str">
        <f t="shared" si="1"/>
        <v/>
      </c>
      <c r="Q31" s="580">
        <f t="shared" si="4"/>
        <v>0.62</v>
      </c>
      <c r="R31" s="259" t="str">
        <f t="shared" si="5"/>
        <v/>
      </c>
      <c r="S31" s="259">
        <f>IF(L31="",0,(((O31*12)*L31)*(IF(I31&gt;8,1+tab!$D$8,1+tab!$D$10))))</f>
        <v>0</v>
      </c>
      <c r="T31" s="372">
        <f t="shared" si="6"/>
        <v>0</v>
      </c>
      <c r="U31" s="373">
        <f t="shared" si="2"/>
        <v>0</v>
      </c>
      <c r="V31" s="374">
        <f t="shared" si="3"/>
        <v>0</v>
      </c>
      <c r="W31" s="335"/>
      <c r="X31" s="50"/>
    </row>
    <row r="32" spans="2:24" ht="12.75" customHeight="1">
      <c r="B32" s="48"/>
      <c r="C32" s="77"/>
      <c r="D32" s="240"/>
      <c r="E32" s="240"/>
      <c r="F32" s="240"/>
      <c r="G32" s="363"/>
      <c r="H32" s="582"/>
      <c r="I32" s="363"/>
      <c r="J32" s="364"/>
      <c r="K32" s="365"/>
      <c r="L32" s="366"/>
      <c r="M32" s="367">
        <f t="shared" si="0"/>
        <v>0</v>
      </c>
      <c r="N32" s="214"/>
      <c r="O32" s="371" t="str">
        <f>IF(I32="","",VLOOKUP(I32,tab!$A$15:$V$57,J32+2,FALSE))</f>
        <v/>
      </c>
      <c r="P32" s="259" t="str">
        <f t="shared" si="1"/>
        <v/>
      </c>
      <c r="Q32" s="580">
        <f t="shared" si="4"/>
        <v>0.62</v>
      </c>
      <c r="R32" s="259" t="str">
        <f t="shared" si="5"/>
        <v/>
      </c>
      <c r="S32" s="259">
        <f>IF(L32="",0,(((O32*12)*L32)*(IF(I32&gt;8,1+tab!$D$8,1+tab!$D$10))))</f>
        <v>0</v>
      </c>
      <c r="T32" s="372">
        <f t="shared" si="6"/>
        <v>0</v>
      </c>
      <c r="U32" s="373">
        <f t="shared" si="2"/>
        <v>0</v>
      </c>
      <c r="V32" s="374">
        <f t="shared" si="3"/>
        <v>0</v>
      </c>
      <c r="W32" s="335"/>
      <c r="X32" s="50"/>
    </row>
    <row r="33" spans="2:41" ht="12.75" customHeight="1">
      <c r="B33" s="48"/>
      <c r="C33" s="77"/>
      <c r="D33" s="240"/>
      <c r="E33" s="240"/>
      <c r="F33" s="240"/>
      <c r="G33" s="363"/>
      <c r="H33" s="582"/>
      <c r="I33" s="363"/>
      <c r="J33" s="364"/>
      <c r="K33" s="365"/>
      <c r="L33" s="366"/>
      <c r="M33" s="367">
        <f t="shared" si="0"/>
        <v>0</v>
      </c>
      <c r="N33" s="214"/>
      <c r="O33" s="371" t="str">
        <f>IF(I33="","",VLOOKUP(I33,tab!$A$15:$V$57,J33+2,FALSE))</f>
        <v/>
      </c>
      <c r="P33" s="259" t="str">
        <f t="shared" si="1"/>
        <v/>
      </c>
      <c r="Q33" s="580">
        <f t="shared" si="4"/>
        <v>0.62</v>
      </c>
      <c r="R33" s="259" t="str">
        <f t="shared" si="5"/>
        <v/>
      </c>
      <c r="S33" s="259">
        <f>IF(L33="",0,(((O33*12)*L33)*(IF(I33&gt;8,1+tab!$D$8,1+tab!$D$10))))</f>
        <v>0</v>
      </c>
      <c r="T33" s="372">
        <f t="shared" si="6"/>
        <v>0</v>
      </c>
      <c r="U33" s="373">
        <f t="shared" si="2"/>
        <v>0</v>
      </c>
      <c r="V33" s="374">
        <f t="shared" si="3"/>
        <v>0</v>
      </c>
      <c r="W33" s="335"/>
      <c r="X33" s="50"/>
    </row>
    <row r="34" spans="2:41" ht="12.75" customHeight="1">
      <c r="B34" s="48"/>
      <c r="C34" s="77"/>
      <c r="D34" s="240"/>
      <c r="E34" s="240"/>
      <c r="F34" s="240"/>
      <c r="G34" s="363"/>
      <c r="H34" s="582"/>
      <c r="I34" s="363"/>
      <c r="J34" s="364"/>
      <c r="K34" s="365"/>
      <c r="L34" s="366"/>
      <c r="M34" s="367">
        <f t="shared" si="0"/>
        <v>0</v>
      </c>
      <c r="N34" s="214"/>
      <c r="O34" s="371" t="str">
        <f>IF(I34="","",VLOOKUP(I34,tab!$A$15:$V$57,J34+2,FALSE))</f>
        <v/>
      </c>
      <c r="P34" s="259" t="str">
        <f t="shared" si="1"/>
        <v/>
      </c>
      <c r="Q34" s="580">
        <f t="shared" si="4"/>
        <v>0.62</v>
      </c>
      <c r="R34" s="259" t="str">
        <f>IF(E34=0,"",(P34*Q34))</f>
        <v/>
      </c>
      <c r="S34" s="259">
        <f>IF(L34="",0,(((O34*12)*L34)*(IF(I34&gt;8,1+tab!$D$8,1+tab!$D$10))))</f>
        <v>0</v>
      </c>
      <c r="T34" s="372">
        <f t="shared" si="6"/>
        <v>0</v>
      </c>
      <c r="U34" s="373">
        <f t="shared" si="2"/>
        <v>0</v>
      </c>
      <c r="V34" s="374">
        <f t="shared" si="3"/>
        <v>0</v>
      </c>
      <c r="W34" s="335"/>
      <c r="X34" s="50"/>
    </row>
    <row r="35" spans="2:41" ht="12.75" customHeight="1">
      <c r="B35" s="48"/>
      <c r="C35" s="77"/>
      <c r="D35" s="193"/>
      <c r="E35" s="193"/>
      <c r="F35" s="193"/>
      <c r="G35" s="199"/>
      <c r="H35" s="199"/>
      <c r="I35" s="199"/>
      <c r="J35" s="336"/>
      <c r="K35" s="375">
        <f>SUM(K15:K34)</f>
        <v>0</v>
      </c>
      <c r="L35" s="375">
        <f>SUM(L15:L34)</f>
        <v>0</v>
      </c>
      <c r="M35" s="375">
        <f>SUM(M15:M34)</f>
        <v>0</v>
      </c>
      <c r="N35" s="214"/>
      <c r="O35" s="251">
        <f t="shared" ref="O35:V35" si="7">SUM(O15:O34)</f>
        <v>0</v>
      </c>
      <c r="P35" s="251">
        <f t="shared" si="7"/>
        <v>0</v>
      </c>
      <c r="Q35" s="221"/>
      <c r="R35" s="251">
        <f t="shared" si="7"/>
        <v>0</v>
      </c>
      <c r="S35" s="251">
        <f t="shared" si="7"/>
        <v>0</v>
      </c>
      <c r="T35" s="251">
        <f t="shared" si="7"/>
        <v>0</v>
      </c>
      <c r="U35" s="337">
        <f t="shared" si="7"/>
        <v>0</v>
      </c>
      <c r="V35" s="250">
        <f t="shared" si="7"/>
        <v>0</v>
      </c>
      <c r="W35" s="338"/>
      <c r="X35" s="50"/>
    </row>
    <row r="36" spans="2:41" ht="12.75" customHeight="1">
      <c r="B36" s="48"/>
      <c r="C36" s="88"/>
      <c r="D36" s="341"/>
      <c r="E36" s="341"/>
      <c r="F36" s="341"/>
      <c r="G36" s="236"/>
      <c r="H36" s="236"/>
      <c r="I36" s="236"/>
      <c r="J36" s="342"/>
      <c r="K36" s="344"/>
      <c r="L36" s="342"/>
      <c r="M36" s="344"/>
      <c r="N36" s="342"/>
      <c r="O36" s="342"/>
      <c r="P36" s="376"/>
      <c r="Q36" s="376"/>
      <c r="R36" s="376"/>
      <c r="S36" s="376"/>
      <c r="T36" s="376"/>
      <c r="U36" s="377"/>
      <c r="V36" s="378"/>
      <c r="W36" s="379"/>
      <c r="X36" s="50"/>
    </row>
    <row r="37" spans="2:41" ht="12.75" customHeight="1">
      <c r="B37" s="48"/>
      <c r="C37" s="49"/>
      <c r="D37" s="61"/>
      <c r="E37" s="61"/>
      <c r="F37" s="61"/>
      <c r="G37" s="164"/>
      <c r="H37" s="164"/>
      <c r="I37" s="164"/>
      <c r="J37" s="270"/>
      <c r="K37" s="295"/>
      <c r="L37" s="271"/>
      <c r="M37" s="271"/>
      <c r="N37" s="49"/>
      <c r="O37" s="296"/>
      <c r="P37" s="297"/>
      <c r="Q37" s="297"/>
      <c r="R37" s="297"/>
      <c r="S37" s="297"/>
      <c r="T37" s="172"/>
      <c r="U37" s="298"/>
      <c r="V37" s="299"/>
      <c r="W37" s="49"/>
      <c r="X37" s="50"/>
    </row>
    <row r="38" spans="2:41" ht="12.75" customHeight="1">
      <c r="B38" s="48"/>
      <c r="C38" s="49"/>
      <c r="D38" s="61"/>
      <c r="E38" s="61"/>
      <c r="F38" s="61"/>
      <c r="G38" s="164"/>
      <c r="H38" s="164"/>
      <c r="I38" s="164"/>
      <c r="J38" s="270"/>
      <c r="K38" s="295"/>
      <c r="L38" s="271"/>
      <c r="M38" s="271"/>
      <c r="N38" s="49"/>
      <c r="O38" s="296"/>
      <c r="P38" s="297"/>
      <c r="Q38" s="297"/>
      <c r="R38" s="297"/>
      <c r="S38" s="297"/>
      <c r="T38" s="172"/>
      <c r="U38" s="298"/>
      <c r="V38" s="299"/>
      <c r="W38" s="49"/>
      <c r="X38" s="50"/>
    </row>
    <row r="39" spans="2:41" ht="12.75" customHeight="1">
      <c r="B39" s="48"/>
      <c r="C39" s="49" t="s">
        <v>33</v>
      </c>
      <c r="D39" s="61"/>
      <c r="E39" s="290" t="str">
        <f>tab!E3</f>
        <v>2014/15</v>
      </c>
      <c r="F39" s="61"/>
      <c r="G39" s="164"/>
      <c r="H39" s="164"/>
      <c r="I39" s="164"/>
      <c r="J39" s="270"/>
      <c r="K39" s="295"/>
      <c r="L39" s="271"/>
      <c r="M39" s="271"/>
      <c r="N39" s="49"/>
      <c r="O39" s="296"/>
      <c r="P39" s="297"/>
      <c r="Q39" s="297"/>
      <c r="R39" s="297"/>
      <c r="S39" s="297"/>
      <c r="T39" s="172"/>
      <c r="U39" s="298"/>
      <c r="V39" s="299"/>
      <c r="W39" s="49"/>
      <c r="X39" s="50"/>
    </row>
    <row r="40" spans="2:41" ht="12.75" customHeight="1">
      <c r="B40" s="48"/>
      <c r="C40" s="49" t="s">
        <v>40</v>
      </c>
      <c r="D40" s="61"/>
      <c r="E40" s="290">
        <f>tab!F4</f>
        <v>41913</v>
      </c>
      <c r="F40" s="61"/>
      <c r="G40" s="164"/>
      <c r="H40" s="164"/>
      <c r="I40" s="164"/>
      <c r="J40" s="270"/>
      <c r="K40" s="295"/>
      <c r="L40" s="271"/>
      <c r="M40" s="271"/>
      <c r="N40" s="49"/>
      <c r="O40" s="296"/>
      <c r="P40" s="297"/>
      <c r="Q40" s="297"/>
      <c r="R40" s="297"/>
      <c r="S40" s="297"/>
      <c r="T40" s="172"/>
      <c r="U40" s="298"/>
      <c r="V40" s="299"/>
      <c r="W40" s="49"/>
      <c r="X40" s="50"/>
    </row>
    <row r="41" spans="2:41" ht="12.75" customHeight="1">
      <c r="B41" s="48"/>
      <c r="C41" s="49"/>
      <c r="D41" s="61"/>
      <c r="E41" s="61"/>
      <c r="F41" s="61"/>
      <c r="G41" s="164"/>
      <c r="H41" s="164"/>
      <c r="I41" s="164"/>
      <c r="J41" s="270"/>
      <c r="K41" s="295"/>
      <c r="L41" s="271"/>
      <c r="M41" s="271"/>
      <c r="N41" s="49"/>
      <c r="O41" s="296"/>
      <c r="P41" s="297"/>
      <c r="Q41" s="297"/>
      <c r="R41" s="297"/>
      <c r="S41" s="297"/>
      <c r="T41" s="172"/>
      <c r="U41" s="298"/>
      <c r="V41" s="299"/>
      <c r="W41" s="49"/>
      <c r="X41" s="50"/>
    </row>
    <row r="42" spans="2:41" ht="12.75" customHeight="1">
      <c r="B42" s="48"/>
      <c r="C42" s="73"/>
      <c r="D42" s="311"/>
      <c r="E42" s="312"/>
      <c r="F42" s="313"/>
      <c r="G42" s="186"/>
      <c r="H42" s="314"/>
      <c r="I42" s="315"/>
      <c r="J42" s="315"/>
      <c r="K42" s="316"/>
      <c r="L42" s="315"/>
      <c r="M42" s="317"/>
      <c r="N42" s="74"/>
      <c r="O42" s="318"/>
      <c r="P42" s="74"/>
      <c r="Q42" s="74"/>
      <c r="R42" s="74"/>
      <c r="S42" s="74"/>
      <c r="T42" s="319"/>
      <c r="U42" s="320"/>
      <c r="V42" s="188"/>
      <c r="W42" s="189"/>
      <c r="X42" s="50"/>
      <c r="AC42" s="130"/>
      <c r="AD42" s="131"/>
      <c r="AE42" s="130"/>
      <c r="AF42" s="130"/>
      <c r="AG42" s="130"/>
      <c r="AH42" s="41"/>
      <c r="AI42" s="132"/>
      <c r="AJ42" s="133"/>
      <c r="AK42" s="134"/>
      <c r="AL42" s="135"/>
      <c r="AM42" s="132"/>
    </row>
    <row r="43" spans="2:41" ht="12.75" customHeight="1">
      <c r="B43" s="48"/>
      <c r="C43" s="321"/>
      <c r="D43" s="623" t="s">
        <v>264</v>
      </c>
      <c r="E43" s="625"/>
      <c r="F43" s="625"/>
      <c r="G43" s="625"/>
      <c r="H43" s="625"/>
      <c r="I43" s="624"/>
      <c r="J43" s="624"/>
      <c r="K43" s="624"/>
      <c r="L43" s="624"/>
      <c r="M43" s="624"/>
      <c r="N43" s="349"/>
      <c r="O43" s="623" t="s">
        <v>35</v>
      </c>
      <c r="P43" s="624"/>
      <c r="Q43" s="624"/>
      <c r="R43" s="624"/>
      <c r="S43" s="624"/>
      <c r="T43" s="624"/>
      <c r="U43" s="350"/>
      <c r="V43" s="368"/>
      <c r="W43" s="322"/>
      <c r="X43" s="300"/>
      <c r="Y43" s="148"/>
      <c r="Z43" s="116"/>
      <c r="AA43" s="149"/>
      <c r="AB43" s="116"/>
      <c r="AC43" s="33"/>
      <c r="AD43" s="33"/>
      <c r="AL43" s="33"/>
      <c r="AM43" s="33"/>
      <c r="AN43" s="148"/>
      <c r="AO43" s="148"/>
    </row>
    <row r="44" spans="2:41" ht="12.75" customHeight="1">
      <c r="B44" s="48"/>
      <c r="C44" s="321"/>
      <c r="D44" s="351" t="s">
        <v>125</v>
      </c>
      <c r="E44" s="352" t="s">
        <v>34</v>
      </c>
      <c r="F44" s="352" t="s">
        <v>29</v>
      </c>
      <c r="G44" s="353" t="s">
        <v>2</v>
      </c>
      <c r="H44" s="354" t="s">
        <v>265</v>
      </c>
      <c r="I44" s="353" t="s">
        <v>45</v>
      </c>
      <c r="J44" s="353" t="s">
        <v>52</v>
      </c>
      <c r="K44" s="355" t="s">
        <v>266</v>
      </c>
      <c r="L44" s="356" t="s">
        <v>46</v>
      </c>
      <c r="M44" s="355" t="s">
        <v>4</v>
      </c>
      <c r="N44" s="245"/>
      <c r="O44" s="357" t="s">
        <v>82</v>
      </c>
      <c r="P44" s="357" t="s">
        <v>294</v>
      </c>
      <c r="Q44" s="362" t="s">
        <v>295</v>
      </c>
      <c r="R44" s="369"/>
      <c r="S44" s="359" t="s">
        <v>46</v>
      </c>
      <c r="T44" s="370" t="s">
        <v>39</v>
      </c>
      <c r="U44" s="358" t="s">
        <v>81</v>
      </c>
      <c r="V44" s="368" t="s">
        <v>296</v>
      </c>
      <c r="W44" s="323"/>
      <c r="X44" s="301"/>
      <c r="Y44" s="150"/>
      <c r="Z44" s="151"/>
      <c r="AA44" s="152"/>
      <c r="AB44" s="151"/>
      <c r="AC44" s="33"/>
      <c r="AD44" s="33"/>
      <c r="AL44" s="33"/>
      <c r="AM44" s="33"/>
      <c r="AN44" s="148"/>
      <c r="AO44" s="150"/>
    </row>
    <row r="45" spans="2:41" s="34" customFormat="1" ht="12.75" customHeight="1">
      <c r="B45" s="51"/>
      <c r="C45" s="324"/>
      <c r="D45" s="360"/>
      <c r="E45" s="352"/>
      <c r="F45" s="361"/>
      <c r="G45" s="353" t="s">
        <v>3</v>
      </c>
      <c r="H45" s="353" t="s">
        <v>287</v>
      </c>
      <c r="I45" s="353"/>
      <c r="J45" s="353"/>
      <c r="K45" s="355"/>
      <c r="L45" s="356"/>
      <c r="M45" s="355" t="s">
        <v>47</v>
      </c>
      <c r="N45" s="245"/>
      <c r="O45" s="357" t="s">
        <v>42</v>
      </c>
      <c r="P45" s="357" t="s">
        <v>297</v>
      </c>
      <c r="Q45" s="579">
        <f>tab!E6</f>
        <v>0.62</v>
      </c>
      <c r="R45" s="369" t="s">
        <v>298</v>
      </c>
      <c r="S45" s="359" t="s">
        <v>51</v>
      </c>
      <c r="T45" s="370" t="s">
        <v>77</v>
      </c>
      <c r="U45" s="358"/>
      <c r="V45" s="359" t="s">
        <v>51</v>
      </c>
      <c r="W45" s="325"/>
      <c r="X45" s="161"/>
      <c r="AO45" s="142"/>
    </row>
    <row r="46" spans="2:41" ht="12.75" customHeight="1">
      <c r="B46" s="48"/>
      <c r="C46" s="77"/>
      <c r="D46" s="78"/>
      <c r="E46" s="78"/>
      <c r="F46" s="78"/>
      <c r="G46" s="191"/>
      <c r="H46" s="191"/>
      <c r="I46" s="326"/>
      <c r="J46" s="326"/>
      <c r="K46" s="327"/>
      <c r="L46" s="328"/>
      <c r="M46" s="327"/>
      <c r="N46" s="329"/>
      <c r="O46" s="330"/>
      <c r="P46" s="331"/>
      <c r="Q46" s="581"/>
      <c r="R46" s="331"/>
      <c r="S46" s="331"/>
      <c r="T46" s="331"/>
      <c r="U46" s="332"/>
      <c r="V46" s="200"/>
      <c r="W46" s="333"/>
      <c r="X46" s="50"/>
      <c r="AC46" s="33"/>
      <c r="AD46" s="33"/>
      <c r="AL46" s="33"/>
      <c r="AM46" s="33"/>
      <c r="AO46" s="143"/>
    </row>
    <row r="47" spans="2:41">
      <c r="B47" s="48"/>
      <c r="C47" s="77"/>
      <c r="D47" s="240" t="str">
        <f>IF(loon!D15="","",loon!D15)</f>
        <v/>
      </c>
      <c r="E47" s="240" t="str">
        <f>IF(loon!E15="","",loon!E15)</f>
        <v/>
      </c>
      <c r="F47" s="240" t="str">
        <f>IF(loon!F15="","",loon!F15)</f>
        <v/>
      </c>
      <c r="G47" s="363" t="str">
        <f>IF(loon!G15="","",loon!G15+1)</f>
        <v/>
      </c>
      <c r="H47" s="583" t="str">
        <f>IF(loon!H15="","",loon!H15)</f>
        <v/>
      </c>
      <c r="I47" s="364" t="str">
        <f>IF(loon!I15=0,"",loon!I15)</f>
        <v/>
      </c>
      <c r="J47" s="364" t="str">
        <f>IF(E47="","",(IF(loon!J15+1&gt;LOOKUP(I47,schaal,regels),loon!J15,loon!J15+1)))</f>
        <v/>
      </c>
      <c r="K47" s="365" t="str">
        <f>IF(loon!K15="","",loon!K15)</f>
        <v/>
      </c>
      <c r="L47" s="366" t="str">
        <f>IF(loon!L15="","",loon!L15)</f>
        <v/>
      </c>
      <c r="M47" s="367" t="str">
        <f t="shared" ref="M47:M66" si="8">(IF(L47="",(K47),(K47)-L47))</f>
        <v/>
      </c>
      <c r="N47" s="214"/>
      <c r="O47" s="371" t="str">
        <f>IF(I47="","",VLOOKUP(I47,tab!$A$15:$V$57,J47+2,FALSE))</f>
        <v/>
      </c>
      <c r="P47" s="259" t="str">
        <f t="shared" ref="P47:P66" si="9">IF(E47="","",(O47*M47*12))</f>
        <v/>
      </c>
      <c r="Q47" s="580">
        <f>$Q$45</f>
        <v>0.62</v>
      </c>
      <c r="R47" s="259" t="str">
        <f>IF(E47="","",(P47*Q47))</f>
        <v/>
      </c>
      <c r="S47" s="259">
        <f>IF(L47="",0,(((O47*12)*L47)*(IF(I47&gt;8,1+tab!$E$8,1+tab!$E$10))))</f>
        <v>0</v>
      </c>
      <c r="T47" s="372">
        <f>IF(E47="",0,(P47+R47+S47))</f>
        <v>0</v>
      </c>
      <c r="U47" s="373">
        <f t="shared" ref="U47:U66" si="10">IF(G47&lt;25,0,IF(G47=25,25,IF(G47&lt;40,0,IF(G47=40,40,IF(G47&gt;=40,0)))))</f>
        <v>0</v>
      </c>
      <c r="V47" s="374">
        <f t="shared" ref="V47:V66" si="11">IF(U47=25,(O47*1.08*(K47)/2),IF(U47=40,(O47*1.08*(K47)),IF(U47=0,0)))</f>
        <v>0</v>
      </c>
      <c r="W47" s="335"/>
      <c r="X47" s="50"/>
      <c r="AA47" s="153"/>
      <c r="AJ47" s="153"/>
    </row>
    <row r="48" spans="2:41">
      <c r="B48" s="48"/>
      <c r="C48" s="77"/>
      <c r="D48" s="240" t="str">
        <f>IF(loon!D16="","",loon!D16)</f>
        <v/>
      </c>
      <c r="E48" s="240" t="str">
        <f>IF(loon!E16="","",loon!E16)</f>
        <v/>
      </c>
      <c r="F48" s="240" t="str">
        <f>IF(loon!F16="","",loon!F16)</f>
        <v/>
      </c>
      <c r="G48" s="363" t="str">
        <f>IF(loon!G16="","",loon!G16+1)</f>
        <v/>
      </c>
      <c r="H48" s="583" t="str">
        <f>IF(loon!H16="","",loon!H16)</f>
        <v/>
      </c>
      <c r="I48" s="363" t="str">
        <f>IF(loon!I16=0,"",loon!I16)</f>
        <v/>
      </c>
      <c r="J48" s="364" t="str">
        <f>IF(E48="","",(IF(loon!J16+1&gt;LOOKUP(I48,schaal,regels),loon!J16,loon!J16+1)))</f>
        <v/>
      </c>
      <c r="K48" s="365" t="str">
        <f>IF(loon!K16="","",loon!K16)</f>
        <v/>
      </c>
      <c r="L48" s="366" t="str">
        <f>IF(loon!L16="","",loon!L16)</f>
        <v/>
      </c>
      <c r="M48" s="367" t="str">
        <f t="shared" si="8"/>
        <v/>
      </c>
      <c r="N48" s="214"/>
      <c r="O48" s="371" t="str">
        <f>IF(I48="","",VLOOKUP(I48,tab!$A$15:$V$57,J48+2,FALSE))</f>
        <v/>
      </c>
      <c r="P48" s="259" t="str">
        <f t="shared" si="9"/>
        <v/>
      </c>
      <c r="Q48" s="580">
        <f t="shared" ref="Q48:Q66" si="12">$Q$45</f>
        <v>0.62</v>
      </c>
      <c r="R48" s="259" t="str">
        <f t="shared" ref="R48:R66" si="13">IF(E48="","",(P48*Q48))</f>
        <v/>
      </c>
      <c r="S48" s="259">
        <f>IF(L48="",0,(((O48*12)*L48)*(IF(I48&gt;8,1+tab!$E$8,1+tab!$E$10))))</f>
        <v>0</v>
      </c>
      <c r="T48" s="372">
        <f t="shared" ref="T48:T66" si="14">IF(E48="",0,(P48+R48+S48))</f>
        <v>0</v>
      </c>
      <c r="U48" s="373">
        <f t="shared" si="10"/>
        <v>0</v>
      </c>
      <c r="V48" s="374">
        <f t="shared" si="11"/>
        <v>0</v>
      </c>
      <c r="W48" s="335"/>
      <c r="X48" s="50"/>
      <c r="AA48" s="153"/>
      <c r="AJ48" s="153"/>
    </row>
    <row r="49" spans="2:36">
      <c r="B49" s="48"/>
      <c r="C49" s="77"/>
      <c r="D49" s="240" t="str">
        <f>IF(loon!D17="","",loon!D17)</f>
        <v/>
      </c>
      <c r="E49" s="240" t="str">
        <f>IF(loon!E17="","",loon!E17)</f>
        <v/>
      </c>
      <c r="F49" s="240" t="str">
        <f>IF(loon!F17="","",loon!F17)</f>
        <v/>
      </c>
      <c r="G49" s="363" t="str">
        <f>IF(loon!G17="","",loon!G17+1)</f>
        <v/>
      </c>
      <c r="H49" s="583" t="str">
        <f>IF(loon!H17="","",loon!H17)</f>
        <v/>
      </c>
      <c r="I49" s="363" t="str">
        <f>IF(loon!I17=0,"",loon!I17)</f>
        <v/>
      </c>
      <c r="J49" s="364" t="str">
        <f>IF(E49="","",(IF(loon!J17+1&gt;LOOKUP(I49,schaal,regels),loon!J17,loon!J17+1)))</f>
        <v/>
      </c>
      <c r="K49" s="365" t="str">
        <f>IF(loon!K17="","",loon!K17)</f>
        <v/>
      </c>
      <c r="L49" s="366" t="str">
        <f>IF(loon!L17="","",loon!L17)</f>
        <v/>
      </c>
      <c r="M49" s="367" t="str">
        <f t="shared" si="8"/>
        <v/>
      </c>
      <c r="N49" s="214"/>
      <c r="O49" s="371" t="str">
        <f>IF(I49="","",VLOOKUP(I49,tab!$A$15:$V$57,J49+2,FALSE))</f>
        <v/>
      </c>
      <c r="P49" s="259" t="str">
        <f t="shared" si="9"/>
        <v/>
      </c>
      <c r="Q49" s="580">
        <f t="shared" si="12"/>
        <v>0.62</v>
      </c>
      <c r="R49" s="259" t="str">
        <f t="shared" si="13"/>
        <v/>
      </c>
      <c r="S49" s="259">
        <f>IF(L49="",0,(((O49*12)*L49)*(IF(I49&gt;8,1+tab!$E$8,1+tab!$E$10))))</f>
        <v>0</v>
      </c>
      <c r="T49" s="372">
        <f t="shared" si="14"/>
        <v>0</v>
      </c>
      <c r="U49" s="373">
        <f t="shared" si="10"/>
        <v>0</v>
      </c>
      <c r="V49" s="374">
        <f t="shared" si="11"/>
        <v>0</v>
      </c>
      <c r="W49" s="335"/>
      <c r="X49" s="50"/>
      <c r="AA49" s="153"/>
      <c r="AJ49" s="153"/>
    </row>
    <row r="50" spans="2:36">
      <c r="B50" s="48"/>
      <c r="C50" s="77"/>
      <c r="D50" s="240" t="str">
        <f>IF(loon!D18="","",loon!D18)</f>
        <v/>
      </c>
      <c r="E50" s="240" t="str">
        <f>IF(loon!E18="","",loon!E18)</f>
        <v/>
      </c>
      <c r="F50" s="240" t="str">
        <f>IF(loon!F18="","",loon!F18)</f>
        <v/>
      </c>
      <c r="G50" s="363" t="str">
        <f>IF(loon!G18="","",loon!G18+1)</f>
        <v/>
      </c>
      <c r="H50" s="583" t="str">
        <f>IF(loon!H18="","",loon!H18)</f>
        <v/>
      </c>
      <c r="I50" s="363" t="str">
        <f>IF(loon!I18=0,"",loon!I18)</f>
        <v/>
      </c>
      <c r="J50" s="364" t="str">
        <f>IF(E50="","",(IF(loon!J18+1&gt;LOOKUP(I50,schaal,regels),loon!J18,loon!J18+1)))</f>
        <v/>
      </c>
      <c r="K50" s="365" t="str">
        <f>IF(loon!K18="","",loon!K18)</f>
        <v/>
      </c>
      <c r="L50" s="366" t="str">
        <f>IF(loon!L18="","",loon!L18)</f>
        <v/>
      </c>
      <c r="M50" s="367" t="str">
        <f t="shared" si="8"/>
        <v/>
      </c>
      <c r="N50" s="214"/>
      <c r="O50" s="371" t="str">
        <f>IF(I50="","",VLOOKUP(I50,tab!$A$15:$V$57,J50+2,FALSE))</f>
        <v/>
      </c>
      <c r="P50" s="259" t="str">
        <f t="shared" si="9"/>
        <v/>
      </c>
      <c r="Q50" s="580">
        <f t="shared" si="12"/>
        <v>0.62</v>
      </c>
      <c r="R50" s="259" t="str">
        <f t="shared" si="13"/>
        <v/>
      </c>
      <c r="S50" s="259">
        <f>IF(L50="",0,(((O50*12)*L50)*(IF(I50&gt;8,1+tab!$E$8,1+tab!$E$10))))</f>
        <v>0</v>
      </c>
      <c r="T50" s="372">
        <f t="shared" si="14"/>
        <v>0</v>
      </c>
      <c r="U50" s="373">
        <f t="shared" si="10"/>
        <v>0</v>
      </c>
      <c r="V50" s="374">
        <f t="shared" si="11"/>
        <v>0</v>
      </c>
      <c r="W50" s="335"/>
      <c r="X50" s="50"/>
      <c r="AA50" s="153"/>
      <c r="AJ50" s="153"/>
    </row>
    <row r="51" spans="2:36">
      <c r="B51" s="48"/>
      <c r="C51" s="77"/>
      <c r="D51" s="240" t="str">
        <f>IF(loon!D19="","",loon!D19)</f>
        <v/>
      </c>
      <c r="E51" s="240" t="str">
        <f>IF(loon!E19="","",loon!E19)</f>
        <v/>
      </c>
      <c r="F51" s="240" t="str">
        <f>IF(loon!F19="","",loon!F19)</f>
        <v/>
      </c>
      <c r="G51" s="363" t="str">
        <f>IF(loon!G19="","",loon!G19+1)</f>
        <v/>
      </c>
      <c r="H51" s="583" t="str">
        <f>IF(loon!H19="","",loon!H19)</f>
        <v/>
      </c>
      <c r="I51" s="363" t="str">
        <f>IF(loon!I19=0,"",loon!I19)</f>
        <v/>
      </c>
      <c r="J51" s="364" t="str">
        <f>IF(E51="","",(IF(loon!J19+1&gt;LOOKUP(I51,schaal,regels),loon!J19,loon!J19+1)))</f>
        <v/>
      </c>
      <c r="K51" s="365" t="str">
        <f>IF(loon!K19="","",loon!K19)</f>
        <v/>
      </c>
      <c r="L51" s="366" t="str">
        <f>IF(loon!L19="","",loon!L19)</f>
        <v/>
      </c>
      <c r="M51" s="367" t="str">
        <f t="shared" si="8"/>
        <v/>
      </c>
      <c r="N51" s="214"/>
      <c r="O51" s="371" t="str">
        <f>IF(I51="","",VLOOKUP(I51,tab!$A$15:$V$57,J51+2,FALSE))</f>
        <v/>
      </c>
      <c r="P51" s="259" t="str">
        <f t="shared" si="9"/>
        <v/>
      </c>
      <c r="Q51" s="580">
        <f t="shared" si="12"/>
        <v>0.62</v>
      </c>
      <c r="R51" s="259" t="str">
        <f t="shared" si="13"/>
        <v/>
      </c>
      <c r="S51" s="259">
        <f>IF(L51="",0,(((O51*12)*L51)*(IF(I51&gt;8,1+tab!$E$8,1+tab!$E$10))))</f>
        <v>0</v>
      </c>
      <c r="T51" s="372">
        <f t="shared" si="14"/>
        <v>0</v>
      </c>
      <c r="U51" s="373">
        <f t="shared" si="10"/>
        <v>0</v>
      </c>
      <c r="V51" s="374">
        <f t="shared" si="11"/>
        <v>0</v>
      </c>
      <c r="W51" s="335"/>
      <c r="X51" s="50"/>
      <c r="AA51" s="153"/>
      <c r="AJ51" s="153"/>
    </row>
    <row r="52" spans="2:36">
      <c r="B52" s="48"/>
      <c r="C52" s="77"/>
      <c r="D52" s="240" t="str">
        <f>IF(loon!D20="","",loon!D20)</f>
        <v/>
      </c>
      <c r="E52" s="240" t="str">
        <f>IF(loon!E20="","",loon!E20)</f>
        <v/>
      </c>
      <c r="F52" s="240" t="str">
        <f>IF(loon!F20="","",loon!F20)</f>
        <v/>
      </c>
      <c r="G52" s="363" t="str">
        <f>IF(loon!G20="","",loon!G20+1)</f>
        <v/>
      </c>
      <c r="H52" s="583" t="str">
        <f>IF(loon!H20="","",loon!H20)</f>
        <v/>
      </c>
      <c r="I52" s="363" t="str">
        <f>IF(loon!I20=0,"",loon!I20)</f>
        <v/>
      </c>
      <c r="J52" s="364" t="str">
        <f>IF(E52="","",(IF(loon!J20+1&gt;LOOKUP(I52,schaal,regels),loon!J20,loon!J20+1)))</f>
        <v/>
      </c>
      <c r="K52" s="365" t="str">
        <f>IF(loon!K20="","",loon!K20)</f>
        <v/>
      </c>
      <c r="L52" s="366" t="str">
        <f>IF(loon!L20="","",loon!L20)</f>
        <v/>
      </c>
      <c r="M52" s="367" t="str">
        <f t="shared" si="8"/>
        <v/>
      </c>
      <c r="N52" s="214"/>
      <c r="O52" s="371" t="str">
        <f>IF(I52="","",VLOOKUP(I52,tab!$A$15:$V$57,J52+2,FALSE))</f>
        <v/>
      </c>
      <c r="P52" s="259" t="str">
        <f t="shared" si="9"/>
        <v/>
      </c>
      <c r="Q52" s="580">
        <f t="shared" si="12"/>
        <v>0.62</v>
      </c>
      <c r="R52" s="259" t="str">
        <f t="shared" si="13"/>
        <v/>
      </c>
      <c r="S52" s="259">
        <f>IF(L52="",0,(((O52*12)*L52)*(IF(I52&gt;8,1+tab!$E$8,1+tab!$E$10))))</f>
        <v>0</v>
      </c>
      <c r="T52" s="372">
        <f t="shared" si="14"/>
        <v>0</v>
      </c>
      <c r="U52" s="373">
        <f t="shared" si="10"/>
        <v>0</v>
      </c>
      <c r="V52" s="374">
        <f t="shared" si="11"/>
        <v>0</v>
      </c>
      <c r="W52" s="335"/>
      <c r="X52" s="50"/>
      <c r="AA52" s="153"/>
      <c r="AJ52" s="153"/>
    </row>
    <row r="53" spans="2:36">
      <c r="B53" s="48"/>
      <c r="C53" s="77"/>
      <c r="D53" s="240" t="str">
        <f>IF(loon!D21="","",loon!D21)</f>
        <v/>
      </c>
      <c r="E53" s="240" t="str">
        <f>IF(loon!E21="","",loon!E21)</f>
        <v/>
      </c>
      <c r="F53" s="240" t="str">
        <f>IF(loon!F21="","",loon!F21)</f>
        <v/>
      </c>
      <c r="G53" s="363" t="str">
        <f>IF(loon!G21="","",loon!G21+1)</f>
        <v/>
      </c>
      <c r="H53" s="583" t="str">
        <f>IF(loon!H21="","",loon!H21)</f>
        <v/>
      </c>
      <c r="I53" s="363" t="str">
        <f>IF(loon!I21=0,"",loon!I21)</f>
        <v/>
      </c>
      <c r="J53" s="364" t="str">
        <f>IF(E53="","",(IF(loon!J21+1&gt;LOOKUP(I53,schaal,regels),loon!J21,loon!J21+1)))</f>
        <v/>
      </c>
      <c r="K53" s="365" t="str">
        <f>IF(loon!K21="","",loon!K21)</f>
        <v/>
      </c>
      <c r="L53" s="366" t="str">
        <f>IF(loon!L21="","",loon!L21)</f>
        <v/>
      </c>
      <c r="M53" s="367" t="str">
        <f t="shared" si="8"/>
        <v/>
      </c>
      <c r="N53" s="214"/>
      <c r="O53" s="371" t="str">
        <f>IF(I53="","",VLOOKUP(I53,tab!$A$15:$V$57,J53+2,FALSE))</f>
        <v/>
      </c>
      <c r="P53" s="259" t="str">
        <f t="shared" si="9"/>
        <v/>
      </c>
      <c r="Q53" s="580">
        <f t="shared" si="12"/>
        <v>0.62</v>
      </c>
      <c r="R53" s="259" t="str">
        <f t="shared" si="13"/>
        <v/>
      </c>
      <c r="S53" s="259">
        <f>IF(L53="",0,(((O53*12)*L53)*(IF(I53&gt;8,1+tab!$E$8,1+tab!$E$10))))</f>
        <v>0</v>
      </c>
      <c r="T53" s="372">
        <f t="shared" si="14"/>
        <v>0</v>
      </c>
      <c r="U53" s="373">
        <f t="shared" si="10"/>
        <v>0</v>
      </c>
      <c r="V53" s="374">
        <f t="shared" si="11"/>
        <v>0</v>
      </c>
      <c r="W53" s="335"/>
      <c r="X53" s="50"/>
      <c r="AA53" s="153"/>
      <c r="AJ53" s="153"/>
    </row>
    <row r="54" spans="2:36">
      <c r="B54" s="48"/>
      <c r="C54" s="77"/>
      <c r="D54" s="240" t="str">
        <f>IF(loon!D22="","",loon!D22)</f>
        <v/>
      </c>
      <c r="E54" s="240" t="str">
        <f>IF(loon!E22="","",loon!E22)</f>
        <v/>
      </c>
      <c r="F54" s="240" t="str">
        <f>IF(loon!F22="","",loon!F22)</f>
        <v/>
      </c>
      <c r="G54" s="363" t="str">
        <f>IF(loon!G22="","",loon!G22+1)</f>
        <v/>
      </c>
      <c r="H54" s="583" t="str">
        <f>IF(loon!H22="","",loon!H22)</f>
        <v/>
      </c>
      <c r="I54" s="363" t="str">
        <f>IF(loon!I22=0,"",loon!I22)</f>
        <v/>
      </c>
      <c r="J54" s="364" t="str">
        <f>IF(E54="","",(IF(loon!J22+1&gt;LOOKUP(I54,schaal,regels),loon!J22,loon!J22+1)))</f>
        <v/>
      </c>
      <c r="K54" s="365" t="str">
        <f>IF(loon!K22="","",loon!K22)</f>
        <v/>
      </c>
      <c r="L54" s="366" t="str">
        <f>IF(loon!L22="","",loon!L22)</f>
        <v/>
      </c>
      <c r="M54" s="367" t="str">
        <f t="shared" si="8"/>
        <v/>
      </c>
      <c r="N54" s="214"/>
      <c r="O54" s="371" t="str">
        <f>IF(I54="","",VLOOKUP(I54,tab!$A$15:$V$57,J54+2,FALSE))</f>
        <v/>
      </c>
      <c r="P54" s="259" t="str">
        <f t="shared" si="9"/>
        <v/>
      </c>
      <c r="Q54" s="580">
        <f t="shared" si="12"/>
        <v>0.62</v>
      </c>
      <c r="R54" s="259" t="str">
        <f t="shared" si="13"/>
        <v/>
      </c>
      <c r="S54" s="259">
        <f>IF(L54="",0,(((O54*12)*L54)*(IF(I54&gt;8,1+tab!$E$8,1+tab!$E$10))))</f>
        <v>0</v>
      </c>
      <c r="T54" s="372">
        <f t="shared" si="14"/>
        <v>0</v>
      </c>
      <c r="U54" s="373">
        <f t="shared" si="10"/>
        <v>0</v>
      </c>
      <c r="V54" s="374">
        <f t="shared" si="11"/>
        <v>0</v>
      </c>
      <c r="W54" s="335"/>
      <c r="X54" s="50"/>
      <c r="AA54" s="153"/>
      <c r="AJ54" s="153"/>
    </row>
    <row r="55" spans="2:36">
      <c r="B55" s="48"/>
      <c r="C55" s="77"/>
      <c r="D55" s="240" t="str">
        <f>IF(loon!D23="","",loon!D23)</f>
        <v/>
      </c>
      <c r="E55" s="240" t="str">
        <f>IF(loon!E23="","",loon!E23)</f>
        <v/>
      </c>
      <c r="F55" s="240" t="str">
        <f>IF(loon!F23="","",loon!F23)</f>
        <v/>
      </c>
      <c r="G55" s="363" t="str">
        <f>IF(loon!G23="","",loon!G23+1)</f>
        <v/>
      </c>
      <c r="H55" s="583" t="str">
        <f>IF(loon!H23="","",loon!H23)</f>
        <v/>
      </c>
      <c r="I55" s="363" t="str">
        <f>IF(loon!I23=0,"",loon!I23)</f>
        <v/>
      </c>
      <c r="J55" s="364" t="str">
        <f>IF(E55="","",(IF(loon!J23+1&gt;LOOKUP(I55,schaal,regels),loon!J23,loon!J23+1)))</f>
        <v/>
      </c>
      <c r="K55" s="365" t="str">
        <f>IF(loon!K23="","",loon!K23)</f>
        <v/>
      </c>
      <c r="L55" s="366" t="str">
        <f>IF(loon!L23="","",loon!L23)</f>
        <v/>
      </c>
      <c r="M55" s="367" t="str">
        <f t="shared" si="8"/>
        <v/>
      </c>
      <c r="N55" s="214"/>
      <c r="O55" s="371" t="str">
        <f>IF(I55="","",VLOOKUP(I55,tab!$A$15:$V$57,J55+2,FALSE))</f>
        <v/>
      </c>
      <c r="P55" s="259" t="str">
        <f t="shared" si="9"/>
        <v/>
      </c>
      <c r="Q55" s="580">
        <f t="shared" si="12"/>
        <v>0.62</v>
      </c>
      <c r="R55" s="259" t="str">
        <f t="shared" si="13"/>
        <v/>
      </c>
      <c r="S55" s="259">
        <f>IF(L55="",0,(((O55*12)*L55)*(IF(I55&gt;8,1+tab!$E$8,1+tab!$E$10))))</f>
        <v>0</v>
      </c>
      <c r="T55" s="372">
        <f t="shared" si="14"/>
        <v>0</v>
      </c>
      <c r="U55" s="373">
        <f t="shared" si="10"/>
        <v>0</v>
      </c>
      <c r="V55" s="374">
        <f t="shared" si="11"/>
        <v>0</v>
      </c>
      <c r="W55" s="335"/>
      <c r="X55" s="50"/>
      <c r="AA55" s="153"/>
      <c r="AJ55" s="153"/>
    </row>
    <row r="56" spans="2:36">
      <c r="B56" s="48"/>
      <c r="C56" s="77"/>
      <c r="D56" s="240" t="str">
        <f>IF(loon!D24="","",loon!D24)</f>
        <v/>
      </c>
      <c r="E56" s="240" t="str">
        <f>IF(loon!E24="","",loon!E24)</f>
        <v/>
      </c>
      <c r="F56" s="240" t="str">
        <f>IF(loon!F24="","",loon!F24)</f>
        <v/>
      </c>
      <c r="G56" s="363" t="str">
        <f>IF(loon!G24="","",loon!G24+1)</f>
        <v/>
      </c>
      <c r="H56" s="583" t="str">
        <f>IF(loon!H24="","",loon!H24)</f>
        <v/>
      </c>
      <c r="I56" s="363" t="str">
        <f>IF(loon!I24=0,"",loon!I24)</f>
        <v/>
      </c>
      <c r="J56" s="364" t="str">
        <f>IF(E56="","",(IF(loon!J24+1&gt;LOOKUP(I56,schaal,regels),loon!J24,loon!J24+1)))</f>
        <v/>
      </c>
      <c r="K56" s="365" t="str">
        <f>IF(loon!K24="","",loon!K24)</f>
        <v/>
      </c>
      <c r="L56" s="366" t="str">
        <f>IF(loon!L24="","",loon!L24)</f>
        <v/>
      </c>
      <c r="M56" s="367" t="str">
        <f t="shared" si="8"/>
        <v/>
      </c>
      <c r="N56" s="214"/>
      <c r="O56" s="371" t="str">
        <f>IF(I56="","",VLOOKUP(I56,tab!$A$15:$V$57,J56+2,FALSE))</f>
        <v/>
      </c>
      <c r="P56" s="259" t="str">
        <f t="shared" si="9"/>
        <v/>
      </c>
      <c r="Q56" s="580">
        <f t="shared" si="12"/>
        <v>0.62</v>
      </c>
      <c r="R56" s="259" t="str">
        <f t="shared" si="13"/>
        <v/>
      </c>
      <c r="S56" s="259">
        <f>IF(L56="",0,(((O56*12)*L56)*(IF(I56&gt;8,1+tab!$E$8,1+tab!$E$10))))</f>
        <v>0</v>
      </c>
      <c r="T56" s="372">
        <f t="shared" si="14"/>
        <v>0</v>
      </c>
      <c r="U56" s="373">
        <f t="shared" si="10"/>
        <v>0</v>
      </c>
      <c r="V56" s="374">
        <f t="shared" si="11"/>
        <v>0</v>
      </c>
      <c r="W56" s="335"/>
      <c r="X56" s="50"/>
      <c r="AA56" s="153"/>
      <c r="AJ56" s="153"/>
    </row>
    <row r="57" spans="2:36">
      <c r="B57" s="48"/>
      <c r="C57" s="77"/>
      <c r="D57" s="240" t="str">
        <f>IF(loon!D25="","",loon!D25)</f>
        <v/>
      </c>
      <c r="E57" s="240" t="str">
        <f>IF(loon!E25="","",loon!E25)</f>
        <v/>
      </c>
      <c r="F57" s="240" t="str">
        <f>IF(loon!F25="","",loon!F25)</f>
        <v/>
      </c>
      <c r="G57" s="363" t="str">
        <f>IF(loon!G25="","",loon!G25+1)</f>
        <v/>
      </c>
      <c r="H57" s="583" t="str">
        <f>IF(loon!H25="","",loon!H25)</f>
        <v/>
      </c>
      <c r="I57" s="363" t="str">
        <f>IF(loon!I25=0,"",loon!I25)</f>
        <v/>
      </c>
      <c r="J57" s="364" t="str">
        <f>IF(E57="","",(IF(loon!J25+1&gt;LOOKUP(I57,schaal,regels),loon!J25,loon!J25+1)))</f>
        <v/>
      </c>
      <c r="K57" s="365" t="str">
        <f>IF(loon!K25="","",loon!K25)</f>
        <v/>
      </c>
      <c r="L57" s="366" t="str">
        <f>IF(loon!L25="","",loon!L25)</f>
        <v/>
      </c>
      <c r="M57" s="367" t="str">
        <f t="shared" si="8"/>
        <v/>
      </c>
      <c r="N57" s="214"/>
      <c r="O57" s="371" t="str">
        <f>IF(I57="","",VLOOKUP(I57,tab!$A$15:$V$57,J57+2,FALSE))</f>
        <v/>
      </c>
      <c r="P57" s="259" t="str">
        <f t="shared" si="9"/>
        <v/>
      </c>
      <c r="Q57" s="580">
        <f t="shared" si="12"/>
        <v>0.62</v>
      </c>
      <c r="R57" s="259" t="str">
        <f t="shared" si="13"/>
        <v/>
      </c>
      <c r="S57" s="259">
        <f>IF(L57="",0,(((O57*12)*L57)*(IF(I57&gt;8,1+tab!$E$8,1+tab!$E$10))))</f>
        <v>0</v>
      </c>
      <c r="T57" s="372">
        <f t="shared" si="14"/>
        <v>0</v>
      </c>
      <c r="U57" s="373">
        <f t="shared" si="10"/>
        <v>0</v>
      </c>
      <c r="V57" s="374">
        <f t="shared" si="11"/>
        <v>0</v>
      </c>
      <c r="W57" s="335"/>
      <c r="X57" s="50"/>
      <c r="AA57" s="153"/>
      <c r="AJ57" s="153"/>
    </row>
    <row r="58" spans="2:36">
      <c r="B58" s="48"/>
      <c r="C58" s="77"/>
      <c r="D58" s="240" t="str">
        <f>IF(loon!D26="","",loon!D26)</f>
        <v/>
      </c>
      <c r="E58" s="240" t="str">
        <f>IF(loon!E26="","",loon!E26)</f>
        <v/>
      </c>
      <c r="F58" s="240" t="str">
        <f>IF(loon!F26="","",loon!F26)</f>
        <v/>
      </c>
      <c r="G58" s="363" t="str">
        <f>IF(loon!G26="","",loon!G26+1)</f>
        <v/>
      </c>
      <c r="H58" s="583" t="str">
        <f>IF(loon!H26="","",loon!H26)</f>
        <v/>
      </c>
      <c r="I58" s="363" t="str">
        <f>IF(loon!I26=0,"",loon!I26)</f>
        <v/>
      </c>
      <c r="J58" s="364" t="str">
        <f>IF(E58="","",(IF(loon!J26+1&gt;LOOKUP(I58,schaal,regels),loon!J26,loon!J26+1)))</f>
        <v/>
      </c>
      <c r="K58" s="365" t="str">
        <f>IF(loon!K26="","",loon!K26)</f>
        <v/>
      </c>
      <c r="L58" s="366" t="str">
        <f>IF(loon!L26="","",loon!L26)</f>
        <v/>
      </c>
      <c r="M58" s="367" t="str">
        <f t="shared" si="8"/>
        <v/>
      </c>
      <c r="N58" s="214"/>
      <c r="O58" s="371" t="str">
        <f>IF(I58="","",VLOOKUP(I58,tab!$A$15:$V$57,J58+2,FALSE))</f>
        <v/>
      </c>
      <c r="P58" s="259" t="str">
        <f t="shared" si="9"/>
        <v/>
      </c>
      <c r="Q58" s="580">
        <f t="shared" si="12"/>
        <v>0.62</v>
      </c>
      <c r="R58" s="259" t="str">
        <f t="shared" si="13"/>
        <v/>
      </c>
      <c r="S58" s="259">
        <f>IF(L58="",0,(((O58*12)*L58)*(IF(I58&gt;8,1+tab!$E$8,1+tab!$E$10))))</f>
        <v>0</v>
      </c>
      <c r="T58" s="372">
        <f t="shared" si="14"/>
        <v>0</v>
      </c>
      <c r="U58" s="373">
        <f t="shared" si="10"/>
        <v>0</v>
      </c>
      <c r="V58" s="374">
        <f t="shared" si="11"/>
        <v>0</v>
      </c>
      <c r="W58" s="335"/>
      <c r="X58" s="50"/>
      <c r="AA58" s="153"/>
      <c r="AJ58" s="153"/>
    </row>
    <row r="59" spans="2:36">
      <c r="B59" s="48"/>
      <c r="C59" s="77"/>
      <c r="D59" s="240" t="str">
        <f>IF(loon!D27="","",loon!D27)</f>
        <v/>
      </c>
      <c r="E59" s="240" t="str">
        <f>IF(loon!E27="","",loon!E27)</f>
        <v/>
      </c>
      <c r="F59" s="240" t="str">
        <f>IF(loon!F27="","",loon!F27)</f>
        <v/>
      </c>
      <c r="G59" s="363" t="str">
        <f>IF(loon!G27="","",loon!G27+1)</f>
        <v/>
      </c>
      <c r="H59" s="583" t="str">
        <f>IF(loon!H27="","",loon!H27)</f>
        <v/>
      </c>
      <c r="I59" s="363" t="str">
        <f>IF(loon!I27=0,"",loon!I27)</f>
        <v/>
      </c>
      <c r="J59" s="364" t="str">
        <f>IF(E59="","",(IF(loon!J27+1&gt;LOOKUP(I59,schaal,regels),loon!J27,loon!J27+1)))</f>
        <v/>
      </c>
      <c r="K59" s="365" t="str">
        <f>IF(loon!K27="","",loon!K27)</f>
        <v/>
      </c>
      <c r="L59" s="366" t="str">
        <f>IF(loon!L27="","",loon!L27)</f>
        <v/>
      </c>
      <c r="M59" s="367" t="str">
        <f t="shared" si="8"/>
        <v/>
      </c>
      <c r="N59" s="214"/>
      <c r="O59" s="371" t="str">
        <f>IF(I59="","",VLOOKUP(I59,tab!$A$15:$V$57,J59+2,FALSE))</f>
        <v/>
      </c>
      <c r="P59" s="259" t="str">
        <f t="shared" si="9"/>
        <v/>
      </c>
      <c r="Q59" s="580">
        <f t="shared" si="12"/>
        <v>0.62</v>
      </c>
      <c r="R59" s="259" t="str">
        <f t="shared" si="13"/>
        <v/>
      </c>
      <c r="S59" s="259">
        <f>IF(L59="",0,(((O59*12)*L59)*(IF(I59&gt;8,1+tab!$E$8,1+tab!$E$10))))</f>
        <v>0</v>
      </c>
      <c r="T59" s="372">
        <f t="shared" si="14"/>
        <v>0</v>
      </c>
      <c r="U59" s="373">
        <f t="shared" si="10"/>
        <v>0</v>
      </c>
      <c r="V59" s="374">
        <f t="shared" si="11"/>
        <v>0</v>
      </c>
      <c r="W59" s="335"/>
      <c r="X59" s="50"/>
      <c r="AA59" s="153"/>
      <c r="AJ59" s="153"/>
    </row>
    <row r="60" spans="2:36">
      <c r="B60" s="48"/>
      <c r="C60" s="77"/>
      <c r="D60" s="240" t="str">
        <f>IF(loon!D28="","",loon!D28)</f>
        <v/>
      </c>
      <c r="E60" s="240" t="str">
        <f>IF(loon!E28="","",loon!E28)</f>
        <v/>
      </c>
      <c r="F60" s="240" t="str">
        <f>IF(loon!F28="","",loon!F28)</f>
        <v/>
      </c>
      <c r="G60" s="363" t="str">
        <f>IF(loon!G28="","",loon!G28+1)</f>
        <v/>
      </c>
      <c r="H60" s="583" t="str">
        <f>IF(loon!H28="","",loon!H28)</f>
        <v/>
      </c>
      <c r="I60" s="363" t="str">
        <f>IF(loon!I28=0,"",loon!I28)</f>
        <v/>
      </c>
      <c r="J60" s="364" t="str">
        <f>IF(E60="","",(IF(loon!J28+1&gt;LOOKUP(I60,schaal,regels),loon!J28,loon!J28+1)))</f>
        <v/>
      </c>
      <c r="K60" s="365" t="str">
        <f>IF(loon!K28="","",loon!K28)</f>
        <v/>
      </c>
      <c r="L60" s="366" t="str">
        <f>IF(loon!L28="","",loon!L28)</f>
        <v/>
      </c>
      <c r="M60" s="367" t="str">
        <f t="shared" si="8"/>
        <v/>
      </c>
      <c r="N60" s="214"/>
      <c r="O60" s="371" t="str">
        <f>IF(I60="","",VLOOKUP(I60,tab!$A$15:$V$57,J60+2,FALSE))</f>
        <v/>
      </c>
      <c r="P60" s="259" t="str">
        <f t="shared" si="9"/>
        <v/>
      </c>
      <c r="Q60" s="580">
        <f t="shared" si="12"/>
        <v>0.62</v>
      </c>
      <c r="R60" s="259" t="str">
        <f t="shared" si="13"/>
        <v/>
      </c>
      <c r="S60" s="259">
        <f>IF(L60="",0,(((O60*12)*L60)*(IF(I60&gt;8,1+tab!$E$8,1+tab!$E$10))))</f>
        <v>0</v>
      </c>
      <c r="T60" s="372">
        <f t="shared" si="14"/>
        <v>0</v>
      </c>
      <c r="U60" s="373">
        <f t="shared" si="10"/>
        <v>0</v>
      </c>
      <c r="V60" s="374">
        <f t="shared" si="11"/>
        <v>0</v>
      </c>
      <c r="W60" s="335"/>
      <c r="X60" s="50"/>
      <c r="AA60" s="153"/>
      <c r="AJ60" s="153"/>
    </row>
    <row r="61" spans="2:36">
      <c r="B61" s="48"/>
      <c r="C61" s="77"/>
      <c r="D61" s="240" t="str">
        <f>IF(loon!D29="","",loon!D29)</f>
        <v/>
      </c>
      <c r="E61" s="240" t="str">
        <f>IF(loon!E29="","",loon!E29)</f>
        <v/>
      </c>
      <c r="F61" s="240" t="str">
        <f>IF(loon!F29="","",loon!F29)</f>
        <v/>
      </c>
      <c r="G61" s="363" t="str">
        <f>IF(loon!G29="","",loon!G29+1)</f>
        <v/>
      </c>
      <c r="H61" s="583" t="str">
        <f>IF(loon!H29="","",loon!H29)</f>
        <v/>
      </c>
      <c r="I61" s="363" t="str">
        <f>IF(loon!I29=0,"",loon!I29)</f>
        <v/>
      </c>
      <c r="J61" s="364" t="str">
        <f>IF(E61="","",(IF(loon!J29+1&gt;LOOKUP(I61,schaal,regels),loon!J29,loon!J29+1)))</f>
        <v/>
      </c>
      <c r="K61" s="365" t="str">
        <f>IF(loon!K29="","",loon!K29)</f>
        <v/>
      </c>
      <c r="L61" s="366" t="str">
        <f>IF(loon!L29="","",loon!L29)</f>
        <v/>
      </c>
      <c r="M61" s="367" t="str">
        <f t="shared" si="8"/>
        <v/>
      </c>
      <c r="N61" s="214"/>
      <c r="O61" s="371" t="str">
        <f>IF(I61="","",VLOOKUP(I61,tab!$A$15:$V$57,J61+2,FALSE))</f>
        <v/>
      </c>
      <c r="P61" s="259" t="str">
        <f t="shared" si="9"/>
        <v/>
      </c>
      <c r="Q61" s="580">
        <f t="shared" si="12"/>
        <v>0.62</v>
      </c>
      <c r="R61" s="259" t="str">
        <f t="shared" si="13"/>
        <v/>
      </c>
      <c r="S61" s="259">
        <f>IF(L61="",0,(((O61*12)*L61)*(IF(I61&gt;8,1+tab!$E$8,1+tab!$E$10))))</f>
        <v>0</v>
      </c>
      <c r="T61" s="372">
        <f t="shared" si="14"/>
        <v>0</v>
      </c>
      <c r="U61" s="373">
        <f t="shared" si="10"/>
        <v>0</v>
      </c>
      <c r="V61" s="374">
        <f t="shared" si="11"/>
        <v>0</v>
      </c>
      <c r="W61" s="335"/>
      <c r="X61" s="50"/>
      <c r="AA61" s="153"/>
      <c r="AJ61" s="153"/>
    </row>
    <row r="62" spans="2:36">
      <c r="B62" s="48"/>
      <c r="C62" s="77"/>
      <c r="D62" s="240" t="str">
        <f>IF(loon!D30="","",loon!D30)</f>
        <v/>
      </c>
      <c r="E62" s="240" t="str">
        <f>IF(loon!E30="","",loon!E30)</f>
        <v/>
      </c>
      <c r="F62" s="240" t="str">
        <f>IF(loon!F30="","",loon!F30)</f>
        <v/>
      </c>
      <c r="G62" s="363" t="str">
        <f>IF(loon!G30="","",loon!G30+1)</f>
        <v/>
      </c>
      <c r="H62" s="583" t="str">
        <f>IF(loon!H30="","",loon!H30)</f>
        <v/>
      </c>
      <c r="I62" s="363" t="str">
        <f>IF(loon!I30=0,"",loon!I30)</f>
        <v/>
      </c>
      <c r="J62" s="364" t="str">
        <f>IF(E62="","",(IF(loon!J30+1&gt;LOOKUP(I62,schaal,regels),loon!J30,loon!J30+1)))</f>
        <v/>
      </c>
      <c r="K62" s="365" t="str">
        <f>IF(loon!K30="","",loon!K30)</f>
        <v/>
      </c>
      <c r="L62" s="366" t="str">
        <f>IF(loon!L30="","",loon!L30)</f>
        <v/>
      </c>
      <c r="M62" s="367" t="str">
        <f t="shared" si="8"/>
        <v/>
      </c>
      <c r="N62" s="214"/>
      <c r="O62" s="371" t="str">
        <f>IF(I62="","",VLOOKUP(I62,tab!$A$15:$V$57,J62+2,FALSE))</f>
        <v/>
      </c>
      <c r="P62" s="259" t="str">
        <f t="shared" si="9"/>
        <v/>
      </c>
      <c r="Q62" s="580">
        <f t="shared" si="12"/>
        <v>0.62</v>
      </c>
      <c r="R62" s="259" t="str">
        <f t="shared" si="13"/>
        <v/>
      </c>
      <c r="S62" s="259">
        <f>IF(L62="",0,(((O62*12)*L62)*(IF(I62&gt;8,1+tab!$E$8,1+tab!$E$10))))</f>
        <v>0</v>
      </c>
      <c r="T62" s="372">
        <f t="shared" si="14"/>
        <v>0</v>
      </c>
      <c r="U62" s="373">
        <f t="shared" si="10"/>
        <v>0</v>
      </c>
      <c r="V62" s="374">
        <f t="shared" si="11"/>
        <v>0</v>
      </c>
      <c r="W62" s="335"/>
      <c r="X62" s="50"/>
      <c r="AA62" s="153"/>
      <c r="AJ62" s="153"/>
    </row>
    <row r="63" spans="2:36">
      <c r="B63" s="48"/>
      <c r="C63" s="77"/>
      <c r="D63" s="240" t="str">
        <f>IF(loon!D31="","",loon!D31)</f>
        <v/>
      </c>
      <c r="E63" s="240" t="str">
        <f>IF(loon!E31="","",loon!E31)</f>
        <v/>
      </c>
      <c r="F63" s="240" t="str">
        <f>IF(loon!F31="","",loon!F31)</f>
        <v/>
      </c>
      <c r="G63" s="363" t="str">
        <f>IF(loon!G31="","",loon!G31+1)</f>
        <v/>
      </c>
      <c r="H63" s="583" t="str">
        <f>IF(loon!H31="","",loon!H31)</f>
        <v/>
      </c>
      <c r="I63" s="363" t="str">
        <f>IF(loon!I31=0,"",loon!I31)</f>
        <v/>
      </c>
      <c r="J63" s="364" t="str">
        <f>IF(E63="","",(IF(loon!J31+1&gt;LOOKUP(I63,schaal,regels),loon!J31,loon!J31+1)))</f>
        <v/>
      </c>
      <c r="K63" s="365" t="str">
        <f>IF(loon!K31="","",loon!K31)</f>
        <v/>
      </c>
      <c r="L63" s="366" t="str">
        <f>IF(loon!L31="","",loon!L31)</f>
        <v/>
      </c>
      <c r="M63" s="367" t="str">
        <f t="shared" si="8"/>
        <v/>
      </c>
      <c r="N63" s="214"/>
      <c r="O63" s="371" t="str">
        <f>IF(I63="","",VLOOKUP(I63,tab!$A$15:$V$57,J63+2,FALSE))</f>
        <v/>
      </c>
      <c r="P63" s="259" t="str">
        <f t="shared" si="9"/>
        <v/>
      </c>
      <c r="Q63" s="580">
        <f t="shared" si="12"/>
        <v>0.62</v>
      </c>
      <c r="R63" s="259" t="str">
        <f t="shared" si="13"/>
        <v/>
      </c>
      <c r="S63" s="259">
        <f>IF(L63="",0,(((O63*12)*L63)*(IF(I63&gt;8,1+tab!$E$8,1+tab!$E$10))))</f>
        <v>0</v>
      </c>
      <c r="T63" s="372">
        <f t="shared" si="14"/>
        <v>0</v>
      </c>
      <c r="U63" s="373">
        <f t="shared" si="10"/>
        <v>0</v>
      </c>
      <c r="V63" s="374">
        <f t="shared" si="11"/>
        <v>0</v>
      </c>
      <c r="W63" s="335"/>
      <c r="X63" s="50"/>
      <c r="AA63" s="153"/>
      <c r="AJ63" s="153"/>
    </row>
    <row r="64" spans="2:36">
      <c r="B64" s="48"/>
      <c r="C64" s="77"/>
      <c r="D64" s="240" t="str">
        <f>IF(loon!D32="","",loon!D32)</f>
        <v/>
      </c>
      <c r="E64" s="240" t="str">
        <f>IF(loon!E32="","",loon!E32)</f>
        <v/>
      </c>
      <c r="F64" s="240" t="str">
        <f>IF(loon!F32="","",loon!F32)</f>
        <v/>
      </c>
      <c r="G64" s="363" t="str">
        <f>IF(loon!G32="","",loon!G32+1)</f>
        <v/>
      </c>
      <c r="H64" s="583" t="str">
        <f>IF(loon!H32="","",loon!H32)</f>
        <v/>
      </c>
      <c r="I64" s="363" t="str">
        <f>IF(loon!I32=0,"",loon!I32)</f>
        <v/>
      </c>
      <c r="J64" s="364" t="str">
        <f>IF(E64="","",(IF(loon!J32+1&gt;LOOKUP(I64,schaal,regels),loon!J32,loon!J32+1)))</f>
        <v/>
      </c>
      <c r="K64" s="365" t="str">
        <f>IF(loon!K32="","",loon!K32)</f>
        <v/>
      </c>
      <c r="L64" s="366" t="str">
        <f>IF(loon!L32="","",loon!L32)</f>
        <v/>
      </c>
      <c r="M64" s="367" t="str">
        <f t="shared" si="8"/>
        <v/>
      </c>
      <c r="N64" s="214"/>
      <c r="O64" s="371" t="str">
        <f>IF(I64="","",VLOOKUP(I64,tab!$A$15:$V$57,J64+2,FALSE))</f>
        <v/>
      </c>
      <c r="P64" s="259" t="str">
        <f t="shared" si="9"/>
        <v/>
      </c>
      <c r="Q64" s="580">
        <f t="shared" si="12"/>
        <v>0.62</v>
      </c>
      <c r="R64" s="259" t="str">
        <f t="shared" si="13"/>
        <v/>
      </c>
      <c r="S64" s="259">
        <f>IF(L64="",0,(((O64*12)*L64)*(IF(I64&gt;8,1+tab!$E$8,1+tab!$E$10))))</f>
        <v>0</v>
      </c>
      <c r="T64" s="372">
        <f t="shared" si="14"/>
        <v>0</v>
      </c>
      <c r="U64" s="373">
        <f t="shared" si="10"/>
        <v>0</v>
      </c>
      <c r="V64" s="374">
        <f t="shared" si="11"/>
        <v>0</v>
      </c>
      <c r="W64" s="335"/>
      <c r="X64" s="50"/>
      <c r="AA64" s="153"/>
      <c r="AJ64" s="153"/>
    </row>
    <row r="65" spans="2:41">
      <c r="B65" s="48"/>
      <c r="C65" s="77"/>
      <c r="D65" s="240" t="str">
        <f>IF(loon!D33="","",loon!D33)</f>
        <v/>
      </c>
      <c r="E65" s="240" t="str">
        <f>IF(loon!E33="","",loon!E33)</f>
        <v/>
      </c>
      <c r="F65" s="240" t="str">
        <f>IF(loon!F33="","",loon!F33)</f>
        <v/>
      </c>
      <c r="G65" s="363" t="str">
        <f>IF(loon!G33="","",loon!G33+1)</f>
        <v/>
      </c>
      <c r="H65" s="583" t="str">
        <f>IF(loon!H33="","",loon!H33)</f>
        <v/>
      </c>
      <c r="I65" s="363" t="str">
        <f>IF(loon!I33=0,"",loon!I33)</f>
        <v/>
      </c>
      <c r="J65" s="364" t="str">
        <f>IF(E65="","",(IF(loon!J33+1&gt;LOOKUP(I65,schaal,regels),loon!J33,loon!J33+1)))</f>
        <v/>
      </c>
      <c r="K65" s="365" t="str">
        <f>IF(loon!K33="","",loon!K33)</f>
        <v/>
      </c>
      <c r="L65" s="366" t="str">
        <f>IF(loon!L33="","",loon!L33)</f>
        <v/>
      </c>
      <c r="M65" s="367" t="str">
        <f t="shared" si="8"/>
        <v/>
      </c>
      <c r="N65" s="214"/>
      <c r="O65" s="371" t="str">
        <f>IF(I65="","",VLOOKUP(I65,tab!$A$15:$V$57,J65+2,FALSE))</f>
        <v/>
      </c>
      <c r="P65" s="259" t="str">
        <f t="shared" si="9"/>
        <v/>
      </c>
      <c r="Q65" s="580">
        <f t="shared" si="12"/>
        <v>0.62</v>
      </c>
      <c r="R65" s="259" t="str">
        <f t="shared" si="13"/>
        <v/>
      </c>
      <c r="S65" s="259">
        <f>IF(L65="",0,(((O65*12)*L65)*(IF(I65&gt;8,1+tab!$E$8,1+tab!$E$10))))</f>
        <v>0</v>
      </c>
      <c r="T65" s="372">
        <f t="shared" si="14"/>
        <v>0</v>
      </c>
      <c r="U65" s="373">
        <f t="shared" si="10"/>
        <v>0</v>
      </c>
      <c r="V65" s="374">
        <f t="shared" si="11"/>
        <v>0</v>
      </c>
      <c r="W65" s="335"/>
      <c r="X65" s="50"/>
      <c r="AA65" s="153"/>
      <c r="AJ65" s="153"/>
    </row>
    <row r="66" spans="2:41">
      <c r="B66" s="48"/>
      <c r="C66" s="77"/>
      <c r="D66" s="240" t="str">
        <f>IF(loon!D34="","",loon!D34)</f>
        <v/>
      </c>
      <c r="E66" s="240" t="str">
        <f>IF(loon!E34="","",loon!E34)</f>
        <v/>
      </c>
      <c r="F66" s="240" t="str">
        <f>IF(loon!F34="","",loon!F34)</f>
        <v/>
      </c>
      <c r="G66" s="363" t="str">
        <f>IF(loon!G34="","",loon!G34+1)</f>
        <v/>
      </c>
      <c r="H66" s="583" t="str">
        <f>IF(loon!H34="","",loon!H34)</f>
        <v/>
      </c>
      <c r="I66" s="363" t="str">
        <f>IF(loon!I34=0,"",loon!I34)</f>
        <v/>
      </c>
      <c r="J66" s="364" t="str">
        <f>IF(E66="","",(IF(loon!J34+1&gt;LOOKUP(I66,schaal,regels),loon!J34,loon!J34+1)))</f>
        <v/>
      </c>
      <c r="K66" s="365" t="str">
        <f>IF(loon!K34="","",loon!K34)</f>
        <v/>
      </c>
      <c r="L66" s="366" t="str">
        <f>IF(loon!L34="","",loon!L34)</f>
        <v/>
      </c>
      <c r="M66" s="367" t="str">
        <f t="shared" si="8"/>
        <v/>
      </c>
      <c r="N66" s="214"/>
      <c r="O66" s="371" t="str">
        <f>IF(I66="","",VLOOKUP(I66,tab!$A$15:$V$57,J66+2,FALSE))</f>
        <v/>
      </c>
      <c r="P66" s="259" t="str">
        <f t="shared" si="9"/>
        <v/>
      </c>
      <c r="Q66" s="580">
        <f t="shared" si="12"/>
        <v>0.62</v>
      </c>
      <c r="R66" s="259" t="str">
        <f t="shared" si="13"/>
        <v/>
      </c>
      <c r="S66" s="259">
        <f>IF(L66="",0,(((O66*12)*L66)*(IF(I66&gt;8,1+tab!$E$8,1+tab!$E$10))))</f>
        <v>0</v>
      </c>
      <c r="T66" s="372">
        <f t="shared" si="14"/>
        <v>0</v>
      </c>
      <c r="U66" s="373">
        <f t="shared" si="10"/>
        <v>0</v>
      </c>
      <c r="V66" s="374">
        <f t="shared" si="11"/>
        <v>0</v>
      </c>
      <c r="W66" s="335"/>
      <c r="X66" s="50"/>
      <c r="AA66" s="153"/>
      <c r="AJ66" s="153"/>
    </row>
    <row r="67" spans="2:41">
      <c r="B67" s="48"/>
      <c r="C67" s="77"/>
      <c r="D67" s="193"/>
      <c r="E67" s="193"/>
      <c r="F67" s="193"/>
      <c r="G67" s="199"/>
      <c r="H67" s="199"/>
      <c r="I67" s="199"/>
      <c r="J67" s="336"/>
      <c r="K67" s="375">
        <f>SUM(K47:K66)</f>
        <v>0</v>
      </c>
      <c r="L67" s="375">
        <f>SUM(L47:L66)</f>
        <v>0</v>
      </c>
      <c r="M67" s="375">
        <f>SUM(M47:M66)</f>
        <v>0</v>
      </c>
      <c r="N67" s="214"/>
      <c r="O67" s="251">
        <f t="shared" ref="O67:V67" si="15">SUM(O47:O66)</f>
        <v>0</v>
      </c>
      <c r="P67" s="251">
        <f t="shared" si="15"/>
        <v>0</v>
      </c>
      <c r="Q67" s="221"/>
      <c r="R67" s="251">
        <f t="shared" si="15"/>
        <v>0</v>
      </c>
      <c r="S67" s="251">
        <f t="shared" si="15"/>
        <v>0</v>
      </c>
      <c r="T67" s="251">
        <f t="shared" si="15"/>
        <v>0</v>
      </c>
      <c r="U67" s="337">
        <f t="shared" si="15"/>
        <v>0</v>
      </c>
      <c r="V67" s="250">
        <f t="shared" si="15"/>
        <v>0</v>
      </c>
      <c r="W67" s="338"/>
      <c r="X67" s="50"/>
    </row>
    <row r="68" spans="2:41">
      <c r="B68" s="48"/>
      <c r="C68" s="77"/>
      <c r="D68" s="78"/>
      <c r="E68" s="78"/>
      <c r="F68" s="78"/>
      <c r="G68" s="191"/>
      <c r="H68" s="191"/>
      <c r="I68" s="191"/>
      <c r="J68" s="339"/>
      <c r="K68" s="334"/>
      <c r="L68" s="339"/>
      <c r="M68" s="334"/>
      <c r="N68" s="339"/>
      <c r="O68" s="339"/>
      <c r="P68" s="221"/>
      <c r="Q68" s="221"/>
      <c r="R68" s="221"/>
      <c r="S68" s="221"/>
      <c r="T68" s="221"/>
      <c r="U68" s="340"/>
      <c r="V68" s="211"/>
      <c r="W68" s="338"/>
      <c r="X68" s="50"/>
    </row>
    <row r="69" spans="2:41" ht="12.75" customHeight="1">
      <c r="B69" s="69"/>
      <c r="C69" s="70"/>
      <c r="D69" s="302"/>
      <c r="E69" s="302"/>
      <c r="F69" s="302"/>
      <c r="G69" s="303"/>
      <c r="H69" s="303"/>
      <c r="I69" s="303"/>
      <c r="J69" s="304"/>
      <c r="K69" s="305"/>
      <c r="L69" s="306"/>
      <c r="M69" s="306"/>
      <c r="N69" s="70"/>
      <c r="O69" s="307"/>
      <c r="P69" s="308"/>
      <c r="Q69" s="308"/>
      <c r="R69" s="308"/>
      <c r="S69" s="308"/>
      <c r="T69" s="176"/>
      <c r="U69" s="309"/>
      <c r="V69" s="310"/>
      <c r="W69" s="70"/>
      <c r="X69" s="72"/>
    </row>
    <row r="70" spans="2:41" ht="12.75" customHeight="1">
      <c r="I70" s="97"/>
      <c r="K70" s="144"/>
      <c r="L70" s="116"/>
      <c r="M70" s="116"/>
      <c r="O70" s="145"/>
      <c r="P70" s="143"/>
      <c r="Q70" s="143"/>
      <c r="R70" s="143"/>
      <c r="S70" s="143"/>
      <c r="T70" s="146"/>
      <c r="U70" s="147"/>
      <c r="V70" s="98"/>
    </row>
    <row r="71" spans="2:41" ht="12.75" customHeight="1">
      <c r="I71" s="97"/>
      <c r="K71" s="144"/>
      <c r="L71" s="116"/>
      <c r="M71" s="116"/>
      <c r="O71" s="145"/>
      <c r="P71" s="143"/>
      <c r="Q71" s="143"/>
      <c r="R71" s="143"/>
      <c r="S71" s="143"/>
      <c r="T71" s="146"/>
      <c r="U71" s="147"/>
      <c r="V71" s="98"/>
    </row>
    <row r="72" spans="2:41" ht="12.75" customHeight="1">
      <c r="C72" s="33" t="s">
        <v>33</v>
      </c>
      <c r="E72" s="129" t="str">
        <f>tab!F3</f>
        <v>2015/16</v>
      </c>
      <c r="I72" s="97"/>
      <c r="K72" s="144"/>
      <c r="L72" s="116"/>
      <c r="M72" s="116"/>
      <c r="O72" s="145"/>
      <c r="P72" s="143"/>
      <c r="Q72" s="143"/>
      <c r="R72" s="143"/>
      <c r="S72" s="143"/>
      <c r="T72" s="146"/>
      <c r="U72" s="147"/>
      <c r="V72" s="98"/>
    </row>
    <row r="73" spans="2:41" ht="12.75" customHeight="1">
      <c r="C73" s="33" t="s">
        <v>40</v>
      </c>
      <c r="E73" s="129">
        <f>tab!G4</f>
        <v>42278</v>
      </c>
      <c r="I73" s="97"/>
      <c r="K73" s="144"/>
      <c r="L73" s="116"/>
      <c r="M73" s="116"/>
      <c r="O73" s="145"/>
      <c r="P73" s="143"/>
      <c r="Q73" s="143"/>
      <c r="R73" s="143"/>
      <c r="S73" s="143"/>
      <c r="T73" s="146"/>
      <c r="U73" s="147"/>
      <c r="V73" s="98"/>
    </row>
    <row r="74" spans="2:41" ht="12.75" customHeight="1">
      <c r="I74" s="97"/>
      <c r="K74" s="144"/>
      <c r="L74" s="116"/>
      <c r="M74" s="116"/>
      <c r="O74" s="145"/>
      <c r="P74" s="143"/>
      <c r="Q74" s="143"/>
      <c r="R74" s="143"/>
      <c r="S74" s="143"/>
      <c r="T74" s="146"/>
      <c r="U74" s="147"/>
      <c r="V74" s="98"/>
    </row>
    <row r="75" spans="2:41" ht="12.75" customHeight="1">
      <c r="C75" s="73"/>
      <c r="D75" s="311"/>
      <c r="E75" s="312"/>
      <c r="F75" s="313"/>
      <c r="G75" s="186"/>
      <c r="H75" s="314"/>
      <c r="I75" s="315"/>
      <c r="J75" s="315"/>
      <c r="K75" s="316"/>
      <c r="L75" s="315"/>
      <c r="M75" s="317"/>
      <c r="N75" s="74"/>
      <c r="O75" s="318"/>
      <c r="P75" s="74"/>
      <c r="Q75" s="74"/>
      <c r="R75" s="74"/>
      <c r="S75" s="74"/>
      <c r="T75" s="319"/>
      <c r="U75" s="320"/>
      <c r="V75" s="188"/>
      <c r="W75" s="189"/>
      <c r="AC75" s="130"/>
      <c r="AD75" s="131"/>
      <c r="AE75" s="130"/>
      <c r="AF75" s="130"/>
      <c r="AG75" s="130"/>
      <c r="AH75" s="41"/>
      <c r="AI75" s="132"/>
      <c r="AJ75" s="133"/>
      <c r="AK75" s="134"/>
      <c r="AL75" s="135"/>
      <c r="AM75" s="132"/>
    </row>
    <row r="76" spans="2:41" ht="12.75" customHeight="1">
      <c r="C76" s="321"/>
      <c r="D76" s="623" t="s">
        <v>264</v>
      </c>
      <c r="E76" s="625"/>
      <c r="F76" s="625"/>
      <c r="G76" s="625"/>
      <c r="H76" s="625"/>
      <c r="I76" s="624"/>
      <c r="J76" s="624"/>
      <c r="K76" s="624"/>
      <c r="L76" s="624"/>
      <c r="M76" s="624"/>
      <c r="N76" s="349"/>
      <c r="O76" s="623" t="s">
        <v>35</v>
      </c>
      <c r="P76" s="624"/>
      <c r="Q76" s="624"/>
      <c r="R76" s="624"/>
      <c r="S76" s="624"/>
      <c r="T76" s="624"/>
      <c r="U76" s="350"/>
      <c r="V76" s="368"/>
      <c r="W76" s="322"/>
      <c r="X76" s="148"/>
      <c r="Y76" s="148"/>
      <c r="Z76" s="116"/>
      <c r="AA76" s="149"/>
      <c r="AB76" s="116"/>
      <c r="AC76" s="33"/>
      <c r="AD76" s="33"/>
      <c r="AL76" s="33"/>
      <c r="AM76" s="33"/>
      <c r="AN76" s="148"/>
      <c r="AO76" s="148"/>
    </row>
    <row r="77" spans="2:41" ht="12.75" customHeight="1">
      <c r="C77" s="321"/>
      <c r="D77" s="351" t="s">
        <v>125</v>
      </c>
      <c r="E77" s="352" t="s">
        <v>34</v>
      </c>
      <c r="F77" s="352" t="s">
        <v>29</v>
      </c>
      <c r="G77" s="353" t="s">
        <v>2</v>
      </c>
      <c r="H77" s="354" t="s">
        <v>265</v>
      </c>
      <c r="I77" s="353" t="s">
        <v>45</v>
      </c>
      <c r="J77" s="353" t="s">
        <v>52</v>
      </c>
      <c r="K77" s="355" t="s">
        <v>266</v>
      </c>
      <c r="L77" s="356" t="s">
        <v>46</v>
      </c>
      <c r="M77" s="355" t="s">
        <v>4</v>
      </c>
      <c r="N77" s="245"/>
      <c r="O77" s="357" t="s">
        <v>82</v>
      </c>
      <c r="P77" s="357" t="s">
        <v>294</v>
      </c>
      <c r="Q77" s="362" t="s">
        <v>295</v>
      </c>
      <c r="R77" s="369"/>
      <c r="S77" s="359" t="s">
        <v>46</v>
      </c>
      <c r="T77" s="370" t="s">
        <v>39</v>
      </c>
      <c r="U77" s="358" t="s">
        <v>81</v>
      </c>
      <c r="V77" s="368" t="s">
        <v>296</v>
      </c>
      <c r="W77" s="323"/>
      <c r="X77" s="150"/>
      <c r="Y77" s="150"/>
      <c r="Z77" s="151"/>
      <c r="AA77" s="152"/>
      <c r="AB77" s="151"/>
      <c r="AC77" s="33"/>
      <c r="AD77" s="33"/>
      <c r="AL77" s="33"/>
      <c r="AM77" s="33"/>
      <c r="AN77" s="148"/>
      <c r="AO77" s="150"/>
    </row>
    <row r="78" spans="2:41" s="34" customFormat="1" ht="12.75" customHeight="1">
      <c r="C78" s="324"/>
      <c r="D78" s="360"/>
      <c r="E78" s="352"/>
      <c r="F78" s="361"/>
      <c r="G78" s="353" t="s">
        <v>3</v>
      </c>
      <c r="H78" s="353" t="s">
        <v>287</v>
      </c>
      <c r="I78" s="353"/>
      <c r="J78" s="353"/>
      <c r="K78" s="355"/>
      <c r="L78" s="356"/>
      <c r="M78" s="355" t="s">
        <v>47</v>
      </c>
      <c r="N78" s="245"/>
      <c r="O78" s="357" t="s">
        <v>42</v>
      </c>
      <c r="P78" s="357" t="s">
        <v>297</v>
      </c>
      <c r="Q78" s="579">
        <f>tab!E6</f>
        <v>0.62</v>
      </c>
      <c r="R78" s="369" t="s">
        <v>298</v>
      </c>
      <c r="S78" s="359" t="s">
        <v>51</v>
      </c>
      <c r="T78" s="370" t="s">
        <v>77</v>
      </c>
      <c r="U78" s="358"/>
      <c r="V78" s="359" t="s">
        <v>51</v>
      </c>
      <c r="W78" s="325"/>
      <c r="AO78" s="142"/>
    </row>
    <row r="79" spans="2:41" ht="12.75" customHeight="1">
      <c r="C79" s="77"/>
      <c r="D79" s="78"/>
      <c r="E79" s="78"/>
      <c r="F79" s="78"/>
      <c r="G79" s="191"/>
      <c r="H79" s="191"/>
      <c r="I79" s="326"/>
      <c r="J79" s="326"/>
      <c r="K79" s="327"/>
      <c r="L79" s="328"/>
      <c r="M79" s="327"/>
      <c r="N79" s="329"/>
      <c r="O79" s="330"/>
      <c r="P79" s="331"/>
      <c r="Q79" s="581"/>
      <c r="R79" s="331"/>
      <c r="S79" s="331"/>
      <c r="T79" s="331"/>
      <c r="U79" s="332"/>
      <c r="V79" s="200"/>
      <c r="W79" s="333"/>
      <c r="AC79" s="33"/>
      <c r="AD79" s="33"/>
      <c r="AL79" s="33"/>
      <c r="AM79" s="33"/>
      <c r="AO79" s="143"/>
    </row>
    <row r="80" spans="2:41" ht="12.75" customHeight="1">
      <c r="C80" s="77"/>
      <c r="D80" s="240" t="str">
        <f>IF(loon!D47="","",loon!D47)</f>
        <v/>
      </c>
      <c r="E80" s="240" t="str">
        <f>IF(loon!E47=0,"",loon!E47)</f>
        <v/>
      </c>
      <c r="F80" s="240" t="str">
        <f>IF(loon!F47=0,"",loon!F47)</f>
        <v/>
      </c>
      <c r="G80" s="363" t="str">
        <f>IF(loon!G47="","",loon!G47+1)</f>
        <v/>
      </c>
      <c r="H80" s="583" t="str">
        <f>IF(loon!H47="","",loon!H47)</f>
        <v/>
      </c>
      <c r="I80" s="364" t="str">
        <f>IF(loon!I47=0,"",loon!I47)</f>
        <v/>
      </c>
      <c r="J80" s="364" t="str">
        <f>IF(E80="","",(IF(loon!J47+1&gt;LOOKUP(I80,schaal,regels),loon!J47,loon!J47+1)))</f>
        <v/>
      </c>
      <c r="K80" s="365" t="str">
        <f>IF(loon!K47="","",loon!K47)</f>
        <v/>
      </c>
      <c r="L80" s="366" t="str">
        <f>IF(loon!L47="","",loon!L47)</f>
        <v/>
      </c>
      <c r="M80" s="367" t="str">
        <f t="shared" ref="M80:M99" si="16">(IF(L80="",(K80),(K80)-L80))</f>
        <v/>
      </c>
      <c r="N80" s="214"/>
      <c r="O80" s="371" t="str">
        <f>IF(I80="","",VLOOKUP(I80,tab!$A$15:$V$57,J80+2,FALSE))</f>
        <v/>
      </c>
      <c r="P80" s="259" t="str">
        <f t="shared" ref="P80:P99" si="17">IF(E80="","",(O80*M80*12))</f>
        <v/>
      </c>
      <c r="Q80" s="580">
        <f>$Q$78</f>
        <v>0.62</v>
      </c>
      <c r="R80" s="259" t="str">
        <f>IF(E80="","",(P80*Q80))</f>
        <v/>
      </c>
      <c r="S80" s="259">
        <f>IF(L80="",0,(((O80*12)*L80)*(IF(I80&gt;8,1+tab!$E$8,1+tab!$E$10))))</f>
        <v>0</v>
      </c>
      <c r="T80" s="372">
        <f>IF(E80="",0,(P80+R80+S80))</f>
        <v>0</v>
      </c>
      <c r="U80" s="373">
        <f t="shared" ref="U80:U99" si="18">IF(G80&lt;25,0,IF(G80=25,25,IF(G80&lt;40,0,IF(G80=40,40,IF(G80&gt;=40,0)))))</f>
        <v>0</v>
      </c>
      <c r="V80" s="374">
        <f t="shared" ref="V80:V99" si="19">IF(U80=25,(O80*1.08*(K80)/2),IF(U80=40,(O80*1.08*(K80)),IF(U80=0,0)))</f>
        <v>0</v>
      </c>
      <c r="W80" s="335"/>
      <c r="AA80" s="153"/>
      <c r="AJ80" s="153"/>
    </row>
    <row r="81" spans="3:36" ht="12.75" customHeight="1">
      <c r="C81" s="77"/>
      <c r="D81" s="240" t="str">
        <f>IF(loon!D48="","",loon!D48)</f>
        <v/>
      </c>
      <c r="E81" s="240" t="str">
        <f>IF(loon!E48=0,"",loon!E48)</f>
        <v/>
      </c>
      <c r="F81" s="240" t="str">
        <f>IF(loon!F48=0,"",loon!F48)</f>
        <v/>
      </c>
      <c r="G81" s="363" t="str">
        <f>IF(loon!G48="","",loon!G48+1)</f>
        <v/>
      </c>
      <c r="H81" s="583" t="str">
        <f>IF(loon!H48="","",loon!H48)</f>
        <v/>
      </c>
      <c r="I81" s="363" t="str">
        <f>IF(loon!I48=0,"",loon!I48)</f>
        <v/>
      </c>
      <c r="J81" s="364" t="str">
        <f>IF(E81="","",(IF(loon!J48+1&gt;LOOKUP(I81,schaal,regels),loon!J48,loon!J48+1)))</f>
        <v/>
      </c>
      <c r="K81" s="365" t="str">
        <f>IF(loon!K48="","",loon!K48)</f>
        <v/>
      </c>
      <c r="L81" s="366" t="str">
        <f>IF(loon!L48="","",loon!L48)</f>
        <v/>
      </c>
      <c r="M81" s="367" t="str">
        <f t="shared" si="16"/>
        <v/>
      </c>
      <c r="N81" s="214"/>
      <c r="O81" s="371" t="str">
        <f>IF(I81="","",VLOOKUP(I81,tab!$A$15:$V$57,J81+2,FALSE))</f>
        <v/>
      </c>
      <c r="P81" s="259" t="str">
        <f t="shared" si="17"/>
        <v/>
      </c>
      <c r="Q81" s="580">
        <f t="shared" ref="Q81:Q99" si="20">$Q$78</f>
        <v>0.62</v>
      </c>
      <c r="R81" s="259" t="str">
        <f t="shared" ref="R81:R99" si="21">IF(E81="","",(P81*Q81))</f>
        <v/>
      </c>
      <c r="S81" s="259">
        <f>IF(L81="",0,(((O81*12)*L81)*(IF(I81&gt;8,1+tab!$E$8,1+tab!$E$10))))</f>
        <v>0</v>
      </c>
      <c r="T81" s="372">
        <f t="shared" ref="T81:T99" si="22">IF(E81="",0,(P81+R81+S81))</f>
        <v>0</v>
      </c>
      <c r="U81" s="373">
        <f t="shared" si="18"/>
        <v>0</v>
      </c>
      <c r="V81" s="374">
        <f t="shared" si="19"/>
        <v>0</v>
      </c>
      <c r="W81" s="335"/>
      <c r="AA81" s="153"/>
      <c r="AJ81" s="153"/>
    </row>
    <row r="82" spans="3:36" ht="12.75" customHeight="1">
      <c r="C82" s="77"/>
      <c r="D82" s="240" t="str">
        <f>IF(loon!D49="","",loon!D49)</f>
        <v/>
      </c>
      <c r="E82" s="240" t="str">
        <f>IF(loon!E49=0,"",loon!E49)</f>
        <v/>
      </c>
      <c r="F82" s="240" t="str">
        <f>IF(loon!F49=0,"",loon!F49)</f>
        <v/>
      </c>
      <c r="G82" s="363" t="str">
        <f>IF(loon!G49="","",loon!G49+1)</f>
        <v/>
      </c>
      <c r="H82" s="583" t="str">
        <f>IF(loon!H49="","",loon!H49)</f>
        <v/>
      </c>
      <c r="I82" s="363" t="str">
        <f>IF(loon!I49=0,"",loon!I49)</f>
        <v/>
      </c>
      <c r="J82" s="364" t="str">
        <f>IF(E82="","",(IF(loon!J49+1&gt;LOOKUP(I82,schaal,regels),loon!J49,loon!J49+1)))</f>
        <v/>
      </c>
      <c r="K82" s="365" t="str">
        <f>IF(loon!K49="","",loon!K49)</f>
        <v/>
      </c>
      <c r="L82" s="366" t="str">
        <f>IF(loon!L49="","",loon!L49)</f>
        <v/>
      </c>
      <c r="M82" s="367" t="str">
        <f t="shared" si="16"/>
        <v/>
      </c>
      <c r="N82" s="214"/>
      <c r="O82" s="371" t="str">
        <f>IF(I82="","",VLOOKUP(I82,tab!$A$15:$V$57,J82+2,FALSE))</f>
        <v/>
      </c>
      <c r="P82" s="259" t="str">
        <f t="shared" si="17"/>
        <v/>
      </c>
      <c r="Q82" s="580">
        <f t="shared" si="20"/>
        <v>0.62</v>
      </c>
      <c r="R82" s="259" t="str">
        <f t="shared" si="21"/>
        <v/>
      </c>
      <c r="S82" s="259">
        <f>IF(L82="",0,(((O82*12)*L82)*(IF(I82&gt;8,1+tab!$E$8,1+tab!$E$10))))</f>
        <v>0</v>
      </c>
      <c r="T82" s="372">
        <f t="shared" si="22"/>
        <v>0</v>
      </c>
      <c r="U82" s="373">
        <f t="shared" si="18"/>
        <v>0</v>
      </c>
      <c r="V82" s="374">
        <f t="shared" si="19"/>
        <v>0</v>
      </c>
      <c r="W82" s="335"/>
      <c r="AA82" s="153"/>
      <c r="AJ82" s="153"/>
    </row>
    <row r="83" spans="3:36" ht="12.75" customHeight="1">
      <c r="C83" s="77"/>
      <c r="D83" s="240" t="str">
        <f>IF(loon!D50="","",loon!D50)</f>
        <v/>
      </c>
      <c r="E83" s="240" t="str">
        <f>IF(loon!E50=0,"",loon!E50)</f>
        <v/>
      </c>
      <c r="F83" s="240" t="str">
        <f>IF(loon!F50=0,"",loon!F50)</f>
        <v/>
      </c>
      <c r="G83" s="363" t="str">
        <f>IF(loon!G50="","",loon!G50+1)</f>
        <v/>
      </c>
      <c r="H83" s="583" t="str">
        <f>IF(loon!H50="","",loon!H50)</f>
        <v/>
      </c>
      <c r="I83" s="363" t="str">
        <f>IF(loon!I50=0,"",loon!I50)</f>
        <v/>
      </c>
      <c r="J83" s="364" t="str">
        <f>IF(E83="","",(IF(loon!J50+1&gt;LOOKUP(I83,schaal,regels),loon!J50,loon!J50+1)))</f>
        <v/>
      </c>
      <c r="K83" s="365" t="str">
        <f>IF(loon!K50="","",loon!K50)</f>
        <v/>
      </c>
      <c r="L83" s="366" t="str">
        <f>IF(loon!L50="","",loon!L50)</f>
        <v/>
      </c>
      <c r="M83" s="367" t="str">
        <f t="shared" si="16"/>
        <v/>
      </c>
      <c r="N83" s="214"/>
      <c r="O83" s="371" t="str">
        <f>IF(I83="","",VLOOKUP(I83,tab!$A$15:$V$57,J83+2,FALSE))</f>
        <v/>
      </c>
      <c r="P83" s="259" t="str">
        <f t="shared" si="17"/>
        <v/>
      </c>
      <c r="Q83" s="580">
        <f t="shared" si="20"/>
        <v>0.62</v>
      </c>
      <c r="R83" s="259" t="str">
        <f t="shared" si="21"/>
        <v/>
      </c>
      <c r="S83" s="259">
        <f>IF(L83="",0,(((O83*12)*L83)*(IF(I83&gt;8,1+tab!$E$8,1+tab!$E$10))))</f>
        <v>0</v>
      </c>
      <c r="T83" s="372">
        <f t="shared" si="22"/>
        <v>0</v>
      </c>
      <c r="U83" s="373">
        <f t="shared" si="18"/>
        <v>0</v>
      </c>
      <c r="V83" s="374">
        <f t="shared" si="19"/>
        <v>0</v>
      </c>
      <c r="W83" s="335"/>
      <c r="AA83" s="153"/>
      <c r="AJ83" s="153"/>
    </row>
    <row r="84" spans="3:36" ht="12.75" customHeight="1">
      <c r="C84" s="77"/>
      <c r="D84" s="240" t="str">
        <f>IF(loon!D51="","",loon!D51)</f>
        <v/>
      </c>
      <c r="E84" s="240" t="str">
        <f>IF(loon!E51=0,"",loon!E51)</f>
        <v/>
      </c>
      <c r="F84" s="240" t="str">
        <f>IF(loon!F51=0,"",loon!F51)</f>
        <v/>
      </c>
      <c r="G84" s="363" t="str">
        <f>IF(loon!G51="","",loon!G51+1)</f>
        <v/>
      </c>
      <c r="H84" s="583" t="str">
        <f>IF(loon!H51="","",loon!H51)</f>
        <v/>
      </c>
      <c r="I84" s="363" t="str">
        <f>IF(loon!I51=0,"",loon!I51)</f>
        <v/>
      </c>
      <c r="J84" s="364" t="str">
        <f>IF(E84="","",(IF(loon!J51+1&gt;LOOKUP(I84,schaal,regels),loon!J51,loon!J51+1)))</f>
        <v/>
      </c>
      <c r="K84" s="365" t="str">
        <f>IF(loon!K51="","",loon!K51)</f>
        <v/>
      </c>
      <c r="L84" s="366" t="str">
        <f>IF(loon!L51="","",loon!L51)</f>
        <v/>
      </c>
      <c r="M84" s="367" t="str">
        <f t="shared" si="16"/>
        <v/>
      </c>
      <c r="N84" s="214"/>
      <c r="O84" s="371" t="str">
        <f>IF(I84="","",VLOOKUP(I84,tab!$A$15:$V$57,J84+2,FALSE))</f>
        <v/>
      </c>
      <c r="P84" s="259" t="str">
        <f t="shared" si="17"/>
        <v/>
      </c>
      <c r="Q84" s="580">
        <f t="shared" si="20"/>
        <v>0.62</v>
      </c>
      <c r="R84" s="259" t="str">
        <f t="shared" si="21"/>
        <v/>
      </c>
      <c r="S84" s="259">
        <f>IF(L84="",0,(((O84*12)*L84)*(IF(I84&gt;8,1+tab!$E$8,1+tab!$E$10))))</f>
        <v>0</v>
      </c>
      <c r="T84" s="372">
        <f t="shared" si="22"/>
        <v>0</v>
      </c>
      <c r="U84" s="373">
        <f t="shared" si="18"/>
        <v>0</v>
      </c>
      <c r="V84" s="374">
        <f t="shared" si="19"/>
        <v>0</v>
      </c>
      <c r="W84" s="335"/>
      <c r="AA84" s="153"/>
      <c r="AJ84" s="153"/>
    </row>
    <row r="85" spans="3:36" ht="12.75" customHeight="1">
      <c r="C85" s="77"/>
      <c r="D85" s="240" t="str">
        <f>IF(loon!D52="","",loon!D52)</f>
        <v/>
      </c>
      <c r="E85" s="240" t="str">
        <f>IF(loon!E52=0,"",loon!E52)</f>
        <v/>
      </c>
      <c r="F85" s="240" t="str">
        <f>IF(loon!F52=0,"",loon!F52)</f>
        <v/>
      </c>
      <c r="G85" s="363" t="str">
        <f>IF(loon!G52="","",loon!G52+1)</f>
        <v/>
      </c>
      <c r="H85" s="583" t="str">
        <f>IF(loon!H52="","",loon!H52)</f>
        <v/>
      </c>
      <c r="I85" s="363" t="str">
        <f>IF(loon!I52=0,"",loon!I52)</f>
        <v/>
      </c>
      <c r="J85" s="364" t="str">
        <f>IF(E85="","",(IF(loon!J52+1&gt;LOOKUP(I85,schaal,regels),loon!J52,loon!J52+1)))</f>
        <v/>
      </c>
      <c r="K85" s="365" t="str">
        <f>IF(loon!K52="","",loon!K52)</f>
        <v/>
      </c>
      <c r="L85" s="366" t="str">
        <f>IF(loon!L52="","",loon!L52)</f>
        <v/>
      </c>
      <c r="M85" s="367" t="str">
        <f t="shared" si="16"/>
        <v/>
      </c>
      <c r="N85" s="214"/>
      <c r="O85" s="371" t="str">
        <f>IF(I85="","",VLOOKUP(I85,tab!$A$15:$V$57,J85+2,FALSE))</f>
        <v/>
      </c>
      <c r="P85" s="259" t="str">
        <f t="shared" si="17"/>
        <v/>
      </c>
      <c r="Q85" s="580">
        <f t="shared" si="20"/>
        <v>0.62</v>
      </c>
      <c r="R85" s="259" t="str">
        <f t="shared" si="21"/>
        <v/>
      </c>
      <c r="S85" s="259">
        <f>IF(L85="",0,(((O85*12)*L85)*(IF(I85&gt;8,1+tab!$E$8,1+tab!$E$10))))</f>
        <v>0</v>
      </c>
      <c r="T85" s="372">
        <f t="shared" si="22"/>
        <v>0</v>
      </c>
      <c r="U85" s="373">
        <f t="shared" si="18"/>
        <v>0</v>
      </c>
      <c r="V85" s="374">
        <f t="shared" si="19"/>
        <v>0</v>
      </c>
      <c r="W85" s="335"/>
      <c r="AA85" s="153"/>
      <c r="AJ85" s="153"/>
    </row>
    <row r="86" spans="3:36" ht="12.75" customHeight="1">
      <c r="C86" s="77"/>
      <c r="D86" s="240" t="str">
        <f>IF(loon!D53="","",loon!D53)</f>
        <v/>
      </c>
      <c r="E86" s="240" t="str">
        <f>IF(loon!E53=0,"",loon!E53)</f>
        <v/>
      </c>
      <c r="F86" s="240" t="str">
        <f>IF(loon!F53=0,"",loon!F53)</f>
        <v/>
      </c>
      <c r="G86" s="363" t="str">
        <f>IF(loon!G53="","",loon!G53+1)</f>
        <v/>
      </c>
      <c r="H86" s="583" t="str">
        <f>IF(loon!H53="","",loon!H53)</f>
        <v/>
      </c>
      <c r="I86" s="363" t="str">
        <f>IF(loon!I53=0,"",loon!I53)</f>
        <v/>
      </c>
      <c r="J86" s="364" t="str">
        <f>IF(E86="","",(IF(loon!J53+1&gt;LOOKUP(I86,schaal,regels),loon!J53,loon!J53+1)))</f>
        <v/>
      </c>
      <c r="K86" s="365" t="str">
        <f>IF(loon!K53="","",loon!K53)</f>
        <v/>
      </c>
      <c r="L86" s="366" t="str">
        <f>IF(loon!L53="","",loon!L53)</f>
        <v/>
      </c>
      <c r="M86" s="367" t="str">
        <f t="shared" si="16"/>
        <v/>
      </c>
      <c r="N86" s="214"/>
      <c r="O86" s="371" t="str">
        <f>IF(I86="","",VLOOKUP(I86,tab!$A$15:$V$57,J86+2,FALSE))</f>
        <v/>
      </c>
      <c r="P86" s="259" t="str">
        <f t="shared" si="17"/>
        <v/>
      </c>
      <c r="Q86" s="580">
        <f t="shared" si="20"/>
        <v>0.62</v>
      </c>
      <c r="R86" s="259" t="str">
        <f t="shared" si="21"/>
        <v/>
      </c>
      <c r="S86" s="259">
        <f>IF(L86="",0,(((O86*12)*L86)*(IF(I86&gt;8,1+tab!$E$8,1+tab!$E$10))))</f>
        <v>0</v>
      </c>
      <c r="T86" s="372">
        <f t="shared" si="22"/>
        <v>0</v>
      </c>
      <c r="U86" s="373">
        <f t="shared" si="18"/>
        <v>0</v>
      </c>
      <c r="V86" s="374">
        <f t="shared" si="19"/>
        <v>0</v>
      </c>
      <c r="W86" s="335"/>
      <c r="AA86" s="153"/>
      <c r="AJ86" s="153"/>
    </row>
    <row r="87" spans="3:36" ht="12.75" customHeight="1">
      <c r="C87" s="77"/>
      <c r="D87" s="240" t="str">
        <f>IF(loon!D54="","",loon!D54)</f>
        <v/>
      </c>
      <c r="E87" s="240" t="str">
        <f>IF(loon!E54=0,"",loon!E54)</f>
        <v/>
      </c>
      <c r="F87" s="240" t="str">
        <f>IF(loon!F54=0,"",loon!F54)</f>
        <v/>
      </c>
      <c r="G87" s="363" t="str">
        <f>IF(loon!G54="","",loon!G54+1)</f>
        <v/>
      </c>
      <c r="H87" s="583" t="str">
        <f>IF(loon!H54="","",loon!H54)</f>
        <v/>
      </c>
      <c r="I87" s="363" t="str">
        <f>IF(loon!I54=0,"",loon!I54)</f>
        <v/>
      </c>
      <c r="J87" s="364" t="str">
        <f>IF(E87="","",(IF(loon!J54+1&gt;LOOKUP(I87,schaal,regels),loon!J54,loon!J54+1)))</f>
        <v/>
      </c>
      <c r="K87" s="365" t="str">
        <f>IF(loon!K54="","",loon!K54)</f>
        <v/>
      </c>
      <c r="L87" s="366" t="str">
        <f>IF(loon!L54="","",loon!L54)</f>
        <v/>
      </c>
      <c r="M87" s="367" t="str">
        <f t="shared" si="16"/>
        <v/>
      </c>
      <c r="N87" s="214"/>
      <c r="O87" s="371" t="str">
        <f>IF(I87="","",VLOOKUP(I87,tab!$A$15:$V$57,J87+2,FALSE))</f>
        <v/>
      </c>
      <c r="P87" s="259" t="str">
        <f t="shared" si="17"/>
        <v/>
      </c>
      <c r="Q87" s="580">
        <f t="shared" si="20"/>
        <v>0.62</v>
      </c>
      <c r="R87" s="259" t="str">
        <f t="shared" si="21"/>
        <v/>
      </c>
      <c r="S87" s="259">
        <f>IF(L87="",0,(((O87*12)*L87)*(IF(I87&gt;8,1+tab!$E$8,1+tab!$E$10))))</f>
        <v>0</v>
      </c>
      <c r="T87" s="372">
        <f t="shared" si="22"/>
        <v>0</v>
      </c>
      <c r="U87" s="373">
        <f t="shared" si="18"/>
        <v>0</v>
      </c>
      <c r="V87" s="374">
        <f t="shared" si="19"/>
        <v>0</v>
      </c>
      <c r="W87" s="335"/>
      <c r="AA87" s="153"/>
      <c r="AJ87" s="153"/>
    </row>
    <row r="88" spans="3:36" ht="12.75" customHeight="1">
      <c r="C88" s="77"/>
      <c r="D88" s="240" t="str">
        <f>IF(loon!D55="","",loon!D55)</f>
        <v/>
      </c>
      <c r="E88" s="240" t="str">
        <f>IF(loon!E55=0,"",loon!E55)</f>
        <v/>
      </c>
      <c r="F88" s="240" t="str">
        <f>IF(loon!F55=0,"",loon!F55)</f>
        <v/>
      </c>
      <c r="G88" s="363" t="str">
        <f>IF(loon!G55="","",loon!G55+1)</f>
        <v/>
      </c>
      <c r="H88" s="583" t="str">
        <f>IF(loon!H55="","",loon!H55)</f>
        <v/>
      </c>
      <c r="I88" s="363" t="str">
        <f>IF(loon!I55=0,"",loon!I55)</f>
        <v/>
      </c>
      <c r="J88" s="364" t="str">
        <f>IF(E88="","",(IF(loon!J55+1&gt;LOOKUP(I88,schaal,regels),loon!J55,loon!J55+1)))</f>
        <v/>
      </c>
      <c r="K88" s="365" t="str">
        <f>IF(loon!K55="","",loon!K55)</f>
        <v/>
      </c>
      <c r="L88" s="366" t="str">
        <f>IF(loon!L55="","",loon!L55)</f>
        <v/>
      </c>
      <c r="M88" s="367" t="str">
        <f t="shared" si="16"/>
        <v/>
      </c>
      <c r="N88" s="214"/>
      <c r="O88" s="371" t="str">
        <f>IF(I88="","",VLOOKUP(I88,tab!$A$15:$V$57,J88+2,FALSE))</f>
        <v/>
      </c>
      <c r="P88" s="259" t="str">
        <f t="shared" si="17"/>
        <v/>
      </c>
      <c r="Q88" s="580">
        <f t="shared" si="20"/>
        <v>0.62</v>
      </c>
      <c r="R88" s="259" t="str">
        <f t="shared" si="21"/>
        <v/>
      </c>
      <c r="S88" s="259">
        <f>IF(L88="",0,(((O88*12)*L88)*(IF(I88&gt;8,1+tab!$E$8,1+tab!$E$10))))</f>
        <v>0</v>
      </c>
      <c r="T88" s="372">
        <f t="shared" si="22"/>
        <v>0</v>
      </c>
      <c r="U88" s="373">
        <f t="shared" si="18"/>
        <v>0</v>
      </c>
      <c r="V88" s="374">
        <f t="shared" si="19"/>
        <v>0</v>
      </c>
      <c r="W88" s="335"/>
      <c r="AA88" s="153"/>
      <c r="AJ88" s="153"/>
    </row>
    <row r="89" spans="3:36" ht="12.75" customHeight="1">
      <c r="C89" s="77"/>
      <c r="D89" s="240" t="str">
        <f>IF(loon!D56="","",loon!D56)</f>
        <v/>
      </c>
      <c r="E89" s="240" t="str">
        <f>IF(loon!E56=0,"",loon!E56)</f>
        <v/>
      </c>
      <c r="F89" s="240" t="str">
        <f>IF(loon!F56=0,"",loon!F56)</f>
        <v/>
      </c>
      <c r="G89" s="363" t="str">
        <f>IF(loon!G56="","",loon!G56+1)</f>
        <v/>
      </c>
      <c r="H89" s="583" t="str">
        <f>IF(loon!H56="","",loon!H56)</f>
        <v/>
      </c>
      <c r="I89" s="363" t="str">
        <f>IF(loon!I56=0,"",loon!I56)</f>
        <v/>
      </c>
      <c r="J89" s="364" t="str">
        <f>IF(E89="","",(IF(loon!J56+1&gt;LOOKUP(I89,schaal,regels),loon!J56,loon!J56+1)))</f>
        <v/>
      </c>
      <c r="K89" s="365" t="str">
        <f>IF(loon!K56="","",loon!K56)</f>
        <v/>
      </c>
      <c r="L89" s="366" t="str">
        <f>IF(loon!L56="","",loon!L56)</f>
        <v/>
      </c>
      <c r="M89" s="367" t="str">
        <f t="shared" si="16"/>
        <v/>
      </c>
      <c r="N89" s="214"/>
      <c r="O89" s="371" t="str">
        <f>IF(I89="","",VLOOKUP(I89,tab!$A$15:$V$57,J89+2,FALSE))</f>
        <v/>
      </c>
      <c r="P89" s="259" t="str">
        <f t="shared" si="17"/>
        <v/>
      </c>
      <c r="Q89" s="580">
        <f t="shared" si="20"/>
        <v>0.62</v>
      </c>
      <c r="R89" s="259" t="str">
        <f t="shared" si="21"/>
        <v/>
      </c>
      <c r="S89" s="259">
        <f>IF(L89="",0,(((O89*12)*L89)*(IF(I89&gt;8,1+tab!$E$8,1+tab!$E$10))))</f>
        <v>0</v>
      </c>
      <c r="T89" s="372">
        <f t="shared" si="22"/>
        <v>0</v>
      </c>
      <c r="U89" s="373">
        <f t="shared" si="18"/>
        <v>0</v>
      </c>
      <c r="V89" s="374">
        <f t="shared" si="19"/>
        <v>0</v>
      </c>
      <c r="W89" s="335"/>
      <c r="AA89" s="153"/>
      <c r="AJ89" s="153"/>
    </row>
    <row r="90" spans="3:36" ht="12.75" customHeight="1">
      <c r="C90" s="77"/>
      <c r="D90" s="240" t="str">
        <f>IF(loon!D57="","",loon!D57)</f>
        <v/>
      </c>
      <c r="E90" s="240" t="str">
        <f>IF(loon!E57=0,"",loon!E57)</f>
        <v/>
      </c>
      <c r="F90" s="240" t="str">
        <f>IF(loon!F57=0,"",loon!F57)</f>
        <v/>
      </c>
      <c r="G90" s="363" t="str">
        <f>IF(loon!G57="","",loon!G57+1)</f>
        <v/>
      </c>
      <c r="H90" s="583" t="str">
        <f>IF(loon!H57="","",loon!H57)</f>
        <v/>
      </c>
      <c r="I90" s="363" t="str">
        <f>IF(loon!I57=0,"",loon!I57)</f>
        <v/>
      </c>
      <c r="J90" s="364" t="str">
        <f>IF(E90="","",(IF(loon!J57+1&gt;LOOKUP(I90,schaal,regels),loon!J57,loon!J57+1)))</f>
        <v/>
      </c>
      <c r="K90" s="365" t="str">
        <f>IF(loon!K57="","",loon!K57)</f>
        <v/>
      </c>
      <c r="L90" s="366" t="str">
        <f>IF(loon!L57="","",loon!L57)</f>
        <v/>
      </c>
      <c r="M90" s="367" t="str">
        <f t="shared" si="16"/>
        <v/>
      </c>
      <c r="N90" s="214"/>
      <c r="O90" s="371" t="str">
        <f>IF(I90="","",VLOOKUP(I90,tab!$A$15:$V$57,J90+2,FALSE))</f>
        <v/>
      </c>
      <c r="P90" s="259" t="str">
        <f t="shared" si="17"/>
        <v/>
      </c>
      <c r="Q90" s="580">
        <f t="shared" si="20"/>
        <v>0.62</v>
      </c>
      <c r="R90" s="259" t="str">
        <f t="shared" si="21"/>
        <v/>
      </c>
      <c r="S90" s="259">
        <f>IF(L90="",0,(((O90*12)*L90)*(IF(I90&gt;8,1+tab!$E$8,1+tab!$E$10))))</f>
        <v>0</v>
      </c>
      <c r="T90" s="372">
        <f t="shared" si="22"/>
        <v>0</v>
      </c>
      <c r="U90" s="373">
        <f t="shared" si="18"/>
        <v>0</v>
      </c>
      <c r="V90" s="374">
        <f t="shared" si="19"/>
        <v>0</v>
      </c>
      <c r="W90" s="335"/>
      <c r="AA90" s="153"/>
      <c r="AJ90" s="153"/>
    </row>
    <row r="91" spans="3:36" ht="12.75" customHeight="1">
      <c r="C91" s="77"/>
      <c r="D91" s="240" t="str">
        <f>IF(loon!D58="","",loon!D58)</f>
        <v/>
      </c>
      <c r="E91" s="240" t="str">
        <f>IF(loon!E58=0,"",loon!E58)</f>
        <v/>
      </c>
      <c r="F91" s="240" t="str">
        <f>IF(loon!F58=0,"",loon!F58)</f>
        <v/>
      </c>
      <c r="G91" s="363" t="str">
        <f>IF(loon!G58="","",loon!G58+1)</f>
        <v/>
      </c>
      <c r="H91" s="583" t="str">
        <f>IF(loon!H58="","",loon!H58)</f>
        <v/>
      </c>
      <c r="I91" s="363" t="str">
        <f>IF(loon!I58=0,"",loon!I58)</f>
        <v/>
      </c>
      <c r="J91" s="364" t="str">
        <f>IF(E91="","",(IF(loon!J58+1&gt;LOOKUP(I91,schaal,regels),loon!J58,loon!J58+1)))</f>
        <v/>
      </c>
      <c r="K91" s="365" t="str">
        <f>IF(loon!K58="","",loon!K58)</f>
        <v/>
      </c>
      <c r="L91" s="366" t="str">
        <f>IF(loon!L58="","",loon!L58)</f>
        <v/>
      </c>
      <c r="M91" s="367" t="str">
        <f t="shared" si="16"/>
        <v/>
      </c>
      <c r="N91" s="214"/>
      <c r="O91" s="371" t="str">
        <f>IF(I91="","",VLOOKUP(I91,tab!$A$15:$V$57,J91+2,FALSE))</f>
        <v/>
      </c>
      <c r="P91" s="259" t="str">
        <f t="shared" si="17"/>
        <v/>
      </c>
      <c r="Q91" s="580">
        <f t="shared" si="20"/>
        <v>0.62</v>
      </c>
      <c r="R91" s="259" t="str">
        <f t="shared" si="21"/>
        <v/>
      </c>
      <c r="S91" s="259">
        <f>IF(L91="",0,(((O91*12)*L91)*(IF(I91&gt;8,1+tab!$E$8,1+tab!$E$10))))</f>
        <v>0</v>
      </c>
      <c r="T91" s="372">
        <f t="shared" si="22"/>
        <v>0</v>
      </c>
      <c r="U91" s="373">
        <f t="shared" si="18"/>
        <v>0</v>
      </c>
      <c r="V91" s="374">
        <f t="shared" si="19"/>
        <v>0</v>
      </c>
      <c r="W91" s="335"/>
      <c r="AA91" s="153"/>
      <c r="AJ91" s="153"/>
    </row>
    <row r="92" spans="3:36" ht="12.75" customHeight="1">
      <c r="C92" s="77"/>
      <c r="D92" s="240" t="str">
        <f>IF(loon!D59="","",loon!D59)</f>
        <v/>
      </c>
      <c r="E92" s="240" t="str">
        <f>IF(loon!E59=0,"",loon!E59)</f>
        <v/>
      </c>
      <c r="F92" s="240" t="str">
        <f>IF(loon!F59=0,"",loon!F59)</f>
        <v/>
      </c>
      <c r="G92" s="363" t="str">
        <f>IF(loon!G59="","",loon!G59+1)</f>
        <v/>
      </c>
      <c r="H92" s="583" t="str">
        <f>IF(loon!H59="","",loon!H59)</f>
        <v/>
      </c>
      <c r="I92" s="363" t="str">
        <f>IF(loon!I59=0,"",loon!I59)</f>
        <v/>
      </c>
      <c r="J92" s="364" t="str">
        <f>IF(E92="","",(IF(loon!J59+1&gt;LOOKUP(I92,schaal,regels),loon!J59,loon!J59+1)))</f>
        <v/>
      </c>
      <c r="K92" s="365" t="str">
        <f>IF(loon!K59="","",loon!K59)</f>
        <v/>
      </c>
      <c r="L92" s="366" t="str">
        <f>IF(loon!L59="","",loon!L59)</f>
        <v/>
      </c>
      <c r="M92" s="367" t="str">
        <f t="shared" si="16"/>
        <v/>
      </c>
      <c r="N92" s="214"/>
      <c r="O92" s="371" t="str">
        <f>IF(I92="","",VLOOKUP(I92,tab!$A$15:$V$57,J92+2,FALSE))</f>
        <v/>
      </c>
      <c r="P92" s="259" t="str">
        <f t="shared" si="17"/>
        <v/>
      </c>
      <c r="Q92" s="580">
        <f t="shared" si="20"/>
        <v>0.62</v>
      </c>
      <c r="R92" s="259" t="str">
        <f t="shared" si="21"/>
        <v/>
      </c>
      <c r="S92" s="259">
        <f>IF(L92="",0,(((O92*12)*L92)*(IF(I92&gt;8,1+tab!$E$8,1+tab!$E$10))))</f>
        <v>0</v>
      </c>
      <c r="T92" s="372">
        <f t="shared" si="22"/>
        <v>0</v>
      </c>
      <c r="U92" s="373">
        <f t="shared" si="18"/>
        <v>0</v>
      </c>
      <c r="V92" s="374">
        <f t="shared" si="19"/>
        <v>0</v>
      </c>
      <c r="W92" s="335"/>
      <c r="AA92" s="153"/>
      <c r="AJ92" s="153"/>
    </row>
    <row r="93" spans="3:36" ht="12.75" customHeight="1">
      <c r="C93" s="77"/>
      <c r="D93" s="240" t="str">
        <f>IF(loon!D60="","",loon!D60)</f>
        <v/>
      </c>
      <c r="E93" s="240" t="str">
        <f>IF(loon!E60=0,"",loon!E60)</f>
        <v/>
      </c>
      <c r="F93" s="240" t="str">
        <f>IF(loon!F60=0,"",loon!F60)</f>
        <v/>
      </c>
      <c r="G93" s="363" t="str">
        <f>IF(loon!G60="","",loon!G60+1)</f>
        <v/>
      </c>
      <c r="H93" s="583" t="str">
        <f>IF(loon!H60="","",loon!H60)</f>
        <v/>
      </c>
      <c r="I93" s="363" t="str">
        <f>IF(loon!I60=0,"",loon!I60)</f>
        <v/>
      </c>
      <c r="J93" s="364" t="str">
        <f>IF(E93="","",(IF(loon!J60+1&gt;LOOKUP(I93,schaal,regels),loon!J60,loon!J60+1)))</f>
        <v/>
      </c>
      <c r="K93" s="365" t="str">
        <f>IF(loon!K60="","",loon!K60)</f>
        <v/>
      </c>
      <c r="L93" s="366" t="str">
        <f>IF(loon!L60="","",loon!L60)</f>
        <v/>
      </c>
      <c r="M93" s="367" t="str">
        <f t="shared" si="16"/>
        <v/>
      </c>
      <c r="N93" s="214"/>
      <c r="O93" s="371" t="str">
        <f>IF(I93="","",VLOOKUP(I93,tab!$A$15:$V$57,J93+2,FALSE))</f>
        <v/>
      </c>
      <c r="P93" s="259" t="str">
        <f t="shared" si="17"/>
        <v/>
      </c>
      <c r="Q93" s="580">
        <f t="shared" si="20"/>
        <v>0.62</v>
      </c>
      <c r="R93" s="259" t="str">
        <f t="shared" si="21"/>
        <v/>
      </c>
      <c r="S93" s="259">
        <f>IF(L93="",0,(((O93*12)*L93)*(IF(I93&gt;8,1+tab!$E$8,1+tab!$E$10))))</f>
        <v>0</v>
      </c>
      <c r="T93" s="372">
        <f t="shared" si="22"/>
        <v>0</v>
      </c>
      <c r="U93" s="373">
        <f t="shared" si="18"/>
        <v>0</v>
      </c>
      <c r="V93" s="374">
        <f t="shared" si="19"/>
        <v>0</v>
      </c>
      <c r="W93" s="335"/>
      <c r="AA93" s="153"/>
      <c r="AJ93" s="153"/>
    </row>
    <row r="94" spans="3:36" ht="12.75" customHeight="1">
      <c r="C94" s="77"/>
      <c r="D94" s="240" t="str">
        <f>IF(loon!D61="","",loon!D61)</f>
        <v/>
      </c>
      <c r="E94" s="240" t="str">
        <f>IF(loon!E61=0,"",loon!E61)</f>
        <v/>
      </c>
      <c r="F94" s="240" t="str">
        <f>IF(loon!F61=0,"",loon!F61)</f>
        <v/>
      </c>
      <c r="G94" s="363" t="str">
        <f>IF(loon!G61="","",loon!G61+1)</f>
        <v/>
      </c>
      <c r="H94" s="583" t="str">
        <f>IF(loon!H61="","",loon!H61)</f>
        <v/>
      </c>
      <c r="I94" s="363" t="str">
        <f>IF(loon!I61=0,"",loon!I61)</f>
        <v/>
      </c>
      <c r="J94" s="364" t="str">
        <f>IF(E94="","",(IF(loon!J61+1&gt;LOOKUP(I94,schaal,regels),loon!J61,loon!J61+1)))</f>
        <v/>
      </c>
      <c r="K94" s="365" t="str">
        <f>IF(loon!K61="","",loon!K61)</f>
        <v/>
      </c>
      <c r="L94" s="366" t="str">
        <f>IF(loon!L61="","",loon!L61)</f>
        <v/>
      </c>
      <c r="M94" s="367" t="str">
        <f t="shared" si="16"/>
        <v/>
      </c>
      <c r="N94" s="214"/>
      <c r="O94" s="371" t="str">
        <f>IF(I94="","",VLOOKUP(I94,tab!$A$15:$V$57,J94+2,FALSE))</f>
        <v/>
      </c>
      <c r="P94" s="259" t="str">
        <f t="shared" si="17"/>
        <v/>
      </c>
      <c r="Q94" s="580">
        <f t="shared" si="20"/>
        <v>0.62</v>
      </c>
      <c r="R94" s="259" t="str">
        <f t="shared" si="21"/>
        <v/>
      </c>
      <c r="S94" s="259">
        <f>IF(L94="",0,(((O94*12)*L94)*(IF(I94&gt;8,1+tab!$E$8,1+tab!$E$10))))</f>
        <v>0</v>
      </c>
      <c r="T94" s="372">
        <f t="shared" si="22"/>
        <v>0</v>
      </c>
      <c r="U94" s="373">
        <f t="shared" si="18"/>
        <v>0</v>
      </c>
      <c r="V94" s="374">
        <f t="shared" si="19"/>
        <v>0</v>
      </c>
      <c r="W94" s="335"/>
      <c r="AA94" s="153"/>
      <c r="AJ94" s="153"/>
    </row>
    <row r="95" spans="3:36" ht="12.75" customHeight="1">
      <c r="C95" s="77"/>
      <c r="D95" s="240" t="str">
        <f>IF(loon!D62="","",loon!D62)</f>
        <v/>
      </c>
      <c r="E95" s="240" t="str">
        <f>IF(loon!E62=0,"",loon!E62)</f>
        <v/>
      </c>
      <c r="F95" s="240" t="str">
        <f>IF(loon!F62=0,"",loon!F62)</f>
        <v/>
      </c>
      <c r="G95" s="363" t="str">
        <f>IF(loon!G62="","",loon!G62+1)</f>
        <v/>
      </c>
      <c r="H95" s="583" t="str">
        <f>IF(loon!H62="","",loon!H62)</f>
        <v/>
      </c>
      <c r="I95" s="363" t="str">
        <f>IF(loon!I62=0,"",loon!I62)</f>
        <v/>
      </c>
      <c r="J95" s="364" t="str">
        <f>IF(E95="","",(IF(loon!J62+1&gt;LOOKUP(I95,schaal,regels),loon!J62,loon!J62+1)))</f>
        <v/>
      </c>
      <c r="K95" s="365" t="str">
        <f>IF(loon!K62="","",loon!K62)</f>
        <v/>
      </c>
      <c r="L95" s="366" t="str">
        <f>IF(loon!L62="","",loon!L62)</f>
        <v/>
      </c>
      <c r="M95" s="367" t="str">
        <f t="shared" si="16"/>
        <v/>
      </c>
      <c r="N95" s="214"/>
      <c r="O95" s="371" t="str">
        <f>IF(I95="","",VLOOKUP(I95,tab!$A$15:$V$57,J95+2,FALSE))</f>
        <v/>
      </c>
      <c r="P95" s="259" t="str">
        <f t="shared" si="17"/>
        <v/>
      </c>
      <c r="Q95" s="580">
        <f t="shared" si="20"/>
        <v>0.62</v>
      </c>
      <c r="R95" s="259" t="str">
        <f t="shared" si="21"/>
        <v/>
      </c>
      <c r="S95" s="259">
        <f>IF(L95="",0,(((O95*12)*L95)*(IF(I95&gt;8,1+tab!$E$8,1+tab!$E$10))))</f>
        <v>0</v>
      </c>
      <c r="T95" s="372">
        <f t="shared" si="22"/>
        <v>0</v>
      </c>
      <c r="U95" s="373">
        <f t="shared" si="18"/>
        <v>0</v>
      </c>
      <c r="V95" s="374">
        <f t="shared" si="19"/>
        <v>0</v>
      </c>
      <c r="W95" s="335"/>
      <c r="AA95" s="153"/>
      <c r="AJ95" s="153"/>
    </row>
    <row r="96" spans="3:36" ht="12.75" customHeight="1">
      <c r="C96" s="77"/>
      <c r="D96" s="240" t="str">
        <f>IF(loon!D63="","",loon!D63)</f>
        <v/>
      </c>
      <c r="E96" s="240" t="str">
        <f>IF(loon!E63=0,"",loon!E63)</f>
        <v/>
      </c>
      <c r="F96" s="240" t="str">
        <f>IF(loon!F63=0,"",loon!F63)</f>
        <v/>
      </c>
      <c r="G96" s="363" t="str">
        <f>IF(loon!G63="","",loon!G63+1)</f>
        <v/>
      </c>
      <c r="H96" s="583" t="str">
        <f>IF(loon!H63="","",loon!H63)</f>
        <v/>
      </c>
      <c r="I96" s="363" t="str">
        <f>IF(loon!I63=0,"",loon!I63)</f>
        <v/>
      </c>
      <c r="J96" s="364" t="str">
        <f>IF(E96="","",(IF(loon!J63+1&gt;LOOKUP(I96,schaal,regels),loon!J63,loon!J63+1)))</f>
        <v/>
      </c>
      <c r="K96" s="365" t="str">
        <f>IF(loon!K63="","",loon!K63)</f>
        <v/>
      </c>
      <c r="L96" s="366" t="str">
        <f>IF(loon!L63="","",loon!L63)</f>
        <v/>
      </c>
      <c r="M96" s="367" t="str">
        <f t="shared" si="16"/>
        <v/>
      </c>
      <c r="N96" s="214"/>
      <c r="O96" s="371" t="str">
        <f>IF(I96="","",VLOOKUP(I96,tab!$A$15:$V$57,J96+2,FALSE))</f>
        <v/>
      </c>
      <c r="P96" s="259" t="str">
        <f t="shared" si="17"/>
        <v/>
      </c>
      <c r="Q96" s="580">
        <f t="shared" si="20"/>
        <v>0.62</v>
      </c>
      <c r="R96" s="259" t="str">
        <f t="shared" si="21"/>
        <v/>
      </c>
      <c r="S96" s="259">
        <f>IF(L96="",0,(((O96*12)*L96)*(IF(I96&gt;8,1+tab!$E$8,1+tab!$E$10))))</f>
        <v>0</v>
      </c>
      <c r="T96" s="372">
        <f t="shared" si="22"/>
        <v>0</v>
      </c>
      <c r="U96" s="373">
        <f t="shared" si="18"/>
        <v>0</v>
      </c>
      <c r="V96" s="374">
        <f t="shared" si="19"/>
        <v>0</v>
      </c>
      <c r="W96" s="335"/>
      <c r="AA96" s="153"/>
      <c r="AJ96" s="153"/>
    </row>
    <row r="97" spans="3:41" ht="12.75" customHeight="1">
      <c r="C97" s="77"/>
      <c r="D97" s="240" t="str">
        <f>IF(loon!D64="","",loon!D64)</f>
        <v/>
      </c>
      <c r="E97" s="240" t="str">
        <f>IF(loon!E64=0,"",loon!E64)</f>
        <v/>
      </c>
      <c r="F97" s="240" t="str">
        <f>IF(loon!F64=0,"",loon!F64)</f>
        <v/>
      </c>
      <c r="G97" s="363" t="str">
        <f>IF(loon!G64="","",loon!G64+1)</f>
        <v/>
      </c>
      <c r="H97" s="583" t="str">
        <f>IF(loon!H64="","",loon!H64)</f>
        <v/>
      </c>
      <c r="I97" s="363" t="str">
        <f>IF(loon!I64=0,"",loon!I64)</f>
        <v/>
      </c>
      <c r="J97" s="364" t="str">
        <f>IF(E97="","",(IF(loon!J64+1&gt;LOOKUP(I97,schaal,regels),loon!J64,loon!J64+1)))</f>
        <v/>
      </c>
      <c r="K97" s="365" t="str">
        <f>IF(loon!K64="","",loon!K64)</f>
        <v/>
      </c>
      <c r="L97" s="366" t="str">
        <f>IF(loon!L64="","",loon!L64)</f>
        <v/>
      </c>
      <c r="M97" s="367" t="str">
        <f t="shared" si="16"/>
        <v/>
      </c>
      <c r="N97" s="214"/>
      <c r="O97" s="371" t="str">
        <f>IF(I97="","",VLOOKUP(I97,tab!$A$15:$V$57,J97+2,FALSE))</f>
        <v/>
      </c>
      <c r="P97" s="259" t="str">
        <f t="shared" si="17"/>
        <v/>
      </c>
      <c r="Q97" s="580">
        <f t="shared" si="20"/>
        <v>0.62</v>
      </c>
      <c r="R97" s="259" t="str">
        <f t="shared" si="21"/>
        <v/>
      </c>
      <c r="S97" s="259">
        <f>IF(L97="",0,(((O97*12)*L97)*(IF(I97&gt;8,1+tab!$E$8,1+tab!$E$10))))</f>
        <v>0</v>
      </c>
      <c r="T97" s="372">
        <f t="shared" si="22"/>
        <v>0</v>
      </c>
      <c r="U97" s="373">
        <f t="shared" si="18"/>
        <v>0</v>
      </c>
      <c r="V97" s="374">
        <f t="shared" si="19"/>
        <v>0</v>
      </c>
      <c r="W97" s="335"/>
      <c r="AA97" s="153"/>
      <c r="AJ97" s="153"/>
    </row>
    <row r="98" spans="3:41" ht="12.75" customHeight="1">
      <c r="C98" s="77"/>
      <c r="D98" s="240" t="str">
        <f>IF(loon!D65="","",loon!D65)</f>
        <v/>
      </c>
      <c r="E98" s="240" t="str">
        <f>IF(loon!E65=0,"",loon!E65)</f>
        <v/>
      </c>
      <c r="F98" s="240" t="str">
        <f>IF(loon!F65=0,"",loon!F65)</f>
        <v/>
      </c>
      <c r="G98" s="363" t="str">
        <f>IF(loon!G65="","",loon!G65+1)</f>
        <v/>
      </c>
      <c r="H98" s="583" t="str">
        <f>IF(loon!H65="","",loon!H65)</f>
        <v/>
      </c>
      <c r="I98" s="363" t="str">
        <f>IF(loon!I65=0,"",loon!I65)</f>
        <v/>
      </c>
      <c r="J98" s="364" t="str">
        <f>IF(E98="","",(IF(loon!J65+1&gt;LOOKUP(I98,schaal,regels),loon!J65,loon!J65+1)))</f>
        <v/>
      </c>
      <c r="K98" s="365" t="str">
        <f>IF(loon!K65="","",loon!K65)</f>
        <v/>
      </c>
      <c r="L98" s="366" t="str">
        <f>IF(loon!L65="","",loon!L65)</f>
        <v/>
      </c>
      <c r="M98" s="367" t="str">
        <f t="shared" si="16"/>
        <v/>
      </c>
      <c r="N98" s="214"/>
      <c r="O98" s="371" t="str">
        <f>IF(I98="","",VLOOKUP(I98,tab!$A$15:$V$57,J98+2,FALSE))</f>
        <v/>
      </c>
      <c r="P98" s="259" t="str">
        <f t="shared" si="17"/>
        <v/>
      </c>
      <c r="Q98" s="580">
        <f t="shared" si="20"/>
        <v>0.62</v>
      </c>
      <c r="R98" s="259" t="str">
        <f t="shared" si="21"/>
        <v/>
      </c>
      <c r="S98" s="259">
        <f>IF(L98="",0,(((O98*12)*L98)*(IF(I98&gt;8,1+tab!$E$8,1+tab!$E$10))))</f>
        <v>0</v>
      </c>
      <c r="T98" s="372">
        <f t="shared" si="22"/>
        <v>0</v>
      </c>
      <c r="U98" s="373">
        <f t="shared" si="18"/>
        <v>0</v>
      </c>
      <c r="V98" s="374">
        <f t="shared" si="19"/>
        <v>0</v>
      </c>
      <c r="W98" s="335"/>
      <c r="AA98" s="153"/>
      <c r="AJ98" s="153"/>
    </row>
    <row r="99" spans="3:41" ht="12.75" customHeight="1">
      <c r="C99" s="77"/>
      <c r="D99" s="240" t="str">
        <f>IF(loon!D66="","",loon!D66)</f>
        <v/>
      </c>
      <c r="E99" s="240" t="str">
        <f>IF(loon!E66=0,"",loon!E66)</f>
        <v/>
      </c>
      <c r="F99" s="240" t="str">
        <f>IF(loon!F66=0,"",loon!F66)</f>
        <v/>
      </c>
      <c r="G99" s="363" t="str">
        <f>IF(loon!G66="","",loon!G66+1)</f>
        <v/>
      </c>
      <c r="H99" s="583" t="str">
        <f>IF(loon!H66="","",loon!H66)</f>
        <v/>
      </c>
      <c r="I99" s="363" t="str">
        <f>IF(loon!I66=0,"",loon!I66)</f>
        <v/>
      </c>
      <c r="J99" s="364" t="str">
        <f>IF(E99="","",(IF(loon!J66+1&gt;LOOKUP(I99,schaal,regels),loon!J66,loon!J66+1)))</f>
        <v/>
      </c>
      <c r="K99" s="365" t="str">
        <f>IF(loon!K66="","",loon!K66)</f>
        <v/>
      </c>
      <c r="L99" s="366" t="str">
        <f>IF(loon!L66="","",loon!L66)</f>
        <v/>
      </c>
      <c r="M99" s="367" t="str">
        <f t="shared" si="16"/>
        <v/>
      </c>
      <c r="N99" s="214"/>
      <c r="O99" s="371" t="str">
        <f>IF(I99="","",VLOOKUP(I99,tab!$A$15:$V$57,J99+2,FALSE))</f>
        <v/>
      </c>
      <c r="P99" s="259" t="str">
        <f t="shared" si="17"/>
        <v/>
      </c>
      <c r="Q99" s="580">
        <f t="shared" si="20"/>
        <v>0.62</v>
      </c>
      <c r="R99" s="259" t="str">
        <f t="shared" si="21"/>
        <v/>
      </c>
      <c r="S99" s="259">
        <f>IF(L99="",0,(((O99*12)*L99)*(IF(I99&gt;8,1+tab!$E$8,1+tab!$E$10))))</f>
        <v>0</v>
      </c>
      <c r="T99" s="372">
        <f t="shared" si="22"/>
        <v>0</v>
      </c>
      <c r="U99" s="373">
        <f t="shared" si="18"/>
        <v>0</v>
      </c>
      <c r="V99" s="374">
        <f t="shared" si="19"/>
        <v>0</v>
      </c>
      <c r="W99" s="335"/>
      <c r="AA99" s="153"/>
      <c r="AJ99" s="153"/>
    </row>
    <row r="100" spans="3:41">
      <c r="C100" s="77"/>
      <c r="D100" s="193"/>
      <c r="E100" s="193"/>
      <c r="F100" s="193"/>
      <c r="G100" s="199"/>
      <c r="H100" s="199"/>
      <c r="I100" s="199"/>
      <c r="J100" s="336"/>
      <c r="K100" s="375">
        <f>SUM(K80:K99)</f>
        <v>0</v>
      </c>
      <c r="L100" s="375">
        <f>SUM(L80:L99)</f>
        <v>0</v>
      </c>
      <c r="M100" s="375">
        <f>SUM(M80:M99)</f>
        <v>0</v>
      </c>
      <c r="N100" s="214"/>
      <c r="O100" s="251">
        <f>SUM(O80:O99)</f>
        <v>0</v>
      </c>
      <c r="P100" s="251">
        <f>SUM(P80:P99)</f>
        <v>0</v>
      </c>
      <c r="Q100" s="221"/>
      <c r="R100" s="251">
        <f>SUM(R80:R99)</f>
        <v>0</v>
      </c>
      <c r="S100" s="251">
        <f>IF(L80="",0,(((O80*12)*L80)*(IF(I80&gt;8,1+tab!$E$8,1+tab!$E$10))))</f>
        <v>0</v>
      </c>
      <c r="T100" s="251">
        <f>SUM(T80:T99)</f>
        <v>0</v>
      </c>
      <c r="U100" s="337">
        <f>SUM(U80:U99)</f>
        <v>0</v>
      </c>
      <c r="V100" s="250">
        <f>SUM(V80:V99)</f>
        <v>0</v>
      </c>
      <c r="W100" s="338"/>
    </row>
    <row r="101" spans="3:41">
      <c r="C101" s="77"/>
      <c r="D101" s="78"/>
      <c r="E101" s="78"/>
      <c r="F101" s="78"/>
      <c r="G101" s="191"/>
      <c r="H101" s="191"/>
      <c r="I101" s="191"/>
      <c r="J101" s="339"/>
      <c r="K101" s="334"/>
      <c r="L101" s="339"/>
      <c r="M101" s="334"/>
      <c r="N101" s="339"/>
      <c r="O101" s="339"/>
      <c r="P101" s="221"/>
      <c r="Q101" s="221"/>
      <c r="R101" s="221"/>
      <c r="S101" s="221"/>
      <c r="T101" s="221"/>
      <c r="U101" s="340"/>
      <c r="V101" s="211"/>
      <c r="W101" s="338"/>
    </row>
    <row r="102" spans="3:41" ht="12.75" customHeight="1">
      <c r="C102" s="88"/>
      <c r="D102" s="341"/>
      <c r="E102" s="341"/>
      <c r="F102" s="341"/>
      <c r="G102" s="236"/>
      <c r="H102" s="236"/>
      <c r="I102" s="236"/>
      <c r="J102" s="342"/>
      <c r="K102" s="343"/>
      <c r="L102" s="344"/>
      <c r="M102" s="344"/>
      <c r="N102" s="89"/>
      <c r="O102" s="345"/>
      <c r="P102" s="346"/>
      <c r="Q102" s="346"/>
      <c r="R102" s="346"/>
      <c r="S102" s="346"/>
      <c r="T102" s="231"/>
      <c r="U102" s="347"/>
      <c r="V102" s="348"/>
      <c r="W102" s="91"/>
    </row>
    <row r="103" spans="3:41" ht="12.75" customHeight="1">
      <c r="I103" s="97"/>
      <c r="K103" s="144"/>
      <c r="M103" s="116"/>
      <c r="O103" s="145"/>
      <c r="P103" s="143"/>
      <c r="Q103" s="143"/>
      <c r="R103" s="143"/>
      <c r="S103" s="143"/>
      <c r="T103" s="146"/>
      <c r="U103" s="147"/>
      <c r="V103" s="98"/>
    </row>
    <row r="104" spans="3:41" ht="12.75" customHeight="1">
      <c r="C104" s="33" t="s">
        <v>33</v>
      </c>
      <c r="E104" s="129" t="str">
        <f>tab!G3</f>
        <v>2016/17</v>
      </c>
      <c r="I104" s="97"/>
      <c r="K104" s="144"/>
      <c r="M104" s="116"/>
      <c r="O104" s="145"/>
      <c r="P104" s="143"/>
      <c r="Q104" s="143"/>
      <c r="R104" s="143"/>
      <c r="S104" s="143"/>
      <c r="T104" s="146"/>
      <c r="U104" s="147"/>
      <c r="V104" s="98"/>
    </row>
    <row r="105" spans="3:41" ht="12.75" customHeight="1">
      <c r="C105" s="33" t="s">
        <v>40</v>
      </c>
      <c r="E105" s="129">
        <f>tab!H4</f>
        <v>42644</v>
      </c>
      <c r="I105" s="97"/>
      <c r="K105" s="144"/>
      <c r="M105" s="116"/>
      <c r="O105" s="145"/>
      <c r="P105" s="143"/>
      <c r="Q105" s="143"/>
      <c r="R105" s="143"/>
      <c r="S105" s="143"/>
      <c r="T105" s="146"/>
      <c r="U105" s="147"/>
      <c r="V105" s="98"/>
    </row>
    <row r="106" spans="3:41" ht="12.75" customHeight="1">
      <c r="I106" s="97"/>
      <c r="K106" s="144"/>
      <c r="M106" s="116"/>
      <c r="O106" s="145"/>
      <c r="P106" s="143"/>
      <c r="Q106" s="143"/>
      <c r="R106" s="143"/>
      <c r="S106" s="143"/>
      <c r="T106" s="146"/>
      <c r="U106" s="147"/>
      <c r="V106" s="98"/>
    </row>
    <row r="107" spans="3:41" ht="12.75" customHeight="1">
      <c r="C107" s="73"/>
      <c r="D107" s="311"/>
      <c r="E107" s="312"/>
      <c r="F107" s="313"/>
      <c r="G107" s="186"/>
      <c r="H107" s="314"/>
      <c r="I107" s="315"/>
      <c r="J107" s="315"/>
      <c r="K107" s="316"/>
      <c r="L107" s="315"/>
      <c r="M107" s="317"/>
      <c r="N107" s="74"/>
      <c r="O107" s="318"/>
      <c r="P107" s="74"/>
      <c r="Q107" s="74"/>
      <c r="R107" s="74"/>
      <c r="S107" s="74"/>
      <c r="T107" s="319"/>
      <c r="U107" s="320"/>
      <c r="V107" s="188"/>
      <c r="W107" s="189"/>
      <c r="AC107" s="130"/>
      <c r="AD107" s="131"/>
      <c r="AE107" s="130"/>
      <c r="AF107" s="130"/>
      <c r="AG107" s="130"/>
      <c r="AH107" s="41"/>
      <c r="AI107" s="132"/>
      <c r="AJ107" s="133"/>
      <c r="AK107" s="134"/>
      <c r="AL107" s="135"/>
      <c r="AM107" s="132"/>
    </row>
    <row r="108" spans="3:41" ht="12.75" customHeight="1">
      <c r="C108" s="321"/>
      <c r="D108" s="623" t="s">
        <v>264</v>
      </c>
      <c r="E108" s="625"/>
      <c r="F108" s="625"/>
      <c r="G108" s="625"/>
      <c r="H108" s="625"/>
      <c r="I108" s="624"/>
      <c r="J108" s="624"/>
      <c r="K108" s="624"/>
      <c r="L108" s="624"/>
      <c r="M108" s="624"/>
      <c r="N108" s="349"/>
      <c r="O108" s="623" t="s">
        <v>35</v>
      </c>
      <c r="P108" s="624"/>
      <c r="Q108" s="624"/>
      <c r="R108" s="624"/>
      <c r="S108" s="624"/>
      <c r="T108" s="624"/>
      <c r="U108" s="350"/>
      <c r="V108" s="368"/>
      <c r="W108" s="322"/>
      <c r="X108" s="148"/>
      <c r="Y108" s="148"/>
      <c r="Z108" s="116"/>
      <c r="AA108" s="149"/>
      <c r="AB108" s="116"/>
      <c r="AC108" s="33"/>
      <c r="AD108" s="33"/>
      <c r="AL108" s="33"/>
      <c r="AM108" s="33"/>
      <c r="AN108" s="148"/>
      <c r="AO108" s="148"/>
    </row>
    <row r="109" spans="3:41" ht="12.75" customHeight="1">
      <c r="C109" s="321"/>
      <c r="D109" s="351" t="s">
        <v>125</v>
      </c>
      <c r="E109" s="352" t="s">
        <v>34</v>
      </c>
      <c r="F109" s="352" t="s">
        <v>29</v>
      </c>
      <c r="G109" s="353" t="s">
        <v>2</v>
      </c>
      <c r="H109" s="354" t="s">
        <v>265</v>
      </c>
      <c r="I109" s="353" t="s">
        <v>45</v>
      </c>
      <c r="J109" s="353" t="s">
        <v>52</v>
      </c>
      <c r="K109" s="355" t="s">
        <v>266</v>
      </c>
      <c r="L109" s="356" t="s">
        <v>46</v>
      </c>
      <c r="M109" s="355" t="s">
        <v>4</v>
      </c>
      <c r="N109" s="245"/>
      <c r="O109" s="357" t="s">
        <v>82</v>
      </c>
      <c r="P109" s="357" t="s">
        <v>294</v>
      </c>
      <c r="Q109" s="362" t="s">
        <v>295</v>
      </c>
      <c r="R109" s="369"/>
      <c r="S109" s="359" t="s">
        <v>46</v>
      </c>
      <c r="T109" s="370" t="s">
        <v>39</v>
      </c>
      <c r="U109" s="358" t="s">
        <v>81</v>
      </c>
      <c r="V109" s="368" t="s">
        <v>296</v>
      </c>
      <c r="W109" s="323"/>
      <c r="X109" s="150"/>
      <c r="Y109" s="150"/>
      <c r="Z109" s="151"/>
      <c r="AA109" s="152"/>
      <c r="AB109" s="151"/>
      <c r="AC109" s="33"/>
      <c r="AD109" s="33"/>
      <c r="AL109" s="33"/>
      <c r="AM109" s="33"/>
      <c r="AN109" s="148"/>
      <c r="AO109" s="150"/>
    </row>
    <row r="110" spans="3:41" s="34" customFormat="1" ht="12.75" customHeight="1">
      <c r="C110" s="324"/>
      <c r="D110" s="360"/>
      <c r="E110" s="352"/>
      <c r="F110" s="361"/>
      <c r="G110" s="353" t="s">
        <v>3</v>
      </c>
      <c r="H110" s="353" t="s">
        <v>287</v>
      </c>
      <c r="I110" s="353"/>
      <c r="J110" s="353"/>
      <c r="K110" s="355"/>
      <c r="L110" s="356"/>
      <c r="M110" s="355" t="s">
        <v>47</v>
      </c>
      <c r="N110" s="245"/>
      <c r="O110" s="357" t="s">
        <v>42</v>
      </c>
      <c r="P110" s="357" t="s">
        <v>297</v>
      </c>
      <c r="Q110" s="579">
        <f>tab!E6</f>
        <v>0.62</v>
      </c>
      <c r="R110" s="369" t="s">
        <v>298</v>
      </c>
      <c r="S110" s="359" t="s">
        <v>51</v>
      </c>
      <c r="T110" s="370" t="s">
        <v>77</v>
      </c>
      <c r="U110" s="358"/>
      <c r="V110" s="359" t="s">
        <v>51</v>
      </c>
      <c r="W110" s="325"/>
      <c r="AO110" s="142"/>
    </row>
    <row r="111" spans="3:41" s="34" customFormat="1" ht="12.75" customHeight="1">
      <c r="C111" s="77"/>
      <c r="D111" s="78"/>
      <c r="E111" s="78"/>
      <c r="F111" s="78"/>
      <c r="G111" s="191"/>
      <c r="H111" s="191"/>
      <c r="I111" s="326"/>
      <c r="J111" s="326"/>
      <c r="K111" s="327"/>
      <c r="L111" s="328"/>
      <c r="M111" s="327"/>
      <c r="N111" s="329"/>
      <c r="O111" s="330"/>
      <c r="P111" s="331"/>
      <c r="Q111" s="581"/>
      <c r="R111" s="331"/>
      <c r="S111" s="331"/>
      <c r="T111" s="331"/>
      <c r="U111" s="332"/>
      <c r="V111" s="200"/>
      <c r="W111" s="333"/>
      <c r="AO111" s="142"/>
    </row>
    <row r="112" spans="3:41" ht="12.75" customHeight="1">
      <c r="C112" s="77"/>
      <c r="D112" s="240" t="str">
        <f>IF(loon!D80=0,"",loon!D80)</f>
        <v/>
      </c>
      <c r="E112" s="240" t="str">
        <f>IF(loon!E80=0,"",loon!E80)</f>
        <v/>
      </c>
      <c r="F112" s="240" t="str">
        <f>IF(loon!F80=0,"",loon!F80)</f>
        <v/>
      </c>
      <c r="G112" s="363" t="str">
        <f>IF(loon!G80="","",loon!G80+1)</f>
        <v/>
      </c>
      <c r="H112" s="583" t="str">
        <f>IF(loon!H80="","",loon!H80)</f>
        <v/>
      </c>
      <c r="I112" s="364" t="str">
        <f>IF(loon!I80=0,"",loon!I80)</f>
        <v/>
      </c>
      <c r="J112" s="364" t="str">
        <f>IF(E112="","",(IF(loon!J80+1&gt;LOOKUP(I112,schaal,regels),loon!J80,loon!J80+1)))</f>
        <v/>
      </c>
      <c r="K112" s="365" t="str">
        <f>IF(loon!K80="","",loon!K80)</f>
        <v/>
      </c>
      <c r="L112" s="366" t="str">
        <f>IF(loon!L80="","",loon!L80)</f>
        <v/>
      </c>
      <c r="M112" s="367" t="str">
        <f t="shared" ref="M112:M131" si="23">(IF(L112="",(K112),(K112)-L112))</f>
        <v/>
      </c>
      <c r="N112" s="214"/>
      <c r="O112" s="371" t="str">
        <f>IF(I112="","",VLOOKUP(I112,tab!$A$15:$V$57,J112+2,FALSE))</f>
        <v/>
      </c>
      <c r="P112" s="259" t="str">
        <f t="shared" ref="P112:P131" si="24">IF(E112="","",(O112*M112*12))</f>
        <v/>
      </c>
      <c r="Q112" s="580">
        <f>$Q$110</f>
        <v>0.62</v>
      </c>
      <c r="R112" s="259" t="str">
        <f>IF(E112="","",(P112*Q112))</f>
        <v/>
      </c>
      <c r="S112" s="259">
        <f>IF(L112="",0,(((O112*12)*L112)*(IF(I112&gt;8,1+tab!$E$8,1+tab!$E$10))))</f>
        <v>0</v>
      </c>
      <c r="T112" s="372">
        <f t="shared" ref="T112:T131" si="25">IF(E112="",0,(P112+R112+S112))</f>
        <v>0</v>
      </c>
      <c r="U112" s="373">
        <f t="shared" ref="U112:U131" si="26">IF(G112&lt;25,0,IF(G112=25,25,IF(G112&lt;40,0,IF(G112=40,40,IF(G112&gt;=40,0)))))</f>
        <v>0</v>
      </c>
      <c r="V112" s="374">
        <f t="shared" ref="V112:V131" si="27">IF(U112=25,(O112*1.08*(K112)/2),IF(U112=40,(O112*1.08*(K112)),IF(U112=0,0)))</f>
        <v>0</v>
      </c>
      <c r="W112" s="335"/>
      <c r="AA112" s="153"/>
      <c r="AJ112" s="153"/>
    </row>
    <row r="113" spans="3:36" ht="12.75" customHeight="1">
      <c r="C113" s="77"/>
      <c r="D113" s="240" t="str">
        <f>IF(loon!D81=0,"",loon!D81)</f>
        <v/>
      </c>
      <c r="E113" s="240" t="str">
        <f>IF(loon!E81=0,"",loon!E81)</f>
        <v/>
      </c>
      <c r="F113" s="240" t="str">
        <f>IF(loon!F81=0,"",loon!F81)</f>
        <v/>
      </c>
      <c r="G113" s="363" t="str">
        <f>IF(loon!G81="","",loon!G81+1)</f>
        <v/>
      </c>
      <c r="H113" s="583" t="str">
        <f>IF(loon!H81="","",loon!H81)</f>
        <v/>
      </c>
      <c r="I113" s="363" t="str">
        <f>IF(loon!I81=0,"",loon!I81)</f>
        <v/>
      </c>
      <c r="J113" s="364" t="str">
        <f>IF(E113="","",(IF(loon!J81+1&gt;LOOKUP(I113,schaal,regels),loon!J81,loon!J81+1)))</f>
        <v/>
      </c>
      <c r="K113" s="365" t="str">
        <f>IF(loon!K81="","",loon!K81)</f>
        <v/>
      </c>
      <c r="L113" s="366" t="str">
        <f>IF(loon!L81="","",loon!L81)</f>
        <v/>
      </c>
      <c r="M113" s="367" t="str">
        <f t="shared" si="23"/>
        <v/>
      </c>
      <c r="N113" s="214"/>
      <c r="O113" s="371" t="str">
        <f>IF(I113="","",VLOOKUP(I113,tab!$A$15:$V$57,J113+2,FALSE))</f>
        <v/>
      </c>
      <c r="P113" s="259" t="str">
        <f t="shared" si="24"/>
        <v/>
      </c>
      <c r="Q113" s="580">
        <f t="shared" ref="Q113:Q131" si="28">$Q$110</f>
        <v>0.62</v>
      </c>
      <c r="R113" s="259" t="str">
        <f t="shared" ref="R113:R131" si="29">IF(E113="","",(P113*Q113))</f>
        <v/>
      </c>
      <c r="S113" s="259">
        <f>IF(L113="",0,(((O113*12)*L113)*(IF(I113&gt;8,1+tab!$E$8,1+tab!$E$10))))</f>
        <v>0</v>
      </c>
      <c r="T113" s="372">
        <f t="shared" si="25"/>
        <v>0</v>
      </c>
      <c r="U113" s="373">
        <f t="shared" si="26"/>
        <v>0</v>
      </c>
      <c r="V113" s="374">
        <f t="shared" si="27"/>
        <v>0</v>
      </c>
      <c r="W113" s="335"/>
      <c r="AA113" s="153"/>
      <c r="AJ113" s="153"/>
    </row>
    <row r="114" spans="3:36" ht="12.75" customHeight="1">
      <c r="C114" s="77"/>
      <c r="D114" s="240" t="str">
        <f>IF(loon!D82=0,"",loon!D82)</f>
        <v/>
      </c>
      <c r="E114" s="240" t="str">
        <f>IF(loon!E82=0,"",loon!E82)</f>
        <v/>
      </c>
      <c r="F114" s="240" t="str">
        <f>IF(loon!F82=0,"",loon!F82)</f>
        <v/>
      </c>
      <c r="G114" s="363" t="str">
        <f>IF(loon!G82="","",loon!G82+1)</f>
        <v/>
      </c>
      <c r="H114" s="583" t="str">
        <f>IF(loon!H82="","",loon!H82)</f>
        <v/>
      </c>
      <c r="I114" s="363" t="str">
        <f>IF(loon!I82=0,"",loon!I82)</f>
        <v/>
      </c>
      <c r="J114" s="364" t="str">
        <f>IF(E114="","",(IF(loon!J82+1&gt;LOOKUP(I114,schaal,regels),loon!J82,loon!J82+1)))</f>
        <v/>
      </c>
      <c r="K114" s="365" t="str">
        <f>IF(loon!K82="","",loon!K82)</f>
        <v/>
      </c>
      <c r="L114" s="366" t="str">
        <f>IF(loon!L82="","",loon!L82)</f>
        <v/>
      </c>
      <c r="M114" s="367" t="str">
        <f t="shared" si="23"/>
        <v/>
      </c>
      <c r="N114" s="214"/>
      <c r="O114" s="371" t="str">
        <f>IF(I114="","",VLOOKUP(I114,tab!$A$15:$V$57,J114+2,FALSE))</f>
        <v/>
      </c>
      <c r="P114" s="259" t="str">
        <f t="shared" si="24"/>
        <v/>
      </c>
      <c r="Q114" s="580">
        <f t="shared" si="28"/>
        <v>0.62</v>
      </c>
      <c r="R114" s="259" t="str">
        <f t="shared" si="29"/>
        <v/>
      </c>
      <c r="S114" s="259">
        <f>IF(L114="",0,(((O114*12)*L114)*(IF(I114&gt;8,1+tab!$E$8,1+tab!$E$10))))</f>
        <v>0</v>
      </c>
      <c r="T114" s="372">
        <f t="shared" si="25"/>
        <v>0</v>
      </c>
      <c r="U114" s="373">
        <f t="shared" si="26"/>
        <v>0</v>
      </c>
      <c r="V114" s="374">
        <f t="shared" si="27"/>
        <v>0</v>
      </c>
      <c r="W114" s="335"/>
      <c r="AA114" s="153"/>
      <c r="AJ114" s="153"/>
    </row>
    <row r="115" spans="3:36" ht="12.75" customHeight="1">
      <c r="C115" s="77"/>
      <c r="D115" s="240" t="str">
        <f>IF(loon!D83=0,"",loon!D83)</f>
        <v/>
      </c>
      <c r="E115" s="240" t="str">
        <f>IF(loon!E83=0,"",loon!E83)</f>
        <v/>
      </c>
      <c r="F115" s="240" t="str">
        <f>IF(loon!F83=0,"",loon!F83)</f>
        <v/>
      </c>
      <c r="G115" s="363" t="str">
        <f>IF(loon!G83="","",loon!G83+1)</f>
        <v/>
      </c>
      <c r="H115" s="583" t="str">
        <f>IF(loon!H83="","",loon!H83)</f>
        <v/>
      </c>
      <c r="I115" s="363" t="str">
        <f>IF(loon!I83=0,"",loon!I83)</f>
        <v/>
      </c>
      <c r="J115" s="364" t="str">
        <f>IF(E115="","",(IF(loon!J83+1&gt;LOOKUP(I115,schaal,regels),loon!J83,loon!J83+1)))</f>
        <v/>
      </c>
      <c r="K115" s="365" t="str">
        <f>IF(loon!K83="","",loon!K83)</f>
        <v/>
      </c>
      <c r="L115" s="366" t="str">
        <f>IF(loon!L83="","",loon!L83)</f>
        <v/>
      </c>
      <c r="M115" s="367" t="str">
        <f t="shared" si="23"/>
        <v/>
      </c>
      <c r="N115" s="214"/>
      <c r="O115" s="371" t="str">
        <f>IF(I115="","",VLOOKUP(I115,tab!$A$15:$V$57,J115+2,FALSE))</f>
        <v/>
      </c>
      <c r="P115" s="259" t="str">
        <f t="shared" si="24"/>
        <v/>
      </c>
      <c r="Q115" s="580">
        <f t="shared" si="28"/>
        <v>0.62</v>
      </c>
      <c r="R115" s="259" t="str">
        <f t="shared" si="29"/>
        <v/>
      </c>
      <c r="S115" s="259">
        <f>IF(L115="",0,(((O115*12)*L115)*(IF(I115&gt;8,1+tab!$E$8,1+tab!$E$10))))</f>
        <v>0</v>
      </c>
      <c r="T115" s="372">
        <f t="shared" si="25"/>
        <v>0</v>
      </c>
      <c r="U115" s="373">
        <f t="shared" si="26"/>
        <v>0</v>
      </c>
      <c r="V115" s="374">
        <f t="shared" si="27"/>
        <v>0</v>
      </c>
      <c r="W115" s="335"/>
      <c r="AA115" s="153"/>
      <c r="AJ115" s="153"/>
    </row>
    <row r="116" spans="3:36" ht="12.75" customHeight="1">
      <c r="C116" s="77"/>
      <c r="D116" s="240" t="str">
        <f>IF(loon!D84=0,"",loon!D84)</f>
        <v/>
      </c>
      <c r="E116" s="240" t="str">
        <f>IF(loon!E84=0,"",loon!E84)</f>
        <v/>
      </c>
      <c r="F116" s="240" t="str">
        <f>IF(loon!F84=0,"",loon!F84)</f>
        <v/>
      </c>
      <c r="G116" s="363" t="str">
        <f>IF(loon!G84="","",loon!G84+1)</f>
        <v/>
      </c>
      <c r="H116" s="583" t="str">
        <f>IF(loon!H84="","",loon!H84)</f>
        <v/>
      </c>
      <c r="I116" s="363" t="str">
        <f>IF(loon!I84=0,"",loon!I84)</f>
        <v/>
      </c>
      <c r="J116" s="364" t="str">
        <f>IF(E116="","",(IF(loon!J84+1&gt;LOOKUP(I116,schaal,regels),loon!J84,loon!J84+1)))</f>
        <v/>
      </c>
      <c r="K116" s="365" t="str">
        <f>IF(loon!K84="","",loon!K84)</f>
        <v/>
      </c>
      <c r="L116" s="366" t="str">
        <f>IF(loon!L84="","",loon!L84)</f>
        <v/>
      </c>
      <c r="M116" s="367" t="str">
        <f t="shared" si="23"/>
        <v/>
      </c>
      <c r="N116" s="214"/>
      <c r="O116" s="371" t="str">
        <f>IF(I116="","",VLOOKUP(I116,tab!$A$15:$V$57,J116+2,FALSE))</f>
        <v/>
      </c>
      <c r="P116" s="259" t="str">
        <f t="shared" si="24"/>
        <v/>
      </c>
      <c r="Q116" s="580">
        <f t="shared" si="28"/>
        <v>0.62</v>
      </c>
      <c r="R116" s="259" t="str">
        <f t="shared" si="29"/>
        <v/>
      </c>
      <c r="S116" s="259">
        <f>IF(L116="",0,(((O116*12)*L116)*(IF(I116&gt;8,1+tab!$E$8,1+tab!$E$10))))</f>
        <v>0</v>
      </c>
      <c r="T116" s="372">
        <f t="shared" si="25"/>
        <v>0</v>
      </c>
      <c r="U116" s="373">
        <f t="shared" si="26"/>
        <v>0</v>
      </c>
      <c r="V116" s="374">
        <f t="shared" si="27"/>
        <v>0</v>
      </c>
      <c r="W116" s="335"/>
      <c r="AA116" s="153"/>
      <c r="AJ116" s="153"/>
    </row>
    <row r="117" spans="3:36" ht="12.75" customHeight="1">
      <c r="C117" s="77"/>
      <c r="D117" s="240" t="str">
        <f>IF(loon!D85=0,"",loon!D85)</f>
        <v/>
      </c>
      <c r="E117" s="240" t="str">
        <f>IF(loon!E85=0,"",loon!E85)</f>
        <v/>
      </c>
      <c r="F117" s="240" t="str">
        <f>IF(loon!F85=0,"",loon!F85)</f>
        <v/>
      </c>
      <c r="G117" s="363" t="str">
        <f>IF(loon!G85="","",loon!G85+1)</f>
        <v/>
      </c>
      <c r="H117" s="583" t="str">
        <f>IF(loon!H85="","",loon!H85)</f>
        <v/>
      </c>
      <c r="I117" s="363" t="str">
        <f>IF(loon!I85=0,"",loon!I85)</f>
        <v/>
      </c>
      <c r="J117" s="364" t="str">
        <f>IF(E117="","",(IF(loon!J85+1&gt;LOOKUP(I117,schaal,regels),loon!J85,loon!J85+1)))</f>
        <v/>
      </c>
      <c r="K117" s="365" t="str">
        <f>IF(loon!K85="","",loon!K85)</f>
        <v/>
      </c>
      <c r="L117" s="366" t="str">
        <f>IF(loon!L85="","",loon!L85)</f>
        <v/>
      </c>
      <c r="M117" s="367" t="str">
        <f t="shared" si="23"/>
        <v/>
      </c>
      <c r="N117" s="214"/>
      <c r="O117" s="371" t="str">
        <f>IF(I117="","",VLOOKUP(I117,tab!$A$15:$V$57,J117+2,FALSE))</f>
        <v/>
      </c>
      <c r="P117" s="259" t="str">
        <f t="shared" si="24"/>
        <v/>
      </c>
      <c r="Q117" s="580">
        <f t="shared" si="28"/>
        <v>0.62</v>
      </c>
      <c r="R117" s="259" t="str">
        <f t="shared" si="29"/>
        <v/>
      </c>
      <c r="S117" s="259">
        <f>IF(L117="",0,(((O117*12)*L117)*(IF(I117&gt;8,1+tab!$E$8,1+tab!$E$10))))</f>
        <v>0</v>
      </c>
      <c r="T117" s="372">
        <f t="shared" si="25"/>
        <v>0</v>
      </c>
      <c r="U117" s="373">
        <f t="shared" si="26"/>
        <v>0</v>
      </c>
      <c r="V117" s="374">
        <f t="shared" si="27"/>
        <v>0</v>
      </c>
      <c r="W117" s="335"/>
      <c r="AA117" s="153"/>
      <c r="AJ117" s="153"/>
    </row>
    <row r="118" spans="3:36" ht="12.75" customHeight="1">
      <c r="C118" s="77"/>
      <c r="D118" s="240" t="str">
        <f>IF(loon!D86=0,"",loon!D86)</f>
        <v/>
      </c>
      <c r="E118" s="240" t="str">
        <f>IF(loon!E86=0,"",loon!E86)</f>
        <v/>
      </c>
      <c r="F118" s="240" t="str">
        <f>IF(loon!F86=0,"",loon!F86)</f>
        <v/>
      </c>
      <c r="G118" s="363" t="str">
        <f>IF(loon!G86="","",loon!G86+1)</f>
        <v/>
      </c>
      <c r="H118" s="583" t="str">
        <f>IF(loon!H86="","",loon!H86)</f>
        <v/>
      </c>
      <c r="I118" s="363" t="str">
        <f>IF(loon!I86=0,"",loon!I86)</f>
        <v/>
      </c>
      <c r="J118" s="364" t="str">
        <f>IF(E118="","",(IF(loon!J86+1&gt;LOOKUP(I118,schaal,regels),loon!J86,loon!J86+1)))</f>
        <v/>
      </c>
      <c r="K118" s="365" t="str">
        <f>IF(loon!K86="","",loon!K86)</f>
        <v/>
      </c>
      <c r="L118" s="366" t="str">
        <f>IF(loon!L86="","",loon!L86)</f>
        <v/>
      </c>
      <c r="M118" s="367" t="str">
        <f t="shared" si="23"/>
        <v/>
      </c>
      <c r="N118" s="214"/>
      <c r="O118" s="371" t="str">
        <f>IF(I118="","",VLOOKUP(I118,tab!$A$15:$V$57,J118+2,FALSE))</f>
        <v/>
      </c>
      <c r="P118" s="259" t="str">
        <f t="shared" si="24"/>
        <v/>
      </c>
      <c r="Q118" s="580">
        <f t="shared" si="28"/>
        <v>0.62</v>
      </c>
      <c r="R118" s="259" t="str">
        <f t="shared" si="29"/>
        <v/>
      </c>
      <c r="S118" s="259">
        <f>IF(L118="",0,(((O118*12)*L118)*(IF(I118&gt;8,1+tab!$E$8,1+tab!$E$10))))</f>
        <v>0</v>
      </c>
      <c r="T118" s="372">
        <f t="shared" si="25"/>
        <v>0</v>
      </c>
      <c r="U118" s="373">
        <f t="shared" si="26"/>
        <v>0</v>
      </c>
      <c r="V118" s="374">
        <f t="shared" si="27"/>
        <v>0</v>
      </c>
      <c r="W118" s="335"/>
      <c r="AA118" s="153"/>
      <c r="AJ118" s="153"/>
    </row>
    <row r="119" spans="3:36" ht="12.75" customHeight="1">
      <c r="C119" s="77"/>
      <c r="D119" s="240" t="str">
        <f>IF(loon!D87=0,"",loon!D87)</f>
        <v/>
      </c>
      <c r="E119" s="240" t="str">
        <f>IF(loon!E87=0,"",loon!E87)</f>
        <v/>
      </c>
      <c r="F119" s="240" t="str">
        <f>IF(loon!F87=0,"",loon!F87)</f>
        <v/>
      </c>
      <c r="G119" s="363" t="str">
        <f>IF(loon!G87="","",loon!G87+1)</f>
        <v/>
      </c>
      <c r="H119" s="583" t="str">
        <f>IF(loon!H87="","",loon!H87)</f>
        <v/>
      </c>
      <c r="I119" s="363" t="str">
        <f>IF(loon!I87=0,"",loon!I87)</f>
        <v/>
      </c>
      <c r="J119" s="364" t="str">
        <f>IF(E119="","",(IF(loon!J87+1&gt;LOOKUP(I119,schaal,regels),loon!J87,loon!J87+1)))</f>
        <v/>
      </c>
      <c r="K119" s="365" t="str">
        <f>IF(loon!K87="","",loon!K87)</f>
        <v/>
      </c>
      <c r="L119" s="366" t="str">
        <f>IF(loon!L87="","",loon!L87)</f>
        <v/>
      </c>
      <c r="M119" s="367" t="str">
        <f t="shared" si="23"/>
        <v/>
      </c>
      <c r="N119" s="214"/>
      <c r="O119" s="371" t="str">
        <f>IF(I119="","",VLOOKUP(I119,tab!$A$15:$V$57,J119+2,FALSE))</f>
        <v/>
      </c>
      <c r="P119" s="259" t="str">
        <f t="shared" si="24"/>
        <v/>
      </c>
      <c r="Q119" s="580">
        <f t="shared" si="28"/>
        <v>0.62</v>
      </c>
      <c r="R119" s="259" t="str">
        <f t="shared" si="29"/>
        <v/>
      </c>
      <c r="S119" s="259">
        <f>IF(L119="",0,(((O119*12)*L119)*(IF(I119&gt;8,1+tab!$E$8,1+tab!$E$10))))</f>
        <v>0</v>
      </c>
      <c r="T119" s="372">
        <f t="shared" si="25"/>
        <v>0</v>
      </c>
      <c r="U119" s="373">
        <f t="shared" si="26"/>
        <v>0</v>
      </c>
      <c r="V119" s="374">
        <f t="shared" si="27"/>
        <v>0</v>
      </c>
      <c r="W119" s="335"/>
      <c r="AA119" s="153"/>
      <c r="AJ119" s="153"/>
    </row>
    <row r="120" spans="3:36" ht="12.75" customHeight="1">
      <c r="C120" s="77"/>
      <c r="D120" s="240" t="str">
        <f>IF(loon!D88=0,"",loon!D88)</f>
        <v/>
      </c>
      <c r="E120" s="240" t="str">
        <f>IF(loon!E88=0,"",loon!E88)</f>
        <v/>
      </c>
      <c r="F120" s="240" t="str">
        <f>IF(loon!F88=0,"",loon!F88)</f>
        <v/>
      </c>
      <c r="G120" s="363" t="str">
        <f>IF(loon!G88="","",loon!G88+1)</f>
        <v/>
      </c>
      <c r="H120" s="583" t="str">
        <f>IF(loon!H88="","",loon!H88)</f>
        <v/>
      </c>
      <c r="I120" s="363" t="str">
        <f>IF(loon!I88=0,"",loon!I88)</f>
        <v/>
      </c>
      <c r="J120" s="364" t="str">
        <f>IF(E120="","",(IF(loon!J88+1&gt;LOOKUP(I120,schaal,regels),loon!J88,loon!J88+1)))</f>
        <v/>
      </c>
      <c r="K120" s="365" t="str">
        <f>IF(loon!K88="","",loon!K88)</f>
        <v/>
      </c>
      <c r="L120" s="366" t="str">
        <f>IF(loon!L88="","",loon!L88)</f>
        <v/>
      </c>
      <c r="M120" s="367" t="str">
        <f t="shared" si="23"/>
        <v/>
      </c>
      <c r="N120" s="214"/>
      <c r="O120" s="371" t="str">
        <f>IF(I120="","",VLOOKUP(I120,tab!$A$15:$V$57,J120+2,FALSE))</f>
        <v/>
      </c>
      <c r="P120" s="259" t="str">
        <f t="shared" si="24"/>
        <v/>
      </c>
      <c r="Q120" s="580">
        <f t="shared" si="28"/>
        <v>0.62</v>
      </c>
      <c r="R120" s="259" t="str">
        <f t="shared" si="29"/>
        <v/>
      </c>
      <c r="S120" s="259">
        <f>IF(L120="",0,(((O120*12)*L120)*(IF(I120&gt;8,1+tab!$E$8,1+tab!$E$10))))</f>
        <v>0</v>
      </c>
      <c r="T120" s="372">
        <f t="shared" si="25"/>
        <v>0</v>
      </c>
      <c r="U120" s="373">
        <f t="shared" si="26"/>
        <v>0</v>
      </c>
      <c r="V120" s="374">
        <f t="shared" si="27"/>
        <v>0</v>
      </c>
      <c r="W120" s="335"/>
      <c r="AA120" s="153"/>
      <c r="AJ120" s="153"/>
    </row>
    <row r="121" spans="3:36" ht="12.75" customHeight="1">
      <c r="C121" s="77"/>
      <c r="D121" s="240" t="str">
        <f>IF(loon!D89=0,"",loon!D89)</f>
        <v/>
      </c>
      <c r="E121" s="240" t="str">
        <f>IF(loon!E89=0,"",loon!E89)</f>
        <v/>
      </c>
      <c r="F121" s="240" t="str">
        <f>IF(loon!F89=0,"",loon!F89)</f>
        <v/>
      </c>
      <c r="G121" s="363" t="str">
        <f>IF(loon!G89="","",loon!G89+1)</f>
        <v/>
      </c>
      <c r="H121" s="583" t="str">
        <f>IF(loon!H89="","",loon!H89)</f>
        <v/>
      </c>
      <c r="I121" s="363" t="str">
        <f>IF(loon!I89=0,"",loon!I89)</f>
        <v/>
      </c>
      <c r="J121" s="364" t="str">
        <f>IF(E121="","",(IF(loon!J89+1&gt;LOOKUP(I121,schaal,regels),loon!J89,loon!J89+1)))</f>
        <v/>
      </c>
      <c r="K121" s="365" t="str">
        <f>IF(loon!K89="","",loon!K89)</f>
        <v/>
      </c>
      <c r="L121" s="366" t="str">
        <f>IF(loon!L89="","",loon!L89)</f>
        <v/>
      </c>
      <c r="M121" s="367" t="str">
        <f t="shared" si="23"/>
        <v/>
      </c>
      <c r="N121" s="214"/>
      <c r="O121" s="371" t="str">
        <f>IF(I121="","",VLOOKUP(I121,tab!$A$15:$V$57,J121+2,FALSE))</f>
        <v/>
      </c>
      <c r="P121" s="259" t="str">
        <f t="shared" si="24"/>
        <v/>
      </c>
      <c r="Q121" s="580">
        <f t="shared" si="28"/>
        <v>0.62</v>
      </c>
      <c r="R121" s="259" t="str">
        <f t="shared" si="29"/>
        <v/>
      </c>
      <c r="S121" s="259">
        <f>IF(L121="",0,(((O121*12)*L121)*(IF(I121&gt;8,1+tab!$E$8,1+tab!$E$10))))</f>
        <v>0</v>
      </c>
      <c r="T121" s="372">
        <f t="shared" si="25"/>
        <v>0</v>
      </c>
      <c r="U121" s="373">
        <f t="shared" si="26"/>
        <v>0</v>
      </c>
      <c r="V121" s="374">
        <f t="shared" si="27"/>
        <v>0</v>
      </c>
      <c r="W121" s="335"/>
      <c r="AA121" s="153"/>
      <c r="AJ121" s="153"/>
    </row>
    <row r="122" spans="3:36" ht="12.75" customHeight="1">
      <c r="C122" s="77"/>
      <c r="D122" s="240" t="str">
        <f>IF(loon!D90=0,"",loon!D90)</f>
        <v/>
      </c>
      <c r="E122" s="240" t="str">
        <f>IF(loon!E90=0,"",loon!E90)</f>
        <v/>
      </c>
      <c r="F122" s="240" t="str">
        <f>IF(loon!F90=0,"",loon!F90)</f>
        <v/>
      </c>
      <c r="G122" s="363" t="str">
        <f>IF(loon!G90="","",loon!G90+1)</f>
        <v/>
      </c>
      <c r="H122" s="583" t="str">
        <f>IF(loon!H90="","",loon!H90)</f>
        <v/>
      </c>
      <c r="I122" s="363" t="str">
        <f>IF(loon!I90=0,"",loon!I90)</f>
        <v/>
      </c>
      <c r="J122" s="364" t="str">
        <f>IF(E122="","",(IF(loon!J90+1&gt;LOOKUP(I122,schaal,regels),loon!J90,loon!J90+1)))</f>
        <v/>
      </c>
      <c r="K122" s="365" t="str">
        <f>IF(loon!K90="","",loon!K90)</f>
        <v/>
      </c>
      <c r="L122" s="366" t="str">
        <f>IF(loon!L90="","",loon!L90)</f>
        <v/>
      </c>
      <c r="M122" s="367" t="str">
        <f t="shared" si="23"/>
        <v/>
      </c>
      <c r="N122" s="214"/>
      <c r="O122" s="371" t="str">
        <f>IF(I122="","",VLOOKUP(I122,tab!$A$15:$V$57,J122+2,FALSE))</f>
        <v/>
      </c>
      <c r="P122" s="259" t="str">
        <f t="shared" si="24"/>
        <v/>
      </c>
      <c r="Q122" s="580">
        <f t="shared" si="28"/>
        <v>0.62</v>
      </c>
      <c r="R122" s="259" t="str">
        <f t="shared" si="29"/>
        <v/>
      </c>
      <c r="S122" s="259">
        <f>IF(L122="",0,(((O122*12)*L122)*(IF(I122&gt;8,1+tab!$E$8,1+tab!$E$10))))</f>
        <v>0</v>
      </c>
      <c r="T122" s="372">
        <f t="shared" si="25"/>
        <v>0</v>
      </c>
      <c r="U122" s="373">
        <f t="shared" si="26"/>
        <v>0</v>
      </c>
      <c r="V122" s="374">
        <f t="shared" si="27"/>
        <v>0</v>
      </c>
      <c r="W122" s="335"/>
      <c r="AA122" s="153"/>
      <c r="AJ122" s="153"/>
    </row>
    <row r="123" spans="3:36" ht="12.75" customHeight="1">
      <c r="C123" s="77"/>
      <c r="D123" s="240" t="str">
        <f>IF(loon!D91=0,"",loon!D91)</f>
        <v/>
      </c>
      <c r="E123" s="240" t="str">
        <f>IF(loon!E91=0,"",loon!E91)</f>
        <v/>
      </c>
      <c r="F123" s="240" t="str">
        <f>IF(loon!F91=0,"",loon!F91)</f>
        <v/>
      </c>
      <c r="G123" s="363" t="str">
        <f>IF(loon!G91="","",loon!G91+1)</f>
        <v/>
      </c>
      <c r="H123" s="583" t="str">
        <f>IF(loon!H91="","",loon!H91)</f>
        <v/>
      </c>
      <c r="I123" s="363" t="str">
        <f>IF(loon!I91=0,"",loon!I91)</f>
        <v/>
      </c>
      <c r="J123" s="364" t="str">
        <f>IF(E123="","",(IF(loon!J91+1&gt;LOOKUP(I123,schaal,regels),loon!J91,loon!J91+1)))</f>
        <v/>
      </c>
      <c r="K123" s="365" t="str">
        <f>IF(loon!K91="","",loon!K91)</f>
        <v/>
      </c>
      <c r="L123" s="366" t="str">
        <f>IF(loon!L91="","",loon!L91)</f>
        <v/>
      </c>
      <c r="M123" s="367" t="str">
        <f t="shared" si="23"/>
        <v/>
      </c>
      <c r="N123" s="214"/>
      <c r="O123" s="371" t="str">
        <f>IF(I123="","",VLOOKUP(I123,tab!$A$15:$V$57,J123+2,FALSE))</f>
        <v/>
      </c>
      <c r="P123" s="259" t="str">
        <f t="shared" si="24"/>
        <v/>
      </c>
      <c r="Q123" s="580">
        <f t="shared" si="28"/>
        <v>0.62</v>
      </c>
      <c r="R123" s="259" t="str">
        <f t="shared" si="29"/>
        <v/>
      </c>
      <c r="S123" s="259">
        <f>IF(L123="",0,(((O123*12)*L123)*(IF(I123&gt;8,1+tab!$E$8,1+tab!$E$10))))</f>
        <v>0</v>
      </c>
      <c r="T123" s="372">
        <f t="shared" si="25"/>
        <v>0</v>
      </c>
      <c r="U123" s="373">
        <f t="shared" si="26"/>
        <v>0</v>
      </c>
      <c r="V123" s="374">
        <f t="shared" si="27"/>
        <v>0</v>
      </c>
      <c r="W123" s="335"/>
      <c r="AA123" s="153"/>
      <c r="AJ123" s="153"/>
    </row>
    <row r="124" spans="3:36" ht="12.75" customHeight="1">
      <c r="C124" s="77"/>
      <c r="D124" s="240" t="str">
        <f>IF(loon!D92=0,"",loon!D92)</f>
        <v/>
      </c>
      <c r="E124" s="240" t="str">
        <f>IF(loon!E92=0,"",loon!E92)</f>
        <v/>
      </c>
      <c r="F124" s="240" t="str">
        <f>IF(loon!F92=0,"",loon!F92)</f>
        <v/>
      </c>
      <c r="G124" s="363" t="str">
        <f>IF(loon!G92="","",loon!G92+1)</f>
        <v/>
      </c>
      <c r="H124" s="583" t="str">
        <f>IF(loon!H92="","",loon!H92)</f>
        <v/>
      </c>
      <c r="I124" s="363" t="str">
        <f>IF(loon!I92=0,"",loon!I92)</f>
        <v/>
      </c>
      <c r="J124" s="364" t="str">
        <f>IF(E124="","",(IF(loon!J92+1&gt;LOOKUP(I124,schaal,regels),loon!J92,loon!J92+1)))</f>
        <v/>
      </c>
      <c r="K124" s="365" t="str">
        <f>IF(loon!K92="","",loon!K92)</f>
        <v/>
      </c>
      <c r="L124" s="366" t="str">
        <f>IF(loon!L92="","",loon!L92)</f>
        <v/>
      </c>
      <c r="M124" s="367" t="str">
        <f t="shared" si="23"/>
        <v/>
      </c>
      <c r="N124" s="214"/>
      <c r="O124" s="371" t="str">
        <f>IF(I124="","",VLOOKUP(I124,tab!$A$15:$V$57,J124+2,FALSE))</f>
        <v/>
      </c>
      <c r="P124" s="259" t="str">
        <f t="shared" si="24"/>
        <v/>
      </c>
      <c r="Q124" s="580">
        <f t="shared" si="28"/>
        <v>0.62</v>
      </c>
      <c r="R124" s="259" t="str">
        <f t="shared" si="29"/>
        <v/>
      </c>
      <c r="S124" s="259">
        <f>IF(L124="",0,(((O124*12)*L124)*(IF(I124&gt;8,1+tab!$E$8,1+tab!$E$10))))</f>
        <v>0</v>
      </c>
      <c r="T124" s="372">
        <f t="shared" si="25"/>
        <v>0</v>
      </c>
      <c r="U124" s="373">
        <f t="shared" si="26"/>
        <v>0</v>
      </c>
      <c r="V124" s="374">
        <f t="shared" si="27"/>
        <v>0</v>
      </c>
      <c r="W124" s="335"/>
      <c r="AA124" s="153"/>
      <c r="AJ124" s="153"/>
    </row>
    <row r="125" spans="3:36" ht="12.75" customHeight="1">
      <c r="C125" s="77"/>
      <c r="D125" s="240" t="str">
        <f>IF(loon!D93=0,"",loon!D93)</f>
        <v/>
      </c>
      <c r="E125" s="240" t="str">
        <f>IF(loon!E93=0,"",loon!E93)</f>
        <v/>
      </c>
      <c r="F125" s="240" t="str">
        <f>IF(loon!F93=0,"",loon!F93)</f>
        <v/>
      </c>
      <c r="G125" s="363" t="str">
        <f>IF(loon!G93="","",loon!G93+1)</f>
        <v/>
      </c>
      <c r="H125" s="583" t="str">
        <f>IF(loon!H93="","",loon!H93)</f>
        <v/>
      </c>
      <c r="I125" s="363" t="str">
        <f>IF(loon!I93=0,"",loon!I93)</f>
        <v/>
      </c>
      <c r="J125" s="364" t="str">
        <f>IF(E125="","",(IF(loon!J93+1&gt;LOOKUP(I125,schaal,regels),loon!J93,loon!J93+1)))</f>
        <v/>
      </c>
      <c r="K125" s="365" t="str">
        <f>IF(loon!K93="","",loon!K93)</f>
        <v/>
      </c>
      <c r="L125" s="366" t="str">
        <f>IF(loon!L93="","",loon!L93)</f>
        <v/>
      </c>
      <c r="M125" s="367" t="str">
        <f t="shared" si="23"/>
        <v/>
      </c>
      <c r="N125" s="214"/>
      <c r="O125" s="371" t="str">
        <f>IF(I125="","",VLOOKUP(I125,tab!$A$15:$V$57,J125+2,FALSE))</f>
        <v/>
      </c>
      <c r="P125" s="259" t="str">
        <f t="shared" si="24"/>
        <v/>
      </c>
      <c r="Q125" s="580">
        <f t="shared" si="28"/>
        <v>0.62</v>
      </c>
      <c r="R125" s="259" t="str">
        <f t="shared" si="29"/>
        <v/>
      </c>
      <c r="S125" s="259">
        <f>IF(L125="",0,(((O125*12)*L125)*(IF(I125&gt;8,1+tab!$E$8,1+tab!$E$10))))</f>
        <v>0</v>
      </c>
      <c r="T125" s="372">
        <f t="shared" si="25"/>
        <v>0</v>
      </c>
      <c r="U125" s="373">
        <f t="shared" si="26"/>
        <v>0</v>
      </c>
      <c r="V125" s="374">
        <f t="shared" si="27"/>
        <v>0</v>
      </c>
      <c r="W125" s="335"/>
      <c r="AA125" s="153"/>
      <c r="AJ125" s="153"/>
    </row>
    <row r="126" spans="3:36" ht="12.75" customHeight="1">
      <c r="C126" s="77"/>
      <c r="D126" s="240" t="str">
        <f>IF(loon!D94=0,"",loon!D94)</f>
        <v/>
      </c>
      <c r="E126" s="240" t="str">
        <f>IF(loon!E94=0,"",loon!E94)</f>
        <v/>
      </c>
      <c r="F126" s="240" t="str">
        <f>IF(loon!F94=0,"",loon!F94)</f>
        <v/>
      </c>
      <c r="G126" s="363" t="str">
        <f>IF(loon!G94="","",loon!G94+1)</f>
        <v/>
      </c>
      <c r="H126" s="583" t="str">
        <f>IF(loon!H94="","",loon!H94)</f>
        <v/>
      </c>
      <c r="I126" s="363" t="str">
        <f>IF(loon!I94=0,"",loon!I94)</f>
        <v/>
      </c>
      <c r="J126" s="364" t="str">
        <f>IF(E126="","",(IF(loon!J94+1&gt;LOOKUP(I126,schaal,regels),loon!J94,loon!J94+1)))</f>
        <v/>
      </c>
      <c r="K126" s="365" t="str">
        <f>IF(loon!K94="","",loon!K94)</f>
        <v/>
      </c>
      <c r="L126" s="366" t="str">
        <f>IF(loon!L94="","",loon!L94)</f>
        <v/>
      </c>
      <c r="M126" s="367" t="str">
        <f t="shared" si="23"/>
        <v/>
      </c>
      <c r="N126" s="214"/>
      <c r="O126" s="371" t="str">
        <f>IF(I126="","",VLOOKUP(I126,tab!$A$15:$V$57,J126+2,FALSE))</f>
        <v/>
      </c>
      <c r="P126" s="259" t="str">
        <f t="shared" si="24"/>
        <v/>
      </c>
      <c r="Q126" s="580">
        <f t="shared" si="28"/>
        <v>0.62</v>
      </c>
      <c r="R126" s="259" t="str">
        <f t="shared" si="29"/>
        <v/>
      </c>
      <c r="S126" s="259">
        <f>IF(L126="",0,(((O126*12)*L126)*(IF(I126&gt;8,1+tab!$E$8,1+tab!$E$10))))</f>
        <v>0</v>
      </c>
      <c r="T126" s="372">
        <f t="shared" si="25"/>
        <v>0</v>
      </c>
      <c r="U126" s="373">
        <f t="shared" si="26"/>
        <v>0</v>
      </c>
      <c r="V126" s="374">
        <f t="shared" si="27"/>
        <v>0</v>
      </c>
      <c r="W126" s="335"/>
      <c r="AA126" s="153"/>
      <c r="AJ126" s="153"/>
    </row>
    <row r="127" spans="3:36" ht="12.75" customHeight="1">
      <c r="C127" s="77"/>
      <c r="D127" s="240" t="str">
        <f>IF(loon!D95=0,"",loon!D95)</f>
        <v/>
      </c>
      <c r="E127" s="240" t="str">
        <f>IF(loon!E95=0,"",loon!E95)</f>
        <v/>
      </c>
      <c r="F127" s="240" t="str">
        <f>IF(loon!F95=0,"",loon!F95)</f>
        <v/>
      </c>
      <c r="G127" s="363" t="str">
        <f>IF(loon!G95="","",loon!G95+1)</f>
        <v/>
      </c>
      <c r="H127" s="583" t="str">
        <f>IF(loon!H95="","",loon!H95)</f>
        <v/>
      </c>
      <c r="I127" s="363" t="str">
        <f>IF(loon!I95=0,"",loon!I95)</f>
        <v/>
      </c>
      <c r="J127" s="364" t="str">
        <f>IF(E127="","",(IF(loon!J95+1&gt;LOOKUP(I127,schaal,regels),loon!J95,loon!J95+1)))</f>
        <v/>
      </c>
      <c r="K127" s="365" t="str">
        <f>IF(loon!K95="","",loon!K95)</f>
        <v/>
      </c>
      <c r="L127" s="366" t="str">
        <f>IF(loon!L95="","",loon!L95)</f>
        <v/>
      </c>
      <c r="M127" s="367" t="str">
        <f t="shared" si="23"/>
        <v/>
      </c>
      <c r="N127" s="214"/>
      <c r="O127" s="371" t="str">
        <f>IF(I127="","",VLOOKUP(I127,tab!$A$15:$V$57,J127+2,FALSE))</f>
        <v/>
      </c>
      <c r="P127" s="259" t="str">
        <f t="shared" si="24"/>
        <v/>
      </c>
      <c r="Q127" s="580">
        <f t="shared" si="28"/>
        <v>0.62</v>
      </c>
      <c r="R127" s="259" t="str">
        <f t="shared" si="29"/>
        <v/>
      </c>
      <c r="S127" s="259">
        <f>IF(L127="",0,(((O127*12)*L127)*(IF(I127&gt;8,1+tab!$E$8,1+tab!$E$10))))</f>
        <v>0</v>
      </c>
      <c r="T127" s="372">
        <f t="shared" si="25"/>
        <v>0</v>
      </c>
      <c r="U127" s="373">
        <f t="shared" si="26"/>
        <v>0</v>
      </c>
      <c r="V127" s="374">
        <f t="shared" si="27"/>
        <v>0</v>
      </c>
      <c r="W127" s="335"/>
      <c r="AA127" s="153"/>
      <c r="AJ127" s="153"/>
    </row>
    <row r="128" spans="3:36" ht="12.75" customHeight="1">
      <c r="C128" s="77"/>
      <c r="D128" s="240" t="str">
        <f>IF(loon!D96=0,"",loon!D96)</f>
        <v/>
      </c>
      <c r="E128" s="240" t="str">
        <f>IF(loon!E96=0,"",loon!E96)</f>
        <v/>
      </c>
      <c r="F128" s="240" t="str">
        <f>IF(loon!F96=0,"",loon!F96)</f>
        <v/>
      </c>
      <c r="G128" s="363" t="str">
        <f>IF(loon!G96="","",loon!G96+1)</f>
        <v/>
      </c>
      <c r="H128" s="583" t="str">
        <f>IF(loon!H96="","",loon!H96)</f>
        <v/>
      </c>
      <c r="I128" s="363" t="str">
        <f>IF(loon!I96=0,"",loon!I96)</f>
        <v/>
      </c>
      <c r="J128" s="364" t="str">
        <f>IF(E128="","",(IF(loon!J96+1&gt;LOOKUP(I128,schaal,regels),loon!J96,loon!J96+1)))</f>
        <v/>
      </c>
      <c r="K128" s="365" t="str">
        <f>IF(loon!K96="","",loon!K96)</f>
        <v/>
      </c>
      <c r="L128" s="366" t="str">
        <f>IF(loon!L96="","",loon!L96)</f>
        <v/>
      </c>
      <c r="M128" s="367" t="str">
        <f t="shared" si="23"/>
        <v/>
      </c>
      <c r="N128" s="214"/>
      <c r="O128" s="371" t="str">
        <f>IF(I128="","",VLOOKUP(I128,tab!$A$15:$V$57,J128+2,FALSE))</f>
        <v/>
      </c>
      <c r="P128" s="259" t="str">
        <f t="shared" si="24"/>
        <v/>
      </c>
      <c r="Q128" s="580">
        <f t="shared" si="28"/>
        <v>0.62</v>
      </c>
      <c r="R128" s="259" t="str">
        <f t="shared" si="29"/>
        <v/>
      </c>
      <c r="S128" s="259">
        <f>IF(L128="",0,(((O128*12)*L128)*(IF(I128&gt;8,1+tab!$E$8,1+tab!$E$10))))</f>
        <v>0</v>
      </c>
      <c r="T128" s="372">
        <f t="shared" si="25"/>
        <v>0</v>
      </c>
      <c r="U128" s="373">
        <f t="shared" si="26"/>
        <v>0</v>
      </c>
      <c r="V128" s="374">
        <f t="shared" si="27"/>
        <v>0</v>
      </c>
      <c r="W128" s="335"/>
      <c r="AA128" s="153"/>
      <c r="AJ128" s="153"/>
    </row>
    <row r="129" spans="3:41" ht="12.75" customHeight="1">
      <c r="C129" s="77"/>
      <c r="D129" s="240" t="str">
        <f>IF(loon!D97=0,"",loon!D97)</f>
        <v/>
      </c>
      <c r="E129" s="240" t="str">
        <f>IF(loon!E97=0,"",loon!E97)</f>
        <v/>
      </c>
      <c r="F129" s="240" t="str">
        <f>IF(loon!F97=0,"",loon!F97)</f>
        <v/>
      </c>
      <c r="G129" s="363" t="str">
        <f>IF(loon!G97="","",loon!G97+1)</f>
        <v/>
      </c>
      <c r="H129" s="583" t="str">
        <f>IF(loon!H97="","",loon!H97)</f>
        <v/>
      </c>
      <c r="I129" s="363" t="str">
        <f>IF(loon!I97=0,"",loon!I97)</f>
        <v/>
      </c>
      <c r="J129" s="364" t="str">
        <f>IF(E129="","",(IF(loon!J97+1&gt;LOOKUP(I129,schaal,regels),loon!J97,loon!J97+1)))</f>
        <v/>
      </c>
      <c r="K129" s="365" t="str">
        <f>IF(loon!K97="","",loon!K97)</f>
        <v/>
      </c>
      <c r="L129" s="366" t="str">
        <f>IF(loon!L97="","",loon!L97)</f>
        <v/>
      </c>
      <c r="M129" s="367" t="str">
        <f t="shared" si="23"/>
        <v/>
      </c>
      <c r="N129" s="214"/>
      <c r="O129" s="371" t="str">
        <f>IF(I129="","",VLOOKUP(I129,tab!$A$15:$V$57,J129+2,FALSE))</f>
        <v/>
      </c>
      <c r="P129" s="259" t="str">
        <f t="shared" si="24"/>
        <v/>
      </c>
      <c r="Q129" s="580">
        <f t="shared" si="28"/>
        <v>0.62</v>
      </c>
      <c r="R129" s="259" t="str">
        <f t="shared" si="29"/>
        <v/>
      </c>
      <c r="S129" s="259">
        <f>IF(L129="",0,(((O129*12)*L129)*(IF(I129&gt;8,1+tab!$E$8,1+tab!$E$10))))</f>
        <v>0</v>
      </c>
      <c r="T129" s="372">
        <f t="shared" si="25"/>
        <v>0</v>
      </c>
      <c r="U129" s="373">
        <f t="shared" si="26"/>
        <v>0</v>
      </c>
      <c r="V129" s="374">
        <f t="shared" si="27"/>
        <v>0</v>
      </c>
      <c r="W129" s="335"/>
      <c r="AA129" s="153"/>
      <c r="AJ129" s="153"/>
    </row>
    <row r="130" spans="3:41" ht="12.75" customHeight="1">
      <c r="C130" s="77"/>
      <c r="D130" s="240" t="str">
        <f>IF(loon!D98=0,"",loon!D98)</f>
        <v/>
      </c>
      <c r="E130" s="240" t="str">
        <f>IF(loon!E98=0,"",loon!E98)</f>
        <v/>
      </c>
      <c r="F130" s="240" t="str">
        <f>IF(loon!F98=0,"",loon!F98)</f>
        <v/>
      </c>
      <c r="G130" s="363" t="str">
        <f>IF(loon!G98="","",loon!G98+1)</f>
        <v/>
      </c>
      <c r="H130" s="583" t="str">
        <f>IF(loon!H98="","",loon!H98)</f>
        <v/>
      </c>
      <c r="I130" s="363" t="str">
        <f>IF(loon!I98=0,"",loon!I98)</f>
        <v/>
      </c>
      <c r="J130" s="364" t="str">
        <f>IF(E130="","",(IF(loon!J98+1&gt;LOOKUP(I130,schaal,regels),loon!J98,loon!J98+1)))</f>
        <v/>
      </c>
      <c r="K130" s="365" t="str">
        <f>IF(loon!K98="","",loon!K98)</f>
        <v/>
      </c>
      <c r="L130" s="366" t="str">
        <f>IF(loon!L98="","",loon!L98)</f>
        <v/>
      </c>
      <c r="M130" s="367" t="str">
        <f t="shared" si="23"/>
        <v/>
      </c>
      <c r="N130" s="214"/>
      <c r="O130" s="371" t="str">
        <f>IF(I130="","",VLOOKUP(I130,tab!$A$15:$V$57,J130+2,FALSE))</f>
        <v/>
      </c>
      <c r="P130" s="259" t="str">
        <f t="shared" si="24"/>
        <v/>
      </c>
      <c r="Q130" s="580">
        <f t="shared" si="28"/>
        <v>0.62</v>
      </c>
      <c r="R130" s="259" t="str">
        <f t="shared" si="29"/>
        <v/>
      </c>
      <c r="S130" s="259">
        <f>IF(L130="",0,(((O130*12)*L130)*(IF(I130&gt;8,1+tab!$E$8,1+tab!$E$10))))</f>
        <v>0</v>
      </c>
      <c r="T130" s="372">
        <f t="shared" si="25"/>
        <v>0</v>
      </c>
      <c r="U130" s="373">
        <f t="shared" si="26"/>
        <v>0</v>
      </c>
      <c r="V130" s="374">
        <f t="shared" si="27"/>
        <v>0</v>
      </c>
      <c r="W130" s="335"/>
      <c r="AA130" s="153"/>
      <c r="AJ130" s="153"/>
    </row>
    <row r="131" spans="3:41" ht="12.75" customHeight="1">
      <c r="C131" s="77"/>
      <c r="D131" s="240" t="str">
        <f>IF(loon!D99=0,"",loon!D99)</f>
        <v/>
      </c>
      <c r="E131" s="240" t="str">
        <f>IF(loon!E99=0,"",loon!E99)</f>
        <v/>
      </c>
      <c r="F131" s="240" t="str">
        <f>IF(loon!F99=0,"",loon!F99)</f>
        <v/>
      </c>
      <c r="G131" s="363" t="str">
        <f>IF(loon!G99="","",loon!G99+1)</f>
        <v/>
      </c>
      <c r="H131" s="583" t="str">
        <f>IF(loon!H99="","",loon!H99)</f>
        <v/>
      </c>
      <c r="I131" s="363" t="str">
        <f>IF(loon!I99=0,"",loon!I99)</f>
        <v/>
      </c>
      <c r="J131" s="364" t="str">
        <f>IF(E131="","",(IF(loon!J99+1&gt;LOOKUP(I131,schaal,regels),loon!J99,loon!J99+1)))</f>
        <v/>
      </c>
      <c r="K131" s="365" t="str">
        <f>IF(loon!K99="","",loon!K99)</f>
        <v/>
      </c>
      <c r="L131" s="366" t="str">
        <f>IF(loon!L99="","",loon!L99)</f>
        <v/>
      </c>
      <c r="M131" s="367" t="str">
        <f t="shared" si="23"/>
        <v/>
      </c>
      <c r="N131" s="214"/>
      <c r="O131" s="371" t="str">
        <f>IF(I131="","",VLOOKUP(I131,tab!$A$15:$V$57,J131+2,FALSE))</f>
        <v/>
      </c>
      <c r="P131" s="259" t="str">
        <f t="shared" si="24"/>
        <v/>
      </c>
      <c r="Q131" s="580">
        <f t="shared" si="28"/>
        <v>0.62</v>
      </c>
      <c r="R131" s="259" t="str">
        <f t="shared" si="29"/>
        <v/>
      </c>
      <c r="S131" s="259">
        <f>IF(L131="",0,(((O131*12)*L131)*(IF(I131&gt;8,1+tab!$E$8,1+tab!$E$10))))</f>
        <v>0</v>
      </c>
      <c r="T131" s="372">
        <f t="shared" si="25"/>
        <v>0</v>
      </c>
      <c r="U131" s="373">
        <f t="shared" si="26"/>
        <v>0</v>
      </c>
      <c r="V131" s="374">
        <f t="shared" si="27"/>
        <v>0</v>
      </c>
      <c r="W131" s="335"/>
      <c r="AA131" s="153"/>
      <c r="AJ131" s="153"/>
    </row>
    <row r="132" spans="3:41">
      <c r="C132" s="77"/>
      <c r="D132" s="193"/>
      <c r="E132" s="193"/>
      <c r="F132" s="193"/>
      <c r="G132" s="199"/>
      <c r="H132" s="199"/>
      <c r="I132" s="199"/>
      <c r="J132" s="336"/>
      <c r="K132" s="375">
        <f>SUM(K112:K131)</f>
        <v>0</v>
      </c>
      <c r="L132" s="375">
        <f>SUM(L112:L131)</f>
        <v>0</v>
      </c>
      <c r="M132" s="375">
        <f>SUM(M112:M131)</f>
        <v>0</v>
      </c>
      <c r="N132" s="214"/>
      <c r="O132" s="251">
        <f t="shared" ref="O132:V132" si="30">SUM(O112:O131)</f>
        <v>0</v>
      </c>
      <c r="P132" s="251">
        <f t="shared" si="30"/>
        <v>0</v>
      </c>
      <c r="Q132" s="221"/>
      <c r="R132" s="251">
        <f>SUM(R112:R131)</f>
        <v>0</v>
      </c>
      <c r="S132" s="251">
        <f t="shared" si="30"/>
        <v>0</v>
      </c>
      <c r="T132" s="251">
        <f t="shared" si="30"/>
        <v>0</v>
      </c>
      <c r="U132" s="337">
        <f t="shared" si="30"/>
        <v>0</v>
      </c>
      <c r="V132" s="250">
        <f t="shared" si="30"/>
        <v>0</v>
      </c>
      <c r="W132" s="338"/>
    </row>
    <row r="133" spans="3:41">
      <c r="C133" s="77"/>
      <c r="D133" s="78"/>
      <c r="E133" s="78"/>
      <c r="F133" s="78"/>
      <c r="G133" s="191"/>
      <c r="H133" s="191"/>
      <c r="I133" s="191"/>
      <c r="J133" s="339"/>
      <c r="K133" s="334"/>
      <c r="L133" s="339"/>
      <c r="M133" s="334"/>
      <c r="N133" s="339"/>
      <c r="O133" s="339"/>
      <c r="P133" s="221"/>
      <c r="Q133" s="221"/>
      <c r="R133" s="221"/>
      <c r="S133" s="221"/>
      <c r="T133" s="221"/>
      <c r="U133" s="340"/>
      <c r="V133" s="211"/>
      <c r="W133" s="338"/>
    </row>
    <row r="134" spans="3:41">
      <c r="C134" s="88"/>
      <c r="D134" s="341"/>
      <c r="E134" s="341"/>
      <c r="F134" s="341"/>
      <c r="G134" s="236"/>
      <c r="H134" s="236"/>
      <c r="I134" s="236"/>
      <c r="J134" s="342"/>
      <c r="K134" s="343"/>
      <c r="L134" s="344"/>
      <c r="M134" s="344"/>
      <c r="N134" s="89"/>
      <c r="O134" s="345"/>
      <c r="P134" s="346"/>
      <c r="Q134" s="346"/>
      <c r="R134" s="346"/>
      <c r="S134" s="346"/>
      <c r="T134" s="231"/>
      <c r="U134" s="347"/>
      <c r="V134" s="348"/>
      <c r="W134" s="91"/>
    </row>
    <row r="136" spans="3:41">
      <c r="C136" s="33" t="s">
        <v>33</v>
      </c>
      <c r="E136" s="129" t="str">
        <f>tab!H3</f>
        <v>2017/18</v>
      </c>
    </row>
    <row r="137" spans="3:41">
      <c r="C137" s="33" t="s">
        <v>40</v>
      </c>
      <c r="E137" s="129">
        <f>tab!I4</f>
        <v>43009</v>
      </c>
    </row>
    <row r="139" spans="3:41" ht="12.75" customHeight="1">
      <c r="C139" s="73"/>
      <c r="D139" s="311"/>
      <c r="E139" s="312"/>
      <c r="F139" s="313"/>
      <c r="G139" s="186"/>
      <c r="H139" s="314"/>
      <c r="I139" s="315"/>
      <c r="J139" s="315"/>
      <c r="K139" s="316"/>
      <c r="L139" s="315"/>
      <c r="M139" s="317"/>
      <c r="N139" s="74"/>
      <c r="O139" s="318"/>
      <c r="P139" s="74"/>
      <c r="Q139" s="74"/>
      <c r="R139" s="74"/>
      <c r="S139" s="74"/>
      <c r="T139" s="319"/>
      <c r="U139" s="320"/>
      <c r="V139" s="188"/>
      <c r="W139" s="189"/>
      <c r="AC139" s="130"/>
      <c r="AD139" s="131"/>
      <c r="AE139" s="130"/>
      <c r="AF139" s="130"/>
      <c r="AG139" s="130"/>
      <c r="AH139" s="41"/>
      <c r="AI139" s="132"/>
      <c r="AJ139" s="133"/>
      <c r="AK139" s="134"/>
      <c r="AL139" s="135"/>
      <c r="AM139" s="132"/>
    </row>
    <row r="140" spans="3:41" ht="12.75" customHeight="1">
      <c r="C140" s="321"/>
      <c r="D140" s="623" t="s">
        <v>264</v>
      </c>
      <c r="E140" s="625"/>
      <c r="F140" s="625"/>
      <c r="G140" s="625"/>
      <c r="H140" s="625"/>
      <c r="I140" s="624"/>
      <c r="J140" s="624"/>
      <c r="K140" s="624"/>
      <c r="L140" s="624"/>
      <c r="M140" s="624"/>
      <c r="N140" s="349"/>
      <c r="O140" s="623" t="s">
        <v>35</v>
      </c>
      <c r="P140" s="624"/>
      <c r="Q140" s="624"/>
      <c r="R140" s="624"/>
      <c r="S140" s="624"/>
      <c r="T140" s="624"/>
      <c r="U140" s="350"/>
      <c r="V140" s="368"/>
      <c r="W140" s="322"/>
      <c r="X140" s="148"/>
      <c r="Y140" s="148"/>
      <c r="Z140" s="116"/>
      <c r="AA140" s="149"/>
      <c r="AB140" s="116"/>
      <c r="AC140" s="33"/>
      <c r="AD140" s="33"/>
      <c r="AL140" s="33"/>
      <c r="AM140" s="33"/>
      <c r="AN140" s="148"/>
      <c r="AO140" s="148"/>
    </row>
    <row r="141" spans="3:41" ht="12.75" customHeight="1">
      <c r="C141" s="321"/>
      <c r="D141" s="351" t="s">
        <v>125</v>
      </c>
      <c r="E141" s="352" t="s">
        <v>34</v>
      </c>
      <c r="F141" s="352" t="s">
        <v>29</v>
      </c>
      <c r="G141" s="353" t="s">
        <v>2</v>
      </c>
      <c r="H141" s="354" t="s">
        <v>265</v>
      </c>
      <c r="I141" s="353" t="s">
        <v>45</v>
      </c>
      <c r="J141" s="353" t="s">
        <v>52</v>
      </c>
      <c r="K141" s="355" t="s">
        <v>266</v>
      </c>
      <c r="L141" s="356" t="s">
        <v>46</v>
      </c>
      <c r="M141" s="355" t="s">
        <v>4</v>
      </c>
      <c r="N141" s="245"/>
      <c r="O141" s="357" t="s">
        <v>82</v>
      </c>
      <c r="P141" s="357" t="s">
        <v>294</v>
      </c>
      <c r="Q141" s="362" t="s">
        <v>295</v>
      </c>
      <c r="R141" s="369"/>
      <c r="S141" s="359" t="s">
        <v>46</v>
      </c>
      <c r="T141" s="370" t="s">
        <v>39</v>
      </c>
      <c r="U141" s="358" t="s">
        <v>81</v>
      </c>
      <c r="V141" s="368" t="s">
        <v>296</v>
      </c>
      <c r="W141" s="323"/>
      <c r="X141" s="150"/>
      <c r="Y141" s="150"/>
      <c r="Z141" s="151"/>
      <c r="AA141" s="152"/>
      <c r="AB141" s="151"/>
      <c r="AC141" s="33"/>
      <c r="AD141" s="33"/>
      <c r="AL141" s="33"/>
      <c r="AM141" s="33"/>
      <c r="AN141" s="148"/>
      <c r="AO141" s="150"/>
    </row>
    <row r="142" spans="3:41" s="34" customFormat="1" ht="12.75" customHeight="1">
      <c r="C142" s="324"/>
      <c r="D142" s="360"/>
      <c r="E142" s="352"/>
      <c r="F142" s="361"/>
      <c r="G142" s="353" t="s">
        <v>3</v>
      </c>
      <c r="H142" s="353" t="s">
        <v>287</v>
      </c>
      <c r="I142" s="353"/>
      <c r="J142" s="353"/>
      <c r="K142" s="355"/>
      <c r="L142" s="356"/>
      <c r="M142" s="355" t="s">
        <v>47</v>
      </c>
      <c r="N142" s="245"/>
      <c r="O142" s="357" t="s">
        <v>42</v>
      </c>
      <c r="P142" s="357" t="s">
        <v>297</v>
      </c>
      <c r="Q142" s="579">
        <f>tab!E6</f>
        <v>0.62</v>
      </c>
      <c r="R142" s="369" t="s">
        <v>298</v>
      </c>
      <c r="S142" s="359" t="s">
        <v>51</v>
      </c>
      <c r="T142" s="370" t="s">
        <v>77</v>
      </c>
      <c r="U142" s="358"/>
      <c r="V142" s="359" t="s">
        <v>51</v>
      </c>
      <c r="W142" s="325"/>
      <c r="AO142" s="142"/>
    </row>
    <row r="143" spans="3:41" ht="12.75" customHeight="1">
      <c r="C143" s="77"/>
      <c r="D143" s="78"/>
      <c r="E143" s="78"/>
      <c r="F143" s="78"/>
      <c r="G143" s="191"/>
      <c r="H143" s="191"/>
      <c r="I143" s="326"/>
      <c r="J143" s="326"/>
      <c r="K143" s="327"/>
      <c r="L143" s="328"/>
      <c r="M143" s="327"/>
      <c r="N143" s="329"/>
      <c r="O143" s="330"/>
      <c r="P143" s="331"/>
      <c r="Q143" s="581"/>
      <c r="R143" s="331"/>
      <c r="S143" s="331"/>
      <c r="T143" s="331"/>
      <c r="U143" s="332"/>
      <c r="V143" s="200"/>
      <c r="W143" s="333"/>
      <c r="AC143" s="33"/>
      <c r="AD143" s="33"/>
      <c r="AL143" s="33"/>
      <c r="AM143" s="33"/>
      <c r="AO143" s="143"/>
    </row>
    <row r="144" spans="3:41" ht="12.75" customHeight="1">
      <c r="C144" s="77"/>
      <c r="D144" s="240" t="str">
        <f>IF(loon!D112=0,"",loon!D112)</f>
        <v/>
      </c>
      <c r="E144" s="240" t="str">
        <f>IF(loon!E112=0,"-",loon!E112)</f>
        <v/>
      </c>
      <c r="F144" s="240" t="str">
        <f>IF(loon!F112=0,"-",loon!F112)</f>
        <v/>
      </c>
      <c r="G144" s="363" t="str">
        <f>IF(loon!G112="","",loon!G112+1)</f>
        <v/>
      </c>
      <c r="H144" s="583" t="str">
        <f>IF(loon!H112="","",loon!H112)</f>
        <v/>
      </c>
      <c r="I144" s="364" t="str">
        <f>IF(loon!I112=0,"",loon!I112)</f>
        <v/>
      </c>
      <c r="J144" s="364" t="str">
        <f>IF(E144="","",(IF(loon!J112+1&gt;LOOKUP(I144,schaal,regels),loon!J112,loon!J112+1)))</f>
        <v/>
      </c>
      <c r="K144" s="365" t="str">
        <f>IF(loon!K112="","",loon!K112)</f>
        <v/>
      </c>
      <c r="L144" s="366" t="str">
        <f>IF(loon!L112="","",loon!L112)</f>
        <v/>
      </c>
      <c r="M144" s="367" t="str">
        <f t="shared" ref="M144:M163" si="31">(IF(L144="",(K144),(K144)-L144))</f>
        <v/>
      </c>
      <c r="N144" s="214"/>
      <c r="O144" s="371" t="str">
        <f>IF(I144="","",VLOOKUP(I144,tab!$A$15:$V$57,J144+2,FALSE))</f>
        <v/>
      </c>
      <c r="P144" s="259" t="str">
        <f t="shared" ref="P144:P163" si="32">IF(E144="","",(O144*M144*12))</f>
        <v/>
      </c>
      <c r="Q144" s="580">
        <f>$Q$142</f>
        <v>0.62</v>
      </c>
      <c r="R144" s="259" t="str">
        <f>IF(E144="","",(P144*Q144))</f>
        <v/>
      </c>
      <c r="S144" s="259">
        <f>IF(L144="",0,(((O144*12)*L144)*(IF(I144&gt;8,1+tab!$E$8,1+tab!$E$10))))</f>
        <v>0</v>
      </c>
      <c r="T144" s="372">
        <f t="shared" ref="T144:T163" si="33">IF(E144="",0,(P144+R144+S144))</f>
        <v>0</v>
      </c>
      <c r="U144" s="373">
        <f t="shared" ref="U144:U163" si="34">IF(G144&lt;25,0,IF(G144=25,25,IF(G144&lt;40,0,IF(G144=40,40,IF(G144&gt;=40,0)))))</f>
        <v>0</v>
      </c>
      <c r="V144" s="374">
        <f t="shared" ref="V144:V163" si="35">IF(U144=25,(O144*1.08*(K144)/2),IF(U144=40,(O144*1.08*(K144)),IF(U144=0,0)))</f>
        <v>0</v>
      </c>
      <c r="W144" s="335"/>
      <c r="AA144" s="153"/>
      <c r="AJ144" s="153"/>
    </row>
    <row r="145" spans="3:36" ht="12.75" customHeight="1">
      <c r="C145" s="77"/>
      <c r="D145" s="240" t="str">
        <f>IF(loon!D113=0,"",loon!D113)</f>
        <v/>
      </c>
      <c r="E145" s="240" t="str">
        <f>IF(loon!E113=0,"-",loon!E113)</f>
        <v/>
      </c>
      <c r="F145" s="240" t="str">
        <f>IF(loon!F113=0,"-",loon!F113)</f>
        <v/>
      </c>
      <c r="G145" s="363" t="str">
        <f>IF(loon!G113="","",loon!G113+1)</f>
        <v/>
      </c>
      <c r="H145" s="583" t="str">
        <f>IF(loon!H113="","",loon!H113)</f>
        <v/>
      </c>
      <c r="I145" s="363" t="str">
        <f>IF(loon!I113=0,"",loon!I113)</f>
        <v/>
      </c>
      <c r="J145" s="364" t="str">
        <f>IF(E145="","",(IF(loon!J113+1&gt;LOOKUP(I145,schaal,regels),loon!J113,loon!J113+1)))</f>
        <v/>
      </c>
      <c r="K145" s="365" t="str">
        <f>IF(loon!K113="","",loon!K113)</f>
        <v/>
      </c>
      <c r="L145" s="366" t="str">
        <f>IF(loon!L113="","",loon!L113)</f>
        <v/>
      </c>
      <c r="M145" s="367" t="str">
        <f t="shared" si="31"/>
        <v/>
      </c>
      <c r="N145" s="214"/>
      <c r="O145" s="371" t="str">
        <f>IF(I145="","",VLOOKUP(I145,tab!$A$15:$V$57,J145+2,FALSE))</f>
        <v/>
      </c>
      <c r="P145" s="259" t="str">
        <f t="shared" si="32"/>
        <v/>
      </c>
      <c r="Q145" s="580">
        <f t="shared" ref="Q145:Q163" si="36">$Q$142</f>
        <v>0.62</v>
      </c>
      <c r="R145" s="259" t="str">
        <f t="shared" ref="R145:R163" si="37">IF(E145="","",(P145*Q145))</f>
        <v/>
      </c>
      <c r="S145" s="259">
        <f>IF(L145="",0,(((O145*12)*L145)*(IF(I145&gt;8,1+tab!$E$8,1+tab!$E$10))))</f>
        <v>0</v>
      </c>
      <c r="T145" s="372">
        <f t="shared" si="33"/>
        <v>0</v>
      </c>
      <c r="U145" s="373">
        <f t="shared" si="34"/>
        <v>0</v>
      </c>
      <c r="V145" s="374">
        <f t="shared" si="35"/>
        <v>0</v>
      </c>
      <c r="W145" s="335"/>
      <c r="AA145" s="153"/>
      <c r="AJ145" s="153"/>
    </row>
    <row r="146" spans="3:36" ht="12.75" customHeight="1">
      <c r="C146" s="77"/>
      <c r="D146" s="240" t="str">
        <f>IF(loon!D114=0,"",loon!D114)</f>
        <v/>
      </c>
      <c r="E146" s="240" t="str">
        <f>IF(loon!E114=0,"-",loon!E114)</f>
        <v/>
      </c>
      <c r="F146" s="240" t="str">
        <f>IF(loon!F114=0,"-",loon!F114)</f>
        <v/>
      </c>
      <c r="G146" s="363" t="str">
        <f>IF(loon!G114="","",loon!G114+1)</f>
        <v/>
      </c>
      <c r="H146" s="583" t="str">
        <f>IF(loon!H114="","",loon!H114)</f>
        <v/>
      </c>
      <c r="I146" s="363" t="str">
        <f>IF(loon!I114=0,"",loon!I114)</f>
        <v/>
      </c>
      <c r="J146" s="364" t="str">
        <f>IF(E146="","",(IF(loon!J114+1&gt;LOOKUP(I146,schaal,regels),loon!J114,loon!J114+1)))</f>
        <v/>
      </c>
      <c r="K146" s="365" t="str">
        <f>IF(loon!K114="","",loon!K114)</f>
        <v/>
      </c>
      <c r="L146" s="366" t="str">
        <f>IF(loon!L114="","",loon!L114)</f>
        <v/>
      </c>
      <c r="M146" s="367" t="str">
        <f t="shared" si="31"/>
        <v/>
      </c>
      <c r="N146" s="214"/>
      <c r="O146" s="371" t="str">
        <f>IF(I146="","",VLOOKUP(I146,tab!$A$15:$V$57,J146+2,FALSE))</f>
        <v/>
      </c>
      <c r="P146" s="259" t="str">
        <f t="shared" si="32"/>
        <v/>
      </c>
      <c r="Q146" s="580">
        <f t="shared" si="36"/>
        <v>0.62</v>
      </c>
      <c r="R146" s="259" t="str">
        <f t="shared" si="37"/>
        <v/>
      </c>
      <c r="S146" s="259">
        <f>IF(L146="",0,(((O146*12)*L146)*(IF(I146&gt;8,1+tab!$E$8,1+tab!$E$10))))</f>
        <v>0</v>
      </c>
      <c r="T146" s="372">
        <f t="shared" si="33"/>
        <v>0</v>
      </c>
      <c r="U146" s="373">
        <f t="shared" si="34"/>
        <v>0</v>
      </c>
      <c r="V146" s="374">
        <f t="shared" si="35"/>
        <v>0</v>
      </c>
      <c r="W146" s="335"/>
      <c r="AA146" s="153"/>
      <c r="AJ146" s="153"/>
    </row>
    <row r="147" spans="3:36" ht="12.75" customHeight="1">
      <c r="C147" s="77"/>
      <c r="D147" s="240" t="str">
        <f>IF(loon!D115=0,"",loon!D115)</f>
        <v/>
      </c>
      <c r="E147" s="240" t="str">
        <f>IF(loon!E115=0,"-",loon!E115)</f>
        <v/>
      </c>
      <c r="F147" s="240" t="str">
        <f>IF(loon!F115=0,"-",loon!F115)</f>
        <v/>
      </c>
      <c r="G147" s="363" t="str">
        <f>IF(loon!G115="","",loon!G115+1)</f>
        <v/>
      </c>
      <c r="H147" s="583" t="str">
        <f>IF(loon!H115="","",loon!H115)</f>
        <v/>
      </c>
      <c r="I147" s="363" t="str">
        <f>IF(loon!I115=0,"",loon!I115)</f>
        <v/>
      </c>
      <c r="J147" s="364" t="str">
        <f>IF(E147="","",(IF(loon!J115+1&gt;LOOKUP(I147,schaal,regels),loon!J115,loon!J115+1)))</f>
        <v/>
      </c>
      <c r="K147" s="365" t="str">
        <f>IF(loon!K115="","",loon!K115)</f>
        <v/>
      </c>
      <c r="L147" s="366" t="str">
        <f>IF(loon!L115="","",loon!L115)</f>
        <v/>
      </c>
      <c r="M147" s="367" t="str">
        <f t="shared" si="31"/>
        <v/>
      </c>
      <c r="N147" s="214"/>
      <c r="O147" s="371" t="str">
        <f>IF(I147="","",VLOOKUP(I147,tab!$A$15:$V$57,J147+2,FALSE))</f>
        <v/>
      </c>
      <c r="P147" s="259" t="str">
        <f t="shared" si="32"/>
        <v/>
      </c>
      <c r="Q147" s="580">
        <f t="shared" si="36"/>
        <v>0.62</v>
      </c>
      <c r="R147" s="259" t="str">
        <f t="shared" si="37"/>
        <v/>
      </c>
      <c r="S147" s="259">
        <f>IF(L147="",0,(((O147*12)*L147)*(IF(I147&gt;8,1+tab!$E$8,1+tab!$E$10))))</f>
        <v>0</v>
      </c>
      <c r="T147" s="372">
        <f t="shared" si="33"/>
        <v>0</v>
      </c>
      <c r="U147" s="373">
        <f t="shared" si="34"/>
        <v>0</v>
      </c>
      <c r="V147" s="374">
        <f t="shared" si="35"/>
        <v>0</v>
      </c>
      <c r="W147" s="335"/>
      <c r="AA147" s="153"/>
      <c r="AJ147" s="153"/>
    </row>
    <row r="148" spans="3:36" ht="12.75" customHeight="1">
      <c r="C148" s="77"/>
      <c r="D148" s="240" t="str">
        <f>IF(loon!D116=0,"",loon!D116)</f>
        <v/>
      </c>
      <c r="E148" s="240" t="str">
        <f>IF(loon!E116=0,"-",loon!E116)</f>
        <v/>
      </c>
      <c r="F148" s="240" t="str">
        <f>IF(loon!F116=0,"-",loon!F116)</f>
        <v/>
      </c>
      <c r="G148" s="363" t="str">
        <f>IF(loon!G116="","",loon!G116+1)</f>
        <v/>
      </c>
      <c r="H148" s="583" t="str">
        <f>IF(loon!H116="","",loon!H116)</f>
        <v/>
      </c>
      <c r="I148" s="363" t="str">
        <f>IF(loon!I116=0,"",loon!I116)</f>
        <v/>
      </c>
      <c r="J148" s="364" t="str">
        <f>IF(E148="","",(IF(loon!J116+1&gt;LOOKUP(I148,schaal,regels),loon!J116,loon!J116+1)))</f>
        <v/>
      </c>
      <c r="K148" s="365" t="str">
        <f>IF(loon!K116="","",loon!K116)</f>
        <v/>
      </c>
      <c r="L148" s="366" t="str">
        <f>IF(loon!L116="","",loon!L116)</f>
        <v/>
      </c>
      <c r="M148" s="367" t="str">
        <f t="shared" si="31"/>
        <v/>
      </c>
      <c r="N148" s="214"/>
      <c r="O148" s="371" t="str">
        <f>IF(I148="","",VLOOKUP(I148,tab!$A$15:$V$57,J148+2,FALSE))</f>
        <v/>
      </c>
      <c r="P148" s="259" t="str">
        <f t="shared" si="32"/>
        <v/>
      </c>
      <c r="Q148" s="580">
        <f t="shared" si="36"/>
        <v>0.62</v>
      </c>
      <c r="R148" s="259" t="str">
        <f t="shared" si="37"/>
        <v/>
      </c>
      <c r="S148" s="259">
        <f>IF(L148="",0,(((O148*12)*L148)*(IF(I148&gt;8,1+tab!$E$8,1+tab!$E$10))))</f>
        <v>0</v>
      </c>
      <c r="T148" s="372">
        <f t="shared" si="33"/>
        <v>0</v>
      </c>
      <c r="U148" s="373">
        <f t="shared" si="34"/>
        <v>0</v>
      </c>
      <c r="V148" s="374">
        <f t="shared" si="35"/>
        <v>0</v>
      </c>
      <c r="W148" s="335"/>
      <c r="AA148" s="153"/>
      <c r="AJ148" s="153"/>
    </row>
    <row r="149" spans="3:36" ht="12.75" customHeight="1">
      <c r="C149" s="77"/>
      <c r="D149" s="240" t="str">
        <f>IF(loon!D117=0,"",loon!D117)</f>
        <v/>
      </c>
      <c r="E149" s="240" t="str">
        <f>IF(loon!E117=0,"-",loon!E117)</f>
        <v/>
      </c>
      <c r="F149" s="240" t="str">
        <f>IF(loon!F117=0,"-",loon!F117)</f>
        <v/>
      </c>
      <c r="G149" s="363" t="str">
        <f>IF(loon!G117="","",loon!G117+1)</f>
        <v/>
      </c>
      <c r="H149" s="583" t="str">
        <f>IF(loon!H117="","",loon!H117)</f>
        <v/>
      </c>
      <c r="I149" s="363" t="str">
        <f>IF(loon!I117=0,"",loon!I117)</f>
        <v/>
      </c>
      <c r="J149" s="364" t="str">
        <f>IF(E149="","",(IF(loon!J117+1&gt;LOOKUP(I149,schaal,regels),loon!J117,loon!J117+1)))</f>
        <v/>
      </c>
      <c r="K149" s="365" t="str">
        <f>IF(loon!K117="","",loon!K117)</f>
        <v/>
      </c>
      <c r="L149" s="366" t="str">
        <f>IF(loon!L117="","",loon!L117)</f>
        <v/>
      </c>
      <c r="M149" s="367" t="str">
        <f t="shared" si="31"/>
        <v/>
      </c>
      <c r="N149" s="214"/>
      <c r="O149" s="371" t="str">
        <f>IF(I149="","",VLOOKUP(I149,tab!$A$15:$V$57,J149+2,FALSE))</f>
        <v/>
      </c>
      <c r="P149" s="259" t="str">
        <f t="shared" si="32"/>
        <v/>
      </c>
      <c r="Q149" s="580">
        <f t="shared" si="36"/>
        <v>0.62</v>
      </c>
      <c r="R149" s="259" t="str">
        <f t="shared" si="37"/>
        <v/>
      </c>
      <c r="S149" s="259">
        <f>IF(L149="",0,(((O149*12)*L149)*(IF(I149&gt;8,1+tab!$E$8,1+tab!$E$10))))</f>
        <v>0</v>
      </c>
      <c r="T149" s="372">
        <f t="shared" si="33"/>
        <v>0</v>
      </c>
      <c r="U149" s="373">
        <f t="shared" si="34"/>
        <v>0</v>
      </c>
      <c r="V149" s="374">
        <f t="shared" si="35"/>
        <v>0</v>
      </c>
      <c r="W149" s="335"/>
      <c r="AA149" s="153"/>
      <c r="AJ149" s="153"/>
    </row>
    <row r="150" spans="3:36" ht="12.75" customHeight="1">
      <c r="C150" s="77"/>
      <c r="D150" s="240" t="str">
        <f>IF(loon!D118=0,"",loon!D118)</f>
        <v/>
      </c>
      <c r="E150" s="240" t="str">
        <f>IF(loon!E118=0,"-",loon!E118)</f>
        <v/>
      </c>
      <c r="F150" s="240" t="str">
        <f>IF(loon!F118=0,"-",loon!F118)</f>
        <v/>
      </c>
      <c r="G150" s="363" t="str">
        <f>IF(loon!G118="","",loon!G118+1)</f>
        <v/>
      </c>
      <c r="H150" s="583" t="str">
        <f>IF(loon!H118="","",loon!H118)</f>
        <v/>
      </c>
      <c r="I150" s="363" t="str">
        <f>IF(loon!I118=0,"",loon!I118)</f>
        <v/>
      </c>
      <c r="J150" s="364" t="str">
        <f>IF(E150="","",(IF(loon!J118+1&gt;LOOKUP(I150,schaal,regels),loon!J118,loon!J118+1)))</f>
        <v/>
      </c>
      <c r="K150" s="365" t="str">
        <f>IF(loon!K118="","",loon!K118)</f>
        <v/>
      </c>
      <c r="L150" s="366" t="str">
        <f>IF(loon!L118="","",loon!L118)</f>
        <v/>
      </c>
      <c r="M150" s="367" t="str">
        <f t="shared" si="31"/>
        <v/>
      </c>
      <c r="N150" s="214"/>
      <c r="O150" s="371" t="str">
        <f>IF(I150="","",VLOOKUP(I150,tab!$A$15:$V$57,J150+2,FALSE))</f>
        <v/>
      </c>
      <c r="P150" s="259" t="str">
        <f t="shared" si="32"/>
        <v/>
      </c>
      <c r="Q150" s="580">
        <f t="shared" si="36"/>
        <v>0.62</v>
      </c>
      <c r="R150" s="259" t="str">
        <f t="shared" si="37"/>
        <v/>
      </c>
      <c r="S150" s="259">
        <f>IF(L150="",0,(((O150*12)*L150)*(IF(I150&gt;8,1+tab!$E$8,1+tab!$E$10))))</f>
        <v>0</v>
      </c>
      <c r="T150" s="372">
        <f t="shared" si="33"/>
        <v>0</v>
      </c>
      <c r="U150" s="373">
        <f t="shared" si="34"/>
        <v>0</v>
      </c>
      <c r="V150" s="374">
        <f t="shared" si="35"/>
        <v>0</v>
      </c>
      <c r="W150" s="335"/>
      <c r="AA150" s="153"/>
      <c r="AJ150" s="153"/>
    </row>
    <row r="151" spans="3:36" ht="12.75" customHeight="1">
      <c r="C151" s="77"/>
      <c r="D151" s="240" t="str">
        <f>IF(loon!D119=0,"",loon!D119)</f>
        <v/>
      </c>
      <c r="E151" s="240" t="str">
        <f>IF(loon!E119=0,"-",loon!E119)</f>
        <v/>
      </c>
      <c r="F151" s="240" t="str">
        <f>IF(loon!F119=0,"-",loon!F119)</f>
        <v/>
      </c>
      <c r="G151" s="363" t="str">
        <f>IF(loon!G119="","",loon!G119+1)</f>
        <v/>
      </c>
      <c r="H151" s="583" t="str">
        <f>IF(loon!H119="","",loon!H119)</f>
        <v/>
      </c>
      <c r="I151" s="363" t="str">
        <f>IF(loon!I119=0,"",loon!I119)</f>
        <v/>
      </c>
      <c r="J151" s="364" t="str">
        <f>IF(E151="","",(IF(loon!J119+1&gt;LOOKUP(I151,schaal,regels),loon!J119,loon!J119+1)))</f>
        <v/>
      </c>
      <c r="K151" s="365" t="str">
        <f>IF(loon!K119="","",loon!K119)</f>
        <v/>
      </c>
      <c r="L151" s="366" t="str">
        <f>IF(loon!L119="","",loon!L119)</f>
        <v/>
      </c>
      <c r="M151" s="367" t="str">
        <f t="shared" si="31"/>
        <v/>
      </c>
      <c r="N151" s="214"/>
      <c r="O151" s="371" t="str">
        <f>IF(I151="","",VLOOKUP(I151,tab!$A$15:$V$57,J151+2,FALSE))</f>
        <v/>
      </c>
      <c r="P151" s="259" t="str">
        <f t="shared" si="32"/>
        <v/>
      </c>
      <c r="Q151" s="580">
        <f t="shared" si="36"/>
        <v>0.62</v>
      </c>
      <c r="R151" s="259" t="str">
        <f t="shared" si="37"/>
        <v/>
      </c>
      <c r="S151" s="259">
        <f>IF(L151="",0,(((O151*12)*L151)*(IF(I151&gt;8,1+tab!$E$8,1+tab!$E$10))))</f>
        <v>0</v>
      </c>
      <c r="T151" s="372">
        <f t="shared" si="33"/>
        <v>0</v>
      </c>
      <c r="U151" s="373">
        <f t="shared" si="34"/>
        <v>0</v>
      </c>
      <c r="V151" s="374">
        <f t="shared" si="35"/>
        <v>0</v>
      </c>
      <c r="W151" s="335"/>
      <c r="AA151" s="153"/>
      <c r="AJ151" s="153"/>
    </row>
    <row r="152" spans="3:36" ht="12.75" customHeight="1">
      <c r="C152" s="77"/>
      <c r="D152" s="240" t="str">
        <f>IF(loon!D120=0,"",loon!D120)</f>
        <v/>
      </c>
      <c r="E152" s="240" t="str">
        <f>IF(loon!E120=0,"-",loon!E120)</f>
        <v/>
      </c>
      <c r="F152" s="240" t="str">
        <f>IF(loon!F120=0,"-",loon!F120)</f>
        <v/>
      </c>
      <c r="G152" s="363" t="str">
        <f>IF(loon!G120="","",loon!G120+1)</f>
        <v/>
      </c>
      <c r="H152" s="583" t="str">
        <f>IF(loon!H120="","",loon!H120)</f>
        <v/>
      </c>
      <c r="I152" s="363" t="str">
        <f>IF(loon!I120=0,"",loon!I120)</f>
        <v/>
      </c>
      <c r="J152" s="364" t="str">
        <f>IF(E152="","",(IF(loon!J120+1&gt;LOOKUP(I152,schaal,regels),loon!J120,loon!J120+1)))</f>
        <v/>
      </c>
      <c r="K152" s="365" t="str">
        <f>IF(loon!K120="","",loon!K120)</f>
        <v/>
      </c>
      <c r="L152" s="366" t="str">
        <f>IF(loon!L120="","",loon!L120)</f>
        <v/>
      </c>
      <c r="M152" s="367" t="str">
        <f t="shared" si="31"/>
        <v/>
      </c>
      <c r="N152" s="214"/>
      <c r="O152" s="371" t="str">
        <f>IF(I152="","",VLOOKUP(I152,tab!$A$15:$V$57,J152+2,FALSE))</f>
        <v/>
      </c>
      <c r="P152" s="259" t="str">
        <f t="shared" si="32"/>
        <v/>
      </c>
      <c r="Q152" s="580">
        <f t="shared" si="36"/>
        <v>0.62</v>
      </c>
      <c r="R152" s="259" t="str">
        <f t="shared" si="37"/>
        <v/>
      </c>
      <c r="S152" s="259">
        <f>IF(L152="",0,(((O152*12)*L152)*(IF(I152&gt;8,1+tab!$E$8,1+tab!$E$10))))</f>
        <v>0</v>
      </c>
      <c r="T152" s="372">
        <f t="shared" si="33"/>
        <v>0</v>
      </c>
      <c r="U152" s="373">
        <f t="shared" si="34"/>
        <v>0</v>
      </c>
      <c r="V152" s="374">
        <f t="shared" si="35"/>
        <v>0</v>
      </c>
      <c r="W152" s="335"/>
      <c r="AA152" s="153"/>
      <c r="AJ152" s="153"/>
    </row>
    <row r="153" spans="3:36" ht="12.75" customHeight="1">
      <c r="C153" s="77"/>
      <c r="D153" s="240" t="str">
        <f>IF(loon!D121=0,"",loon!D121)</f>
        <v/>
      </c>
      <c r="E153" s="240" t="str">
        <f>IF(loon!E121=0,"-",loon!E121)</f>
        <v/>
      </c>
      <c r="F153" s="240" t="str">
        <f>IF(loon!F121=0,"-",loon!F121)</f>
        <v/>
      </c>
      <c r="G153" s="363" t="str">
        <f>IF(loon!G121="","",loon!G121+1)</f>
        <v/>
      </c>
      <c r="H153" s="583" t="str">
        <f>IF(loon!H121="","",loon!H121)</f>
        <v/>
      </c>
      <c r="I153" s="363" t="str">
        <f>IF(loon!I121=0,"",loon!I121)</f>
        <v/>
      </c>
      <c r="J153" s="364" t="str">
        <f>IF(E153="","",(IF(loon!J121+1&gt;LOOKUP(I153,schaal,regels),loon!J121,loon!J121+1)))</f>
        <v/>
      </c>
      <c r="K153" s="365" t="str">
        <f>IF(loon!K121="","",loon!K121)</f>
        <v/>
      </c>
      <c r="L153" s="366" t="str">
        <f>IF(loon!L121="","",loon!L121)</f>
        <v/>
      </c>
      <c r="M153" s="367" t="str">
        <f t="shared" si="31"/>
        <v/>
      </c>
      <c r="N153" s="214"/>
      <c r="O153" s="371" t="str">
        <f>IF(I153="","",VLOOKUP(I153,tab!$A$15:$V$57,J153+2,FALSE))</f>
        <v/>
      </c>
      <c r="P153" s="259" t="str">
        <f t="shared" si="32"/>
        <v/>
      </c>
      <c r="Q153" s="580">
        <f t="shared" si="36"/>
        <v>0.62</v>
      </c>
      <c r="R153" s="259" t="str">
        <f t="shared" si="37"/>
        <v/>
      </c>
      <c r="S153" s="259">
        <f>IF(L153="",0,(((O153*12)*L153)*(IF(I153&gt;8,1+tab!$E$8,1+tab!$E$10))))</f>
        <v>0</v>
      </c>
      <c r="T153" s="372">
        <f t="shared" si="33"/>
        <v>0</v>
      </c>
      <c r="U153" s="373">
        <f t="shared" si="34"/>
        <v>0</v>
      </c>
      <c r="V153" s="374">
        <f t="shared" si="35"/>
        <v>0</v>
      </c>
      <c r="W153" s="335"/>
      <c r="AA153" s="153"/>
      <c r="AJ153" s="153"/>
    </row>
    <row r="154" spans="3:36" ht="12.75" customHeight="1">
      <c r="C154" s="77"/>
      <c r="D154" s="240" t="str">
        <f>IF(loon!D122=0,"",loon!D122)</f>
        <v/>
      </c>
      <c r="E154" s="240" t="str">
        <f>IF(loon!E122=0,"-",loon!E122)</f>
        <v/>
      </c>
      <c r="F154" s="240" t="str">
        <f>IF(loon!F122=0,"-",loon!F122)</f>
        <v/>
      </c>
      <c r="G154" s="363" t="str">
        <f>IF(loon!G122="","",loon!G122+1)</f>
        <v/>
      </c>
      <c r="H154" s="583" t="str">
        <f>IF(loon!H122="","",loon!H122)</f>
        <v/>
      </c>
      <c r="I154" s="363" t="str">
        <f>IF(loon!I122=0,"",loon!I122)</f>
        <v/>
      </c>
      <c r="J154" s="364" t="str">
        <f>IF(E154="","",(IF(loon!J122+1&gt;LOOKUP(I154,schaal,regels),loon!J122,loon!J122+1)))</f>
        <v/>
      </c>
      <c r="K154" s="365" t="str">
        <f>IF(loon!K122="","",loon!K122)</f>
        <v/>
      </c>
      <c r="L154" s="366" t="str">
        <f>IF(loon!L122="","",loon!L122)</f>
        <v/>
      </c>
      <c r="M154" s="367" t="str">
        <f t="shared" si="31"/>
        <v/>
      </c>
      <c r="N154" s="214"/>
      <c r="O154" s="371" t="str">
        <f>IF(I154="","",VLOOKUP(I154,tab!$A$15:$V$57,J154+2,FALSE))</f>
        <v/>
      </c>
      <c r="P154" s="259" t="str">
        <f t="shared" si="32"/>
        <v/>
      </c>
      <c r="Q154" s="580">
        <f t="shared" si="36"/>
        <v>0.62</v>
      </c>
      <c r="R154" s="259" t="str">
        <f t="shared" si="37"/>
        <v/>
      </c>
      <c r="S154" s="259">
        <f>IF(L154="",0,(((O154*12)*L154)*(IF(I154&gt;8,1+tab!$E$8,1+tab!$E$10))))</f>
        <v>0</v>
      </c>
      <c r="T154" s="372">
        <f t="shared" si="33"/>
        <v>0</v>
      </c>
      <c r="U154" s="373">
        <f t="shared" si="34"/>
        <v>0</v>
      </c>
      <c r="V154" s="374">
        <f t="shared" si="35"/>
        <v>0</v>
      </c>
      <c r="W154" s="335"/>
      <c r="AA154" s="153"/>
      <c r="AJ154" s="153"/>
    </row>
    <row r="155" spans="3:36" ht="12.75" customHeight="1">
      <c r="C155" s="77"/>
      <c r="D155" s="240" t="str">
        <f>IF(loon!D123=0,"",loon!D123)</f>
        <v/>
      </c>
      <c r="E155" s="240" t="str">
        <f>IF(loon!E123=0,"-",loon!E123)</f>
        <v/>
      </c>
      <c r="F155" s="240" t="str">
        <f>IF(loon!F123=0,"-",loon!F123)</f>
        <v/>
      </c>
      <c r="G155" s="363" t="str">
        <f>IF(loon!G123="","",loon!G123+1)</f>
        <v/>
      </c>
      <c r="H155" s="583" t="str">
        <f>IF(loon!H123="","",loon!H123)</f>
        <v/>
      </c>
      <c r="I155" s="363" t="str">
        <f>IF(loon!I123=0,"",loon!I123)</f>
        <v/>
      </c>
      <c r="J155" s="364" t="str">
        <f>IF(E155="","",(IF(loon!J123+1&gt;LOOKUP(I155,schaal,regels),loon!J123,loon!J123+1)))</f>
        <v/>
      </c>
      <c r="K155" s="365" t="str">
        <f>IF(loon!K123="","",loon!K123)</f>
        <v/>
      </c>
      <c r="L155" s="366" t="str">
        <f>IF(loon!L123="","",loon!L123)</f>
        <v/>
      </c>
      <c r="M155" s="367" t="str">
        <f t="shared" si="31"/>
        <v/>
      </c>
      <c r="N155" s="214"/>
      <c r="O155" s="371" t="str">
        <f>IF(I155="","",VLOOKUP(I155,tab!$A$15:$V$57,J155+2,FALSE))</f>
        <v/>
      </c>
      <c r="P155" s="259" t="str">
        <f t="shared" si="32"/>
        <v/>
      </c>
      <c r="Q155" s="580">
        <f t="shared" si="36"/>
        <v>0.62</v>
      </c>
      <c r="R155" s="259" t="str">
        <f t="shared" si="37"/>
        <v/>
      </c>
      <c r="S155" s="259">
        <f>IF(L155="",0,(((O155*12)*L155)*(IF(I155&gt;8,1+tab!$E$8,1+tab!$E$10))))</f>
        <v>0</v>
      </c>
      <c r="T155" s="372">
        <f t="shared" si="33"/>
        <v>0</v>
      </c>
      <c r="U155" s="373">
        <f t="shared" si="34"/>
        <v>0</v>
      </c>
      <c r="V155" s="374">
        <f t="shared" si="35"/>
        <v>0</v>
      </c>
      <c r="W155" s="335"/>
      <c r="AA155" s="153"/>
      <c r="AJ155" s="153"/>
    </row>
    <row r="156" spans="3:36" ht="12.75" customHeight="1">
      <c r="C156" s="77"/>
      <c r="D156" s="240" t="str">
        <f>IF(loon!D124=0,"",loon!D124)</f>
        <v/>
      </c>
      <c r="E156" s="240" t="str">
        <f>IF(loon!E124=0,"-",loon!E124)</f>
        <v/>
      </c>
      <c r="F156" s="240" t="str">
        <f>IF(loon!F124=0,"-",loon!F124)</f>
        <v/>
      </c>
      <c r="G156" s="363" t="str">
        <f>IF(loon!G124="","",loon!G124+1)</f>
        <v/>
      </c>
      <c r="H156" s="583" t="str">
        <f>IF(loon!H124="","",loon!H124)</f>
        <v/>
      </c>
      <c r="I156" s="363" t="str">
        <f>IF(loon!I124=0,"",loon!I124)</f>
        <v/>
      </c>
      <c r="J156" s="364" t="str">
        <f>IF(E156="","",(IF(loon!J124+1&gt;LOOKUP(I156,schaal,regels),loon!J124,loon!J124+1)))</f>
        <v/>
      </c>
      <c r="K156" s="365" t="str">
        <f>IF(loon!K124="","",loon!K124)</f>
        <v/>
      </c>
      <c r="L156" s="366" t="str">
        <f>IF(loon!L124="","",loon!L124)</f>
        <v/>
      </c>
      <c r="M156" s="367" t="str">
        <f t="shared" si="31"/>
        <v/>
      </c>
      <c r="N156" s="214"/>
      <c r="O156" s="371" t="str">
        <f>IF(I156="","",VLOOKUP(I156,tab!$A$15:$V$57,J156+2,FALSE))</f>
        <v/>
      </c>
      <c r="P156" s="259" t="str">
        <f t="shared" si="32"/>
        <v/>
      </c>
      <c r="Q156" s="580">
        <f t="shared" si="36"/>
        <v>0.62</v>
      </c>
      <c r="R156" s="259" t="str">
        <f t="shared" si="37"/>
        <v/>
      </c>
      <c r="S156" s="259">
        <f>IF(L156="",0,(((O156*12)*L156)*(IF(I156&gt;8,1+tab!$E$8,1+tab!$E$10))))</f>
        <v>0</v>
      </c>
      <c r="T156" s="372">
        <f t="shared" si="33"/>
        <v>0</v>
      </c>
      <c r="U156" s="373">
        <f t="shared" si="34"/>
        <v>0</v>
      </c>
      <c r="V156" s="374">
        <f t="shared" si="35"/>
        <v>0</v>
      </c>
      <c r="W156" s="335"/>
      <c r="AA156" s="153"/>
      <c r="AJ156" s="153"/>
    </row>
    <row r="157" spans="3:36" ht="12.75" customHeight="1">
      <c r="C157" s="77"/>
      <c r="D157" s="240" t="str">
        <f>IF(loon!D125=0,"",loon!D125)</f>
        <v/>
      </c>
      <c r="E157" s="240" t="str">
        <f>IF(loon!E125=0,"-",loon!E125)</f>
        <v/>
      </c>
      <c r="F157" s="240" t="str">
        <f>IF(loon!F125=0,"-",loon!F125)</f>
        <v/>
      </c>
      <c r="G157" s="363" t="str">
        <f>IF(loon!G125="","",loon!G125+1)</f>
        <v/>
      </c>
      <c r="H157" s="583" t="str">
        <f>IF(loon!H125="","",loon!H125)</f>
        <v/>
      </c>
      <c r="I157" s="363" t="str">
        <f>IF(loon!I125=0,"",loon!I125)</f>
        <v/>
      </c>
      <c r="J157" s="364" t="str">
        <f>IF(E157="","",(IF(loon!J125+1&gt;LOOKUP(I157,schaal,regels),loon!J125,loon!J125+1)))</f>
        <v/>
      </c>
      <c r="K157" s="365" t="str">
        <f>IF(loon!K125="","",loon!K125)</f>
        <v/>
      </c>
      <c r="L157" s="366" t="str">
        <f>IF(loon!L125="","",loon!L125)</f>
        <v/>
      </c>
      <c r="M157" s="367" t="str">
        <f t="shared" si="31"/>
        <v/>
      </c>
      <c r="N157" s="214"/>
      <c r="O157" s="371" t="str">
        <f>IF(I157="","",VLOOKUP(I157,tab!$A$15:$V$57,J157+2,FALSE))</f>
        <v/>
      </c>
      <c r="P157" s="259" t="str">
        <f t="shared" si="32"/>
        <v/>
      </c>
      <c r="Q157" s="580">
        <f t="shared" si="36"/>
        <v>0.62</v>
      </c>
      <c r="R157" s="259" t="str">
        <f t="shared" si="37"/>
        <v/>
      </c>
      <c r="S157" s="259">
        <f>IF(L157="",0,(((O157*12)*L157)*(IF(I157&gt;8,1+tab!$E$8,1+tab!$E$10))))</f>
        <v>0</v>
      </c>
      <c r="T157" s="372">
        <f t="shared" si="33"/>
        <v>0</v>
      </c>
      <c r="U157" s="373">
        <f t="shared" si="34"/>
        <v>0</v>
      </c>
      <c r="V157" s="374">
        <f t="shared" si="35"/>
        <v>0</v>
      </c>
      <c r="W157" s="335"/>
      <c r="AA157" s="153"/>
      <c r="AJ157" s="153"/>
    </row>
    <row r="158" spans="3:36" ht="12.75" customHeight="1">
      <c r="C158" s="77"/>
      <c r="D158" s="240" t="str">
        <f>IF(loon!D126=0,"",loon!D126)</f>
        <v/>
      </c>
      <c r="E158" s="240" t="str">
        <f>IF(loon!E126=0,"-",loon!E126)</f>
        <v/>
      </c>
      <c r="F158" s="240" t="str">
        <f>IF(loon!F126=0,"-",loon!F126)</f>
        <v/>
      </c>
      <c r="G158" s="363" t="str">
        <f>IF(loon!G126="","",loon!G126+1)</f>
        <v/>
      </c>
      <c r="H158" s="583" t="str">
        <f>IF(loon!H126="","",loon!H126)</f>
        <v/>
      </c>
      <c r="I158" s="363" t="str">
        <f>IF(loon!I126=0,"",loon!I126)</f>
        <v/>
      </c>
      <c r="J158" s="364" t="str">
        <f>IF(E158="","",(IF(loon!J126+1&gt;LOOKUP(I158,schaal,regels),loon!J126,loon!J126+1)))</f>
        <v/>
      </c>
      <c r="K158" s="365" t="str">
        <f>IF(loon!K126="","",loon!K126)</f>
        <v/>
      </c>
      <c r="L158" s="366" t="str">
        <f>IF(loon!L126="","",loon!L126)</f>
        <v/>
      </c>
      <c r="M158" s="367" t="str">
        <f t="shared" si="31"/>
        <v/>
      </c>
      <c r="N158" s="214"/>
      <c r="O158" s="371" t="str">
        <f>IF(I158="","",VLOOKUP(I158,tab!$A$15:$V$57,J158+2,FALSE))</f>
        <v/>
      </c>
      <c r="P158" s="259" t="str">
        <f t="shared" si="32"/>
        <v/>
      </c>
      <c r="Q158" s="580">
        <f t="shared" si="36"/>
        <v>0.62</v>
      </c>
      <c r="R158" s="259" t="str">
        <f t="shared" si="37"/>
        <v/>
      </c>
      <c r="S158" s="259">
        <f>IF(L158="",0,(((O158*12)*L158)*(IF(I158&gt;8,1+tab!$E$8,1+tab!$E$10))))</f>
        <v>0</v>
      </c>
      <c r="T158" s="372">
        <f t="shared" si="33"/>
        <v>0</v>
      </c>
      <c r="U158" s="373">
        <f t="shared" si="34"/>
        <v>0</v>
      </c>
      <c r="V158" s="374">
        <f t="shared" si="35"/>
        <v>0</v>
      </c>
      <c r="W158" s="335"/>
      <c r="AA158" s="153"/>
      <c r="AJ158" s="153"/>
    </row>
    <row r="159" spans="3:36" ht="12.75" customHeight="1">
      <c r="C159" s="77"/>
      <c r="D159" s="240" t="str">
        <f>IF(loon!D127=0,"",loon!D127)</f>
        <v/>
      </c>
      <c r="E159" s="240" t="str">
        <f>IF(loon!E127=0,"-",loon!E127)</f>
        <v/>
      </c>
      <c r="F159" s="240" t="str">
        <f>IF(loon!F127=0,"-",loon!F127)</f>
        <v/>
      </c>
      <c r="G159" s="363" t="str">
        <f>IF(loon!G127="","",loon!G127+1)</f>
        <v/>
      </c>
      <c r="H159" s="583" t="str">
        <f>IF(loon!H127="","",loon!H127)</f>
        <v/>
      </c>
      <c r="I159" s="363" t="str">
        <f>IF(loon!I127=0,"",loon!I127)</f>
        <v/>
      </c>
      <c r="J159" s="364" t="str">
        <f>IF(E159="","",(IF(loon!J127+1&gt;LOOKUP(I159,schaal,regels),loon!J127,loon!J127+1)))</f>
        <v/>
      </c>
      <c r="K159" s="365" t="str">
        <f>IF(loon!K127="","",loon!K127)</f>
        <v/>
      </c>
      <c r="L159" s="366" t="str">
        <f>IF(loon!L127="","",loon!L127)</f>
        <v/>
      </c>
      <c r="M159" s="367" t="str">
        <f t="shared" si="31"/>
        <v/>
      </c>
      <c r="N159" s="214"/>
      <c r="O159" s="371" t="str">
        <f>IF(I159="","",VLOOKUP(I159,tab!$A$15:$V$57,J159+2,FALSE))</f>
        <v/>
      </c>
      <c r="P159" s="259" t="str">
        <f t="shared" si="32"/>
        <v/>
      </c>
      <c r="Q159" s="580">
        <f t="shared" si="36"/>
        <v>0.62</v>
      </c>
      <c r="R159" s="259" t="str">
        <f t="shared" si="37"/>
        <v/>
      </c>
      <c r="S159" s="259">
        <f>IF(L159="",0,(((O159*12)*L159)*(IF(I159&gt;8,1+tab!$E$8,1+tab!$E$10))))</f>
        <v>0</v>
      </c>
      <c r="T159" s="372">
        <f t="shared" si="33"/>
        <v>0</v>
      </c>
      <c r="U159" s="373">
        <f t="shared" si="34"/>
        <v>0</v>
      </c>
      <c r="V159" s="374">
        <f t="shared" si="35"/>
        <v>0</v>
      </c>
      <c r="W159" s="335"/>
      <c r="AA159" s="153"/>
      <c r="AJ159" s="153"/>
    </row>
    <row r="160" spans="3:36" ht="12.75" customHeight="1">
      <c r="C160" s="77"/>
      <c r="D160" s="240" t="str">
        <f>IF(loon!D128=0,"",loon!D128)</f>
        <v/>
      </c>
      <c r="E160" s="240" t="str">
        <f>IF(loon!E128=0,"-",loon!E128)</f>
        <v/>
      </c>
      <c r="F160" s="240" t="str">
        <f>IF(loon!F128=0,"-",loon!F128)</f>
        <v/>
      </c>
      <c r="G160" s="363" t="str">
        <f>IF(loon!G128="","",loon!G128+1)</f>
        <v/>
      </c>
      <c r="H160" s="583" t="str">
        <f>IF(loon!H128="","",loon!H128)</f>
        <v/>
      </c>
      <c r="I160" s="363" t="str">
        <f>IF(loon!I128=0,"",loon!I128)</f>
        <v/>
      </c>
      <c r="J160" s="364" t="str">
        <f>IF(E160="","",(IF(loon!J128+1&gt;LOOKUP(I160,schaal,regels),loon!J128,loon!J128+1)))</f>
        <v/>
      </c>
      <c r="K160" s="365" t="str">
        <f>IF(loon!K128="","",loon!K128)</f>
        <v/>
      </c>
      <c r="L160" s="366" t="str">
        <f>IF(loon!L128="","",loon!L128)</f>
        <v/>
      </c>
      <c r="M160" s="367" t="str">
        <f t="shared" si="31"/>
        <v/>
      </c>
      <c r="N160" s="214"/>
      <c r="O160" s="371" t="str">
        <f>IF(I160="","",VLOOKUP(I160,tab!$A$15:$V$57,J160+2,FALSE))</f>
        <v/>
      </c>
      <c r="P160" s="259" t="str">
        <f t="shared" si="32"/>
        <v/>
      </c>
      <c r="Q160" s="580">
        <f t="shared" si="36"/>
        <v>0.62</v>
      </c>
      <c r="R160" s="259" t="str">
        <f t="shared" si="37"/>
        <v/>
      </c>
      <c r="S160" s="259">
        <f>IF(L160="",0,(((O160*12)*L160)*(IF(I160&gt;8,1+tab!$E$8,1+tab!$E$10))))</f>
        <v>0</v>
      </c>
      <c r="T160" s="372">
        <f t="shared" si="33"/>
        <v>0</v>
      </c>
      <c r="U160" s="373">
        <f t="shared" si="34"/>
        <v>0</v>
      </c>
      <c r="V160" s="374">
        <f t="shared" si="35"/>
        <v>0</v>
      </c>
      <c r="W160" s="335"/>
      <c r="AA160" s="153"/>
      <c r="AJ160" s="153"/>
    </row>
    <row r="161" spans="3:36" ht="12.75" customHeight="1">
      <c r="C161" s="77"/>
      <c r="D161" s="240" t="str">
        <f>IF(loon!D129=0,"",loon!D129)</f>
        <v/>
      </c>
      <c r="E161" s="240" t="str">
        <f>IF(loon!E129=0,"-",loon!E129)</f>
        <v/>
      </c>
      <c r="F161" s="240" t="str">
        <f>IF(loon!F129=0,"-",loon!F129)</f>
        <v/>
      </c>
      <c r="G161" s="363" t="str">
        <f>IF(loon!G129="","",loon!G129+1)</f>
        <v/>
      </c>
      <c r="H161" s="583" t="str">
        <f>IF(loon!H129="","",loon!H129)</f>
        <v/>
      </c>
      <c r="I161" s="363" t="str">
        <f>IF(loon!I129=0,"",loon!I129)</f>
        <v/>
      </c>
      <c r="J161" s="364" t="str">
        <f>IF(E161="","",(IF(loon!J129+1&gt;LOOKUP(I161,schaal,regels),loon!J129,loon!J129+1)))</f>
        <v/>
      </c>
      <c r="K161" s="365" t="str">
        <f>IF(loon!K129="","",loon!K129)</f>
        <v/>
      </c>
      <c r="L161" s="366" t="str">
        <f>IF(loon!L129="","",loon!L129)</f>
        <v/>
      </c>
      <c r="M161" s="367" t="str">
        <f t="shared" si="31"/>
        <v/>
      </c>
      <c r="N161" s="214"/>
      <c r="O161" s="371" t="str">
        <f>IF(I161="","",VLOOKUP(I161,tab!$A$15:$V$57,J161+2,FALSE))</f>
        <v/>
      </c>
      <c r="P161" s="259" t="str">
        <f t="shared" si="32"/>
        <v/>
      </c>
      <c r="Q161" s="580">
        <f t="shared" si="36"/>
        <v>0.62</v>
      </c>
      <c r="R161" s="259" t="str">
        <f t="shared" si="37"/>
        <v/>
      </c>
      <c r="S161" s="259">
        <f>IF(L161="",0,(((O161*12)*L161)*(IF(I161&gt;8,1+tab!$E$8,1+tab!$E$10))))</f>
        <v>0</v>
      </c>
      <c r="T161" s="372">
        <f t="shared" si="33"/>
        <v>0</v>
      </c>
      <c r="U161" s="373">
        <f t="shared" si="34"/>
        <v>0</v>
      </c>
      <c r="V161" s="374">
        <f t="shared" si="35"/>
        <v>0</v>
      </c>
      <c r="W161" s="335"/>
      <c r="AA161" s="153"/>
      <c r="AJ161" s="153"/>
    </row>
    <row r="162" spans="3:36" ht="12.75" customHeight="1">
      <c r="C162" s="77"/>
      <c r="D162" s="240" t="str">
        <f>IF(loon!D130=0,"",loon!D130)</f>
        <v/>
      </c>
      <c r="E162" s="240" t="str">
        <f>IF(loon!E130=0,"-",loon!E130)</f>
        <v/>
      </c>
      <c r="F162" s="240" t="str">
        <f>IF(loon!F130=0,"-",loon!F130)</f>
        <v/>
      </c>
      <c r="G162" s="363" t="str">
        <f>IF(loon!G130="","",loon!G130+1)</f>
        <v/>
      </c>
      <c r="H162" s="583" t="str">
        <f>IF(loon!H130="","",loon!H130)</f>
        <v/>
      </c>
      <c r="I162" s="363" t="str">
        <f>IF(loon!I130=0,"",loon!I130)</f>
        <v/>
      </c>
      <c r="J162" s="364" t="str">
        <f>IF(E162="","",(IF(loon!J130+1&gt;LOOKUP(I162,schaal,regels),loon!J130,loon!J130+1)))</f>
        <v/>
      </c>
      <c r="K162" s="365" t="str">
        <f>IF(loon!K130="","",loon!K130)</f>
        <v/>
      </c>
      <c r="L162" s="366" t="str">
        <f>IF(loon!L130="","",loon!L130)</f>
        <v/>
      </c>
      <c r="M162" s="367" t="str">
        <f t="shared" si="31"/>
        <v/>
      </c>
      <c r="N162" s="214"/>
      <c r="O162" s="371" t="str">
        <f>IF(I162="","",VLOOKUP(I162,tab!$A$15:$V$57,J162+2,FALSE))</f>
        <v/>
      </c>
      <c r="P162" s="259" t="str">
        <f t="shared" si="32"/>
        <v/>
      </c>
      <c r="Q162" s="580">
        <f t="shared" si="36"/>
        <v>0.62</v>
      </c>
      <c r="R162" s="259" t="str">
        <f t="shared" si="37"/>
        <v/>
      </c>
      <c r="S162" s="259">
        <f>IF(L162="",0,(((O162*12)*L162)*(IF(I162&gt;8,1+tab!$E$8,1+tab!$E$10))))</f>
        <v>0</v>
      </c>
      <c r="T162" s="372">
        <f t="shared" si="33"/>
        <v>0</v>
      </c>
      <c r="U162" s="373">
        <f t="shared" si="34"/>
        <v>0</v>
      </c>
      <c r="V162" s="374">
        <f t="shared" si="35"/>
        <v>0</v>
      </c>
      <c r="W162" s="335"/>
      <c r="AA162" s="153"/>
      <c r="AJ162" s="153"/>
    </row>
    <row r="163" spans="3:36" ht="12.75" customHeight="1">
      <c r="C163" s="77"/>
      <c r="D163" s="240" t="str">
        <f>IF(loon!D131=0,"",loon!D131)</f>
        <v/>
      </c>
      <c r="E163" s="240" t="str">
        <f>IF(loon!E131=0,"-",loon!E131)</f>
        <v/>
      </c>
      <c r="F163" s="240" t="str">
        <f>IF(loon!F131=0,"-",loon!F131)</f>
        <v/>
      </c>
      <c r="G163" s="363" t="str">
        <f>IF(loon!G131="","",loon!G131+1)</f>
        <v/>
      </c>
      <c r="H163" s="583" t="str">
        <f>IF(loon!H131="","",loon!H131)</f>
        <v/>
      </c>
      <c r="I163" s="363" t="str">
        <f>IF(loon!I131=0,"",loon!I131)</f>
        <v/>
      </c>
      <c r="J163" s="364" t="str">
        <f>IF(E163="","",(IF(loon!J131+1&gt;LOOKUP(I163,schaal,regels),loon!J131,loon!J131+1)))</f>
        <v/>
      </c>
      <c r="K163" s="365" t="str">
        <f>IF(loon!K131="","",loon!K131)</f>
        <v/>
      </c>
      <c r="L163" s="366" t="str">
        <f>IF(loon!L131="","",loon!L131)</f>
        <v/>
      </c>
      <c r="M163" s="367" t="str">
        <f t="shared" si="31"/>
        <v/>
      </c>
      <c r="N163" s="214"/>
      <c r="O163" s="371" t="str">
        <f>IF(I163="","",VLOOKUP(I163,tab!$A$15:$V$57,J163+2,FALSE))</f>
        <v/>
      </c>
      <c r="P163" s="259" t="str">
        <f t="shared" si="32"/>
        <v/>
      </c>
      <c r="Q163" s="580">
        <f t="shared" si="36"/>
        <v>0.62</v>
      </c>
      <c r="R163" s="259" t="str">
        <f t="shared" si="37"/>
        <v/>
      </c>
      <c r="S163" s="259">
        <f>IF(L163="",0,(((O163*12)*L163)*(IF(I163&gt;8,1+tab!$E$8,1+tab!$E$10))))</f>
        <v>0</v>
      </c>
      <c r="T163" s="372">
        <f t="shared" si="33"/>
        <v>0</v>
      </c>
      <c r="U163" s="373">
        <f t="shared" si="34"/>
        <v>0</v>
      </c>
      <c r="V163" s="374">
        <f t="shared" si="35"/>
        <v>0</v>
      </c>
      <c r="W163" s="335"/>
      <c r="AA163" s="153"/>
      <c r="AJ163" s="153"/>
    </row>
    <row r="164" spans="3:36">
      <c r="C164" s="77"/>
      <c r="D164" s="193"/>
      <c r="E164" s="193"/>
      <c r="F164" s="193"/>
      <c r="G164" s="199"/>
      <c r="H164" s="199"/>
      <c r="I164" s="199"/>
      <c r="J164" s="336"/>
      <c r="K164" s="375">
        <f>SUM(K144:K163)</f>
        <v>0</v>
      </c>
      <c r="L164" s="375">
        <f>SUM(L144:L163)</f>
        <v>0</v>
      </c>
      <c r="M164" s="375">
        <f>SUM(M144:M163)</f>
        <v>0</v>
      </c>
      <c r="N164" s="214"/>
      <c r="O164" s="251">
        <f t="shared" ref="O164:V164" si="38">SUM(O144:O163)</f>
        <v>0</v>
      </c>
      <c r="P164" s="251">
        <f t="shared" si="38"/>
        <v>0</v>
      </c>
      <c r="Q164" s="221"/>
      <c r="R164" s="251">
        <f>SUM(R144:R163)</f>
        <v>0</v>
      </c>
      <c r="S164" s="251">
        <f t="shared" si="38"/>
        <v>0</v>
      </c>
      <c r="T164" s="251">
        <f t="shared" si="38"/>
        <v>0</v>
      </c>
      <c r="U164" s="337">
        <f t="shared" si="38"/>
        <v>0</v>
      </c>
      <c r="V164" s="250">
        <f t="shared" si="38"/>
        <v>0</v>
      </c>
      <c r="W164" s="338"/>
    </row>
    <row r="165" spans="3:36">
      <c r="C165" s="77"/>
      <c r="D165" s="78"/>
      <c r="E165" s="78"/>
      <c r="F165" s="78"/>
      <c r="G165" s="191"/>
      <c r="H165" s="191"/>
      <c r="I165" s="191"/>
      <c r="J165" s="339"/>
      <c r="K165" s="334"/>
      <c r="L165" s="339"/>
      <c r="M165" s="334"/>
      <c r="N165" s="339"/>
      <c r="O165" s="339"/>
      <c r="P165" s="221"/>
      <c r="Q165" s="221"/>
      <c r="R165" s="221"/>
      <c r="S165" s="221"/>
      <c r="T165" s="221"/>
      <c r="U165" s="340"/>
      <c r="V165" s="211"/>
      <c r="W165" s="338"/>
    </row>
    <row r="166" spans="3:36">
      <c r="C166" s="88"/>
      <c r="D166" s="341"/>
      <c r="E166" s="341"/>
      <c r="F166" s="341"/>
      <c r="G166" s="236"/>
      <c r="H166" s="236"/>
      <c r="I166" s="236"/>
      <c r="J166" s="342"/>
      <c r="K166" s="343"/>
      <c r="L166" s="344"/>
      <c r="M166" s="344"/>
      <c r="N166" s="89"/>
      <c r="O166" s="345"/>
      <c r="P166" s="346"/>
      <c r="Q166" s="346"/>
      <c r="R166" s="346"/>
      <c r="S166" s="346"/>
      <c r="T166" s="231"/>
      <c r="U166" s="347"/>
      <c r="V166" s="348"/>
      <c r="W166" s="91"/>
    </row>
    <row r="195" spans="5:5">
      <c r="E195" s="154" t="s">
        <v>11</v>
      </c>
    </row>
    <row r="196" spans="5:5">
      <c r="E196" s="154" t="s">
        <v>12</v>
      </c>
    </row>
    <row r="197" spans="5:5">
      <c r="E197" s="154" t="s">
        <v>13</v>
      </c>
    </row>
    <row r="198" spans="5:5">
      <c r="E198" s="154" t="s">
        <v>14</v>
      </c>
    </row>
    <row r="199" spans="5:5">
      <c r="E199" s="154" t="s">
        <v>17</v>
      </c>
    </row>
    <row r="200" spans="5:5">
      <c r="E200" s="154" t="s">
        <v>5</v>
      </c>
    </row>
    <row r="201" spans="5:5">
      <c r="E201" s="154" t="s">
        <v>6</v>
      </c>
    </row>
    <row r="202" spans="5:5">
      <c r="E202" s="154" t="s">
        <v>23</v>
      </c>
    </row>
    <row r="203" spans="5:5">
      <c r="E203" s="154" t="s">
        <v>7</v>
      </c>
    </row>
    <row r="204" spans="5:5">
      <c r="E204" s="154" t="s">
        <v>24</v>
      </c>
    </row>
    <row r="205" spans="5:5">
      <c r="E205" s="154" t="s">
        <v>15</v>
      </c>
    </row>
    <row r="206" spans="5:5">
      <c r="E206" s="154" t="s">
        <v>16</v>
      </c>
    </row>
    <row r="207" spans="5:5">
      <c r="E207" s="38" t="s">
        <v>27</v>
      </c>
    </row>
    <row r="208" spans="5:5">
      <c r="E208" s="38" t="s">
        <v>32</v>
      </c>
    </row>
    <row r="209" spans="5:5">
      <c r="E209" s="38" t="s">
        <v>28</v>
      </c>
    </row>
    <row r="210" spans="5:5">
      <c r="E210" s="154" t="s">
        <v>8</v>
      </c>
    </row>
    <row r="211" spans="5:5">
      <c r="E211" s="154" t="s">
        <v>9</v>
      </c>
    </row>
    <row r="212" spans="5:5">
      <c r="E212" s="154" t="s">
        <v>10</v>
      </c>
    </row>
    <row r="213" spans="5:5">
      <c r="E213" s="154" t="s">
        <v>18</v>
      </c>
    </row>
    <row r="214" spans="5:5">
      <c r="E214" s="154" t="s">
        <v>19</v>
      </c>
    </row>
    <row r="215" spans="5:5">
      <c r="E215" s="38" t="s">
        <v>25</v>
      </c>
    </row>
    <row r="216" spans="5:5">
      <c r="E216" s="38" t="s">
        <v>26</v>
      </c>
    </row>
    <row r="217" spans="5:5">
      <c r="E217" s="38" t="s">
        <v>87</v>
      </c>
    </row>
    <row r="218" spans="5:5">
      <c r="E218" s="38" t="s">
        <v>83</v>
      </c>
    </row>
    <row r="219" spans="5:5">
      <c r="E219" s="38" t="s">
        <v>84</v>
      </c>
    </row>
    <row r="220" spans="5:5">
      <c r="E220" s="38" t="s">
        <v>86</v>
      </c>
    </row>
    <row r="221" spans="5:5">
      <c r="E221" s="38" t="s">
        <v>85</v>
      </c>
    </row>
    <row r="222" spans="5:5">
      <c r="E222" s="38">
        <v>1</v>
      </c>
    </row>
    <row r="223" spans="5:5">
      <c r="E223" s="38">
        <v>2</v>
      </c>
    </row>
    <row r="224" spans="5:5">
      <c r="E224" s="38">
        <v>3</v>
      </c>
    </row>
    <row r="225" spans="5:5">
      <c r="E225" s="38">
        <v>4</v>
      </c>
    </row>
    <row r="226" spans="5:5">
      <c r="E226" s="38">
        <v>5</v>
      </c>
    </row>
    <row r="227" spans="5:5">
      <c r="E227" s="38">
        <v>6</v>
      </c>
    </row>
    <row r="228" spans="5:5">
      <c r="E228" s="38">
        <v>7</v>
      </c>
    </row>
    <row r="229" spans="5:5">
      <c r="E229" s="38">
        <v>8</v>
      </c>
    </row>
    <row r="230" spans="5:5">
      <c r="E230" s="38">
        <v>9</v>
      </c>
    </row>
    <row r="231" spans="5:5">
      <c r="E231" s="38">
        <v>10</v>
      </c>
    </row>
    <row r="232" spans="5:5">
      <c r="E232" s="38">
        <v>11</v>
      </c>
    </row>
    <row r="233" spans="5:5">
      <c r="E233" s="38">
        <v>12</v>
      </c>
    </row>
    <row r="234" spans="5:5">
      <c r="E234" s="38">
        <v>13</v>
      </c>
    </row>
    <row r="235" spans="5:5">
      <c r="E235" s="38">
        <v>14</v>
      </c>
    </row>
    <row r="236" spans="5:5">
      <c r="E236" s="38">
        <v>15</v>
      </c>
    </row>
    <row r="237" spans="5:5">
      <c r="E237" s="38">
        <v>16</v>
      </c>
    </row>
  </sheetData>
  <sheetProtection password="DFB1" sheet="1" objects="1" scenarios="1"/>
  <mergeCells count="10">
    <mergeCell ref="O11:T11"/>
    <mergeCell ref="D140:M140"/>
    <mergeCell ref="O140:T140"/>
    <mergeCell ref="D11:M11"/>
    <mergeCell ref="D43:M43"/>
    <mergeCell ref="O43:T43"/>
    <mergeCell ref="D76:M76"/>
    <mergeCell ref="O76:T76"/>
    <mergeCell ref="D108:M108"/>
    <mergeCell ref="O108:T108"/>
  </mergeCells>
  <phoneticPr fontId="0" type="noConversion"/>
  <dataValidations count="3">
    <dataValidation type="list" allowBlank="1" showInputMessage="1" showErrorMessage="1" sqref="I144:I163 I47:I66 I80:I99 I112:I131 I15:I34">
      <formula1>$E$195:$E$237</formula1>
    </dataValidation>
    <dataValidation type="list" allowBlank="1" showInputMessage="1" showErrorMessage="1" sqref="I102:I106">
      <formula1>"LIOa,LIOb,J1,J2,J3,J4,J5,J6,1,2,3,4,5,6,7,8,9,10,11,12,13,14,15,LA,LB,LC,LD,LE,ID1,ID2,ID3"</formula1>
    </dataValidation>
    <dataValidation type="list" allowBlank="1" showInputMessage="1" showErrorMessage="1" sqref="I37:I41 I69:I74">
      <formula1>"LA,LB,LC,LD,LE"</formula1>
    </dataValidation>
  </dataValidations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69" min="1" max="45" man="1"/>
  </rowBreak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BR62"/>
  <sheetViews>
    <sheetView zoomScale="85" zoomScaleNormal="85" zoomScaleSheetLayoutView="50" workbookViewId="0"/>
  </sheetViews>
  <sheetFormatPr defaultColWidth="9.140625" defaultRowHeight="12.75" customHeight="1"/>
  <cols>
    <col min="1" max="1" width="45.7109375" style="2" customWidth="1"/>
    <col min="2" max="2" width="2.7109375" style="2" customWidth="1"/>
    <col min="3" max="67" width="14.85546875" style="2" customWidth="1"/>
    <col min="68" max="68" width="14.85546875" style="4" customWidth="1"/>
    <col min="69" max="69" width="9.7109375" style="4" customWidth="1"/>
    <col min="70" max="70" width="9.7109375" style="5" customWidth="1"/>
    <col min="71" max="147" width="9.7109375" style="2" customWidth="1"/>
    <col min="148" max="16384" width="9.140625" style="2"/>
  </cols>
  <sheetData>
    <row r="1" spans="1:40" ht="12.75" customHeight="1">
      <c r="A1" s="1"/>
      <c r="B1" s="1"/>
      <c r="C1" s="1"/>
      <c r="D1" s="1"/>
      <c r="E1" s="1"/>
      <c r="F1" s="1"/>
      <c r="G1" s="1"/>
      <c r="H1" s="1"/>
      <c r="AH1" s="1"/>
      <c r="AI1" s="1"/>
      <c r="AJ1" s="1"/>
      <c r="AM1" s="3"/>
      <c r="AN1" s="3"/>
    </row>
    <row r="2" spans="1:40" ht="12.75" customHeight="1">
      <c r="A2" s="2" t="s">
        <v>66</v>
      </c>
      <c r="C2" s="6">
        <v>2012</v>
      </c>
      <c r="D2" s="6">
        <f t="shared" ref="D2" si="0">C2+1</f>
        <v>2013</v>
      </c>
      <c r="E2" s="6">
        <f t="shared" ref="E2" si="1">D2+1</f>
        <v>2014</v>
      </c>
      <c r="F2" s="6">
        <f t="shared" ref="F2" si="2">E2+1</f>
        <v>2015</v>
      </c>
      <c r="G2" s="6">
        <f t="shared" ref="G2" si="3">F2+1</f>
        <v>2016</v>
      </c>
      <c r="H2" s="6">
        <f t="shared" ref="H2" si="4">G2+1</f>
        <v>2017</v>
      </c>
      <c r="I2" s="6">
        <f t="shared" ref="I2" si="5">H2+1</f>
        <v>2018</v>
      </c>
      <c r="AH2" s="1"/>
      <c r="AI2" s="1"/>
      <c r="AJ2" s="1"/>
      <c r="AM2" s="3"/>
      <c r="AN2" s="3"/>
    </row>
    <row r="3" spans="1:40" ht="12.75" customHeight="1">
      <c r="A3" s="2" t="s">
        <v>33</v>
      </c>
      <c r="C3" s="6" t="s">
        <v>179</v>
      </c>
      <c r="D3" s="6" t="s">
        <v>223</v>
      </c>
      <c r="E3" s="6" t="s">
        <v>252</v>
      </c>
      <c r="F3" s="6" t="s">
        <v>263</v>
      </c>
      <c r="G3" s="6" t="s">
        <v>300</v>
      </c>
      <c r="H3" s="6" t="s">
        <v>322</v>
      </c>
      <c r="I3" s="6" t="s">
        <v>339</v>
      </c>
    </row>
    <row r="4" spans="1:40" ht="12.75" customHeight="1">
      <c r="A4" s="2" t="s">
        <v>53</v>
      </c>
      <c r="C4" s="7">
        <v>40817</v>
      </c>
      <c r="D4" s="7">
        <v>41183</v>
      </c>
      <c r="E4" s="7">
        <v>41548</v>
      </c>
      <c r="F4" s="7">
        <v>41913</v>
      </c>
      <c r="G4" s="7">
        <v>42278</v>
      </c>
      <c r="H4" s="7">
        <v>42644</v>
      </c>
      <c r="I4" s="7">
        <v>43009</v>
      </c>
    </row>
    <row r="5" spans="1:40" ht="12.75" customHeight="1">
      <c r="A5" s="1"/>
      <c r="B5" s="1"/>
      <c r="C5" s="1"/>
      <c r="D5" s="1"/>
      <c r="E5" s="1"/>
      <c r="F5" s="1"/>
      <c r="G5" s="1"/>
      <c r="H5" s="1"/>
      <c r="AI5" s="8"/>
    </row>
    <row r="6" spans="1:40" s="13" customFormat="1">
      <c r="A6" s="2" t="s">
        <v>120</v>
      </c>
      <c r="B6" s="11"/>
      <c r="C6" s="1"/>
      <c r="D6" s="12">
        <v>0.62</v>
      </c>
      <c r="E6" s="12">
        <v>0.62</v>
      </c>
      <c r="F6" s="11"/>
      <c r="G6" s="11"/>
      <c r="H6" s="11"/>
      <c r="I6" s="11"/>
    </row>
    <row r="7" spans="1:40" s="13" customFormat="1">
      <c r="A7" s="2" t="s">
        <v>230</v>
      </c>
      <c r="B7" s="11"/>
      <c r="C7" s="1"/>
      <c r="D7" s="12">
        <v>0.35</v>
      </c>
      <c r="E7" s="12">
        <f>tab!D7</f>
        <v>0.35</v>
      </c>
      <c r="F7" s="11"/>
      <c r="G7" s="11"/>
      <c r="H7" s="11"/>
      <c r="I7" s="11"/>
    </row>
    <row r="8" spans="1:40" s="13" customFormat="1">
      <c r="A8" s="2" t="s">
        <v>232</v>
      </c>
      <c r="B8" s="11"/>
      <c r="C8" s="1"/>
      <c r="D8" s="14">
        <f>D6-D7</f>
        <v>0.27</v>
      </c>
      <c r="E8" s="14">
        <f>E6-E7</f>
        <v>0.27</v>
      </c>
      <c r="F8" s="31">
        <f>(1+$E$6-E7)/(1+$E$6)</f>
        <v>0.78395061728395055</v>
      </c>
      <c r="G8" s="11"/>
      <c r="H8" s="11"/>
      <c r="I8" s="11"/>
    </row>
    <row r="9" spans="1:40" s="13" customFormat="1">
      <c r="A9" s="2" t="s">
        <v>231</v>
      </c>
      <c r="B9" s="11"/>
      <c r="C9" s="1"/>
      <c r="D9" s="12">
        <v>0.25</v>
      </c>
      <c r="E9" s="12">
        <f>tab!D9</f>
        <v>0.25</v>
      </c>
      <c r="F9" s="11"/>
      <c r="G9" s="11"/>
      <c r="H9" s="11"/>
      <c r="I9" s="11"/>
    </row>
    <row r="10" spans="1:40" s="13" customFormat="1">
      <c r="A10" s="2" t="s">
        <v>232</v>
      </c>
      <c r="B10" s="11"/>
      <c r="C10" s="1"/>
      <c r="D10" s="14">
        <f>D6-D9</f>
        <v>0.37</v>
      </c>
      <c r="E10" s="14">
        <f>E6-E9</f>
        <v>0.37</v>
      </c>
      <c r="F10" s="31">
        <f>(1+$E$6-E9)/(1+$E$6)</f>
        <v>0.84567901234567899</v>
      </c>
      <c r="G10" s="11"/>
      <c r="H10" s="11"/>
      <c r="I10" s="11"/>
    </row>
    <row r="11" spans="1:40" ht="12.75" customHeight="1">
      <c r="E11" s="9"/>
      <c r="AM11" s="10"/>
      <c r="AN11" s="10"/>
    </row>
    <row r="12" spans="1:40" s="13" customFormat="1">
      <c r="A12" s="18" t="s">
        <v>222</v>
      </c>
      <c r="B12" s="18"/>
      <c r="C12" s="30">
        <v>41640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0" s="13" customFormat="1">
      <c r="A13" s="2" t="s">
        <v>20</v>
      </c>
      <c r="B13" s="18"/>
      <c r="C13" s="19"/>
      <c r="D13" s="20"/>
      <c r="E13" s="18"/>
      <c r="F13" s="18"/>
      <c r="G13" s="2"/>
      <c r="H13" s="2"/>
      <c r="I13" s="18"/>
      <c r="J13" s="2"/>
      <c r="K13" s="21"/>
      <c r="L13" s="2"/>
      <c r="M13" s="2"/>
      <c r="N13" s="2"/>
      <c r="O13" s="2"/>
      <c r="P13" s="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"/>
    </row>
    <row r="14" spans="1:40" s="13" customFormat="1">
      <c r="A14" s="18" t="s">
        <v>21</v>
      </c>
      <c r="B14" s="18"/>
      <c r="C14" s="22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2">
        <v>8</v>
      </c>
      <c r="K14" s="22">
        <v>9</v>
      </c>
      <c r="L14" s="22">
        <v>10</v>
      </c>
      <c r="M14" s="22">
        <v>11</v>
      </c>
      <c r="N14" s="22">
        <v>12</v>
      </c>
      <c r="O14" s="22">
        <v>13</v>
      </c>
      <c r="P14" s="22">
        <v>14</v>
      </c>
      <c r="Q14" s="22">
        <v>15</v>
      </c>
      <c r="R14" s="22">
        <v>16</v>
      </c>
      <c r="S14" s="22">
        <v>17</v>
      </c>
      <c r="T14" s="22">
        <v>18</v>
      </c>
      <c r="U14" s="22">
        <v>19</v>
      </c>
      <c r="V14" s="22">
        <v>20</v>
      </c>
      <c r="W14" s="22" t="s">
        <v>22</v>
      </c>
    </row>
    <row r="15" spans="1:40" s="13" customFormat="1">
      <c r="A15" s="16" t="s">
        <v>11</v>
      </c>
      <c r="B15" s="23"/>
      <c r="C15" s="24">
        <v>2332</v>
      </c>
      <c r="D15" s="24">
        <v>2439</v>
      </c>
      <c r="E15" s="24">
        <v>2549</v>
      </c>
      <c r="F15" s="596">
        <v>2666</v>
      </c>
      <c r="G15" s="596">
        <v>2797</v>
      </c>
      <c r="H15" s="596">
        <v>2908</v>
      </c>
      <c r="I15" s="596">
        <v>3022</v>
      </c>
      <c r="J15" s="24">
        <v>3129</v>
      </c>
      <c r="K15" s="24">
        <v>3235</v>
      </c>
      <c r="L15" s="24">
        <v>3353</v>
      </c>
      <c r="M15" s="24">
        <v>3456</v>
      </c>
      <c r="N15" s="24"/>
      <c r="O15" s="24"/>
      <c r="P15" s="24"/>
      <c r="Q15" s="24"/>
      <c r="R15" s="24"/>
      <c r="S15" s="24"/>
      <c r="T15" s="24"/>
      <c r="U15" s="24"/>
      <c r="V15" s="24"/>
      <c r="W15" s="17">
        <f t="shared" ref="W15:W31" si="6">COUNTA(C15:V15)</f>
        <v>11</v>
      </c>
    </row>
    <row r="16" spans="1:40" s="13" customFormat="1">
      <c r="A16" s="16" t="s">
        <v>12</v>
      </c>
      <c r="B16" s="23"/>
      <c r="C16" s="24">
        <v>2385</v>
      </c>
      <c r="D16" s="24">
        <v>2493</v>
      </c>
      <c r="E16" s="24">
        <v>2611</v>
      </c>
      <c r="F16" s="596">
        <v>2741</v>
      </c>
      <c r="G16" s="596">
        <v>2852</v>
      </c>
      <c r="H16" s="596">
        <v>2966</v>
      </c>
      <c r="I16" s="596">
        <v>3072</v>
      </c>
      <c r="J16" s="24">
        <v>3179</v>
      </c>
      <c r="K16" s="24">
        <v>3294</v>
      </c>
      <c r="L16" s="24">
        <v>3400</v>
      </c>
      <c r="M16" s="24">
        <v>3503</v>
      </c>
      <c r="N16" s="24">
        <v>3608</v>
      </c>
      <c r="O16" s="24">
        <v>3786</v>
      </c>
      <c r="P16" s="24"/>
      <c r="Q16" s="24"/>
      <c r="R16" s="24"/>
      <c r="S16" s="24"/>
      <c r="T16" s="24"/>
      <c r="U16" s="24"/>
      <c r="V16" s="24"/>
      <c r="W16" s="17">
        <f t="shared" si="6"/>
        <v>13</v>
      </c>
    </row>
    <row r="17" spans="1:23" s="13" customFormat="1">
      <c r="A17" s="16" t="s">
        <v>13</v>
      </c>
      <c r="B17" s="23"/>
      <c r="C17" s="24">
        <v>2436</v>
      </c>
      <c r="D17" s="24">
        <v>2556</v>
      </c>
      <c r="E17" s="24">
        <v>2683</v>
      </c>
      <c r="F17" s="596">
        <v>2797</v>
      </c>
      <c r="G17" s="596">
        <v>2909</v>
      </c>
      <c r="H17" s="596">
        <v>3018</v>
      </c>
      <c r="I17" s="596">
        <v>3123</v>
      </c>
      <c r="J17" s="24">
        <v>3240</v>
      </c>
      <c r="K17" s="24">
        <v>3344</v>
      </c>
      <c r="L17" s="24">
        <v>3449</v>
      </c>
      <c r="M17" s="24">
        <v>3554</v>
      </c>
      <c r="N17" s="24">
        <v>3669</v>
      </c>
      <c r="O17" s="24">
        <v>3786</v>
      </c>
      <c r="P17" s="24">
        <v>3897</v>
      </c>
      <c r="Q17" s="24">
        <v>4006</v>
      </c>
      <c r="R17" s="24">
        <v>4114</v>
      </c>
      <c r="S17" s="24">
        <v>4220</v>
      </c>
      <c r="T17" s="24">
        <v>4275</v>
      </c>
      <c r="U17" s="24"/>
      <c r="V17" s="24"/>
      <c r="W17" s="17">
        <f t="shared" si="6"/>
        <v>18</v>
      </c>
    </row>
    <row r="18" spans="1:23" s="13" customFormat="1">
      <c r="A18" s="16" t="s">
        <v>14</v>
      </c>
      <c r="B18" s="23"/>
      <c r="C18" s="24">
        <v>2556</v>
      </c>
      <c r="D18" s="24">
        <v>2683</v>
      </c>
      <c r="E18" s="24">
        <v>2909</v>
      </c>
      <c r="F18" s="596">
        <v>3123</v>
      </c>
      <c r="G18" s="596">
        <v>3240</v>
      </c>
      <c r="H18" s="596">
        <v>3344</v>
      </c>
      <c r="I18" s="596">
        <v>3449</v>
      </c>
      <c r="J18" s="24">
        <v>3554</v>
      </c>
      <c r="K18" s="24">
        <v>3669</v>
      </c>
      <c r="L18" s="24">
        <v>3786</v>
      </c>
      <c r="M18" s="24">
        <v>3897</v>
      </c>
      <c r="N18" s="24">
        <v>4006</v>
      </c>
      <c r="O18" s="24">
        <v>4114</v>
      </c>
      <c r="P18" s="24">
        <v>4220</v>
      </c>
      <c r="Q18" s="24">
        <v>4331</v>
      </c>
      <c r="R18" s="24">
        <v>4441</v>
      </c>
      <c r="S18" s="24">
        <v>4545</v>
      </c>
      <c r="T18" s="24">
        <v>4655</v>
      </c>
      <c r="U18" s="24">
        <v>4792</v>
      </c>
      <c r="V18" s="24">
        <v>4859</v>
      </c>
      <c r="W18" s="17">
        <f t="shared" si="6"/>
        <v>20</v>
      </c>
    </row>
    <row r="19" spans="1:23" s="13" customFormat="1">
      <c r="A19" s="16" t="s">
        <v>17</v>
      </c>
      <c r="B19" s="23"/>
      <c r="C19" s="24">
        <v>2683</v>
      </c>
      <c r="D19" s="24">
        <v>2909</v>
      </c>
      <c r="E19" s="24">
        <v>3123</v>
      </c>
      <c r="F19" s="596">
        <v>3344</v>
      </c>
      <c r="G19" s="596">
        <v>3554</v>
      </c>
      <c r="H19" s="596">
        <v>2622</v>
      </c>
      <c r="I19" s="596">
        <v>3897</v>
      </c>
      <c r="J19" s="24">
        <v>4006</v>
      </c>
      <c r="K19" s="24">
        <v>4114</v>
      </c>
      <c r="L19" s="24">
        <v>4220</v>
      </c>
      <c r="M19" s="24">
        <v>4331</v>
      </c>
      <c r="N19" s="24">
        <v>4441</v>
      </c>
      <c r="O19" s="24">
        <v>4545</v>
      </c>
      <c r="P19" s="24">
        <v>4655</v>
      </c>
      <c r="Q19" s="24">
        <v>4792</v>
      </c>
      <c r="R19" s="24">
        <v>4927</v>
      </c>
      <c r="S19" s="24">
        <v>5064</v>
      </c>
      <c r="T19" s="24">
        <v>5201</v>
      </c>
      <c r="U19" s="24">
        <v>5266</v>
      </c>
      <c r="V19" s="24"/>
      <c r="W19" s="17">
        <f t="shared" si="6"/>
        <v>19</v>
      </c>
    </row>
    <row r="20" spans="1:23" s="13" customFormat="1">
      <c r="A20" s="16" t="s">
        <v>5</v>
      </c>
      <c r="B20" s="23"/>
      <c r="C20" s="24">
        <v>2605</v>
      </c>
      <c r="D20" s="24">
        <v>2707</v>
      </c>
      <c r="E20" s="24">
        <v>2811</v>
      </c>
      <c r="F20" s="596">
        <v>2912</v>
      </c>
      <c r="G20" s="596">
        <v>3014</v>
      </c>
      <c r="H20" s="596">
        <v>3118</v>
      </c>
      <c r="I20" s="596">
        <v>3220</v>
      </c>
      <c r="J20" s="24">
        <v>3323</v>
      </c>
      <c r="K20" s="24">
        <v>3424</v>
      </c>
      <c r="L20" s="24">
        <v>3527</v>
      </c>
      <c r="M20" s="24">
        <v>3631</v>
      </c>
      <c r="N20" s="24">
        <v>3733</v>
      </c>
      <c r="O20" s="24">
        <v>3837</v>
      </c>
      <c r="P20" s="24"/>
      <c r="Q20" s="24"/>
      <c r="R20" s="24"/>
      <c r="S20" s="24"/>
      <c r="T20" s="24"/>
      <c r="U20" s="24"/>
      <c r="V20" s="24"/>
      <c r="W20" s="17">
        <f t="shared" si="6"/>
        <v>13</v>
      </c>
    </row>
    <row r="21" spans="1:23" s="13" customFormat="1">
      <c r="A21" s="16" t="s">
        <v>6</v>
      </c>
      <c r="B21" s="23"/>
      <c r="C21" s="24">
        <v>2707</v>
      </c>
      <c r="D21" s="24">
        <v>2912</v>
      </c>
      <c r="E21" s="24">
        <v>3118</v>
      </c>
      <c r="F21" s="596">
        <v>3220</v>
      </c>
      <c r="G21" s="596">
        <v>3323</v>
      </c>
      <c r="H21" s="596">
        <v>3424</v>
      </c>
      <c r="I21" s="596">
        <v>3527</v>
      </c>
      <c r="J21" s="24">
        <v>3631</v>
      </c>
      <c r="K21" s="24">
        <v>3733</v>
      </c>
      <c r="L21" s="24">
        <v>3837</v>
      </c>
      <c r="M21" s="24">
        <v>3940</v>
      </c>
      <c r="N21" s="24">
        <v>4041</v>
      </c>
      <c r="O21" s="24">
        <v>4144</v>
      </c>
      <c r="P21" s="24">
        <v>4245</v>
      </c>
      <c r="Q21" s="24">
        <v>4350</v>
      </c>
      <c r="R21" s="24"/>
      <c r="S21" s="24"/>
      <c r="T21" s="24"/>
      <c r="U21" s="24"/>
      <c r="V21" s="24"/>
      <c r="W21" s="17">
        <f t="shared" si="6"/>
        <v>15</v>
      </c>
    </row>
    <row r="22" spans="1:23" s="13" customFormat="1">
      <c r="A22" s="16" t="s">
        <v>23</v>
      </c>
      <c r="B22" s="23"/>
      <c r="C22" s="24">
        <v>2707</v>
      </c>
      <c r="D22" s="24">
        <v>2912</v>
      </c>
      <c r="E22" s="24">
        <v>3118</v>
      </c>
      <c r="F22" s="596">
        <v>3220</v>
      </c>
      <c r="G22" s="596">
        <v>3323</v>
      </c>
      <c r="H22" s="596">
        <v>3424</v>
      </c>
      <c r="I22" s="596">
        <v>3527</v>
      </c>
      <c r="J22" s="24">
        <v>3631</v>
      </c>
      <c r="K22" s="24">
        <v>3733</v>
      </c>
      <c r="L22" s="24">
        <v>3837</v>
      </c>
      <c r="M22" s="24">
        <v>3940</v>
      </c>
      <c r="N22" s="24">
        <v>4041</v>
      </c>
      <c r="O22" s="24">
        <v>4144</v>
      </c>
      <c r="P22" s="24">
        <v>4245</v>
      </c>
      <c r="Q22" s="24">
        <v>4350</v>
      </c>
      <c r="R22" s="24">
        <v>4452</v>
      </c>
      <c r="S22" s="24">
        <v>4555</v>
      </c>
      <c r="T22" s="24"/>
      <c r="U22" s="24"/>
      <c r="V22" s="24"/>
      <c r="W22" s="17">
        <f t="shared" si="6"/>
        <v>17</v>
      </c>
    </row>
    <row r="23" spans="1:23" s="13" customFormat="1">
      <c r="A23" s="16" t="s">
        <v>7</v>
      </c>
      <c r="B23" s="23"/>
      <c r="C23" s="24">
        <v>2811</v>
      </c>
      <c r="D23" s="24">
        <v>3118</v>
      </c>
      <c r="E23" s="24">
        <v>3323</v>
      </c>
      <c r="F23" s="596">
        <v>3527</v>
      </c>
      <c r="G23" s="596">
        <v>3733</v>
      </c>
      <c r="H23" s="596">
        <v>3837</v>
      </c>
      <c r="I23" s="596">
        <v>3940</v>
      </c>
      <c r="J23" s="24">
        <v>4041</v>
      </c>
      <c r="K23" s="24">
        <v>4144</v>
      </c>
      <c r="L23" s="24">
        <v>4245</v>
      </c>
      <c r="M23" s="24">
        <v>4350</v>
      </c>
      <c r="N23" s="24">
        <v>4452</v>
      </c>
      <c r="O23" s="24">
        <v>4555</v>
      </c>
      <c r="P23" s="24">
        <v>4656</v>
      </c>
      <c r="Q23" s="24">
        <v>4759</v>
      </c>
      <c r="R23" s="24">
        <v>4863</v>
      </c>
      <c r="S23" s="24"/>
      <c r="T23" s="24"/>
      <c r="U23" s="24"/>
      <c r="V23" s="24"/>
      <c r="W23" s="17">
        <f t="shared" si="6"/>
        <v>16</v>
      </c>
    </row>
    <row r="24" spans="1:23" s="13" customFormat="1">
      <c r="A24" s="16" t="s">
        <v>24</v>
      </c>
      <c r="B24" s="23"/>
      <c r="C24" s="24">
        <v>2811</v>
      </c>
      <c r="D24" s="24">
        <v>3118</v>
      </c>
      <c r="E24" s="24">
        <v>3323</v>
      </c>
      <c r="F24" s="596">
        <v>3527</v>
      </c>
      <c r="G24" s="596">
        <v>3733</v>
      </c>
      <c r="H24" s="596">
        <v>3837</v>
      </c>
      <c r="I24" s="596">
        <v>3940</v>
      </c>
      <c r="J24" s="24">
        <v>4041</v>
      </c>
      <c r="K24" s="24">
        <v>4144</v>
      </c>
      <c r="L24" s="24">
        <v>4245</v>
      </c>
      <c r="M24" s="24">
        <v>4350</v>
      </c>
      <c r="N24" s="24">
        <v>4452</v>
      </c>
      <c r="O24" s="24">
        <v>4555</v>
      </c>
      <c r="P24" s="24">
        <v>4656</v>
      </c>
      <c r="Q24" s="24">
        <v>4759</v>
      </c>
      <c r="R24" s="24">
        <v>4863</v>
      </c>
      <c r="S24" s="24">
        <v>4965</v>
      </c>
      <c r="T24" s="24">
        <v>5067</v>
      </c>
      <c r="U24" s="24"/>
      <c r="V24" s="24"/>
      <c r="W24" s="17">
        <f t="shared" si="6"/>
        <v>18</v>
      </c>
    </row>
    <row r="25" spans="1:23" s="13" customFormat="1">
      <c r="A25" s="16" t="s">
        <v>15</v>
      </c>
      <c r="B25" s="23"/>
      <c r="C25" s="24">
        <v>2854</v>
      </c>
      <c r="D25" s="24">
        <v>3067</v>
      </c>
      <c r="E25" s="24">
        <v>3285</v>
      </c>
      <c r="F25" s="596">
        <v>3494</v>
      </c>
      <c r="G25" s="596">
        <v>3725</v>
      </c>
      <c r="H25" s="596">
        <v>3837</v>
      </c>
      <c r="I25" s="596">
        <v>3944</v>
      </c>
      <c r="J25" s="24">
        <v>4053</v>
      </c>
      <c r="K25" s="24">
        <v>4157</v>
      </c>
      <c r="L25" s="24">
        <v>4269</v>
      </c>
      <c r="M25" s="24">
        <v>4377</v>
      </c>
      <c r="N25" s="24">
        <v>4482</v>
      </c>
      <c r="O25" s="24">
        <v>4590</v>
      </c>
      <c r="P25" s="24">
        <v>4726</v>
      </c>
      <c r="Q25" s="24">
        <v>4862</v>
      </c>
      <c r="R25" s="24">
        <v>4997</v>
      </c>
      <c r="S25" s="24">
        <v>5133</v>
      </c>
      <c r="T25" s="24">
        <v>5198</v>
      </c>
      <c r="U25" s="24"/>
      <c r="V25" s="24"/>
      <c r="W25" s="17">
        <f t="shared" si="6"/>
        <v>18</v>
      </c>
    </row>
    <row r="26" spans="1:23" s="13" customFormat="1">
      <c r="A26" s="16" t="s">
        <v>16</v>
      </c>
      <c r="B26" s="23"/>
      <c r="C26" s="24">
        <v>2961</v>
      </c>
      <c r="D26" s="24">
        <v>3182</v>
      </c>
      <c r="E26" s="24">
        <v>3390</v>
      </c>
      <c r="F26" s="596">
        <v>3609</v>
      </c>
      <c r="G26" s="596">
        <v>3837</v>
      </c>
      <c r="H26" s="596">
        <v>4053</v>
      </c>
      <c r="I26" s="596">
        <v>4269</v>
      </c>
      <c r="J26" s="24">
        <v>4377</v>
      </c>
      <c r="K26" s="24">
        <v>4482</v>
      </c>
      <c r="L26" s="24">
        <v>4590</v>
      </c>
      <c r="M26" s="24">
        <v>4726</v>
      </c>
      <c r="N26" s="24">
        <v>4862</v>
      </c>
      <c r="O26" s="24">
        <v>4997</v>
      </c>
      <c r="P26" s="24">
        <v>5133</v>
      </c>
      <c r="Q26" s="24">
        <v>5270</v>
      </c>
      <c r="R26" s="24">
        <v>5414</v>
      </c>
      <c r="S26" s="24">
        <v>5561</v>
      </c>
      <c r="T26" s="24">
        <v>5713</v>
      </c>
      <c r="U26" s="24"/>
      <c r="V26" s="24"/>
      <c r="W26" s="17">
        <f t="shared" si="6"/>
        <v>18</v>
      </c>
    </row>
    <row r="27" spans="1:23" s="13" customFormat="1">
      <c r="A27" s="2" t="s">
        <v>27</v>
      </c>
      <c r="B27" s="25"/>
      <c r="C27" s="32">
        <f>+C42</f>
        <v>1485.65</v>
      </c>
      <c r="D27" s="32">
        <f>+D42</f>
        <v>1485.65</v>
      </c>
      <c r="E27" s="32">
        <v>1538</v>
      </c>
      <c r="F27" s="595">
        <v>1566</v>
      </c>
      <c r="G27" s="595">
        <v>1598</v>
      </c>
      <c r="H27" s="595">
        <v>1631</v>
      </c>
      <c r="I27" s="595">
        <v>1674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17">
        <f t="shared" si="6"/>
        <v>7</v>
      </c>
    </row>
    <row r="28" spans="1:23" s="13" customFormat="1">
      <c r="A28" s="2" t="s">
        <v>32</v>
      </c>
      <c r="B28" s="25"/>
      <c r="C28" s="32">
        <f t="shared" ref="C28:C29" si="7">+C43</f>
        <v>1485.65</v>
      </c>
      <c r="D28" s="32">
        <v>1508</v>
      </c>
      <c r="E28" s="32">
        <v>1566</v>
      </c>
      <c r="F28" s="595">
        <v>1631</v>
      </c>
      <c r="G28" s="595">
        <v>1674</v>
      </c>
      <c r="H28" s="595">
        <v>1723</v>
      </c>
      <c r="I28" s="595">
        <v>1783</v>
      </c>
      <c r="J28" s="32">
        <v>1840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7">
        <f t="shared" si="6"/>
        <v>8</v>
      </c>
    </row>
    <row r="29" spans="1:23" s="13" customFormat="1">
      <c r="A29" s="2" t="s">
        <v>28</v>
      </c>
      <c r="B29" s="25"/>
      <c r="C29" s="32">
        <f t="shared" si="7"/>
        <v>1485.65</v>
      </c>
      <c r="D29" s="32">
        <v>1566</v>
      </c>
      <c r="E29" s="32">
        <v>1631</v>
      </c>
      <c r="F29" s="595">
        <v>1723</v>
      </c>
      <c r="G29" s="595">
        <v>1783</v>
      </c>
      <c r="H29" s="595">
        <v>1840</v>
      </c>
      <c r="I29" s="595">
        <v>1896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7">
        <f t="shared" si="6"/>
        <v>7</v>
      </c>
    </row>
    <row r="30" spans="1:23" s="13" customFormat="1">
      <c r="A30" s="16" t="s">
        <v>8</v>
      </c>
      <c r="B30" s="23"/>
      <c r="C30" s="24">
        <v>2290</v>
      </c>
      <c r="D30" s="24">
        <v>2336</v>
      </c>
      <c r="E30" s="24">
        <v>2387</v>
      </c>
      <c r="F30" s="596">
        <v>2438</v>
      </c>
      <c r="G30" s="596">
        <v>2489</v>
      </c>
      <c r="H30" s="596">
        <v>2548</v>
      </c>
      <c r="I30" s="596">
        <v>2610</v>
      </c>
      <c r="J30" s="24">
        <v>2677</v>
      </c>
      <c r="K30" s="24">
        <v>2752</v>
      </c>
      <c r="L30" s="24">
        <v>2829</v>
      </c>
      <c r="M30" s="24">
        <v>2914</v>
      </c>
      <c r="N30" s="24">
        <v>3003</v>
      </c>
      <c r="O30" s="24">
        <v>3099</v>
      </c>
      <c r="P30" s="24">
        <v>3198</v>
      </c>
      <c r="Q30" s="24">
        <v>3274</v>
      </c>
      <c r="R30" s="24"/>
      <c r="S30" s="24"/>
      <c r="T30" s="24"/>
      <c r="U30" s="24"/>
      <c r="V30" s="24"/>
      <c r="W30" s="17">
        <f t="shared" si="6"/>
        <v>15</v>
      </c>
    </row>
    <row r="31" spans="1:23" s="13" customFormat="1">
      <c r="A31" s="16" t="s">
        <v>9</v>
      </c>
      <c r="B31" s="23"/>
      <c r="C31" s="24">
        <v>2374</v>
      </c>
      <c r="D31" s="24">
        <v>2431</v>
      </c>
      <c r="E31" s="24">
        <v>2496</v>
      </c>
      <c r="F31" s="596">
        <v>2559</v>
      </c>
      <c r="G31" s="596">
        <v>2622</v>
      </c>
      <c r="H31" s="596">
        <v>2694</v>
      </c>
      <c r="I31" s="596">
        <v>2771</v>
      </c>
      <c r="J31" s="24">
        <v>2855</v>
      </c>
      <c r="K31" s="24">
        <v>2953</v>
      </c>
      <c r="L31" s="24">
        <v>3052</v>
      </c>
      <c r="M31" s="24">
        <v>3159</v>
      </c>
      <c r="N31" s="24">
        <v>3269</v>
      </c>
      <c r="O31" s="24">
        <v>3384</v>
      </c>
      <c r="P31" s="24">
        <v>3504</v>
      </c>
      <c r="Q31" s="24">
        <v>3597</v>
      </c>
      <c r="R31" s="24"/>
      <c r="S31" s="24"/>
      <c r="T31" s="24"/>
      <c r="U31" s="24"/>
      <c r="V31" s="24"/>
      <c r="W31" s="17">
        <f t="shared" si="6"/>
        <v>15</v>
      </c>
    </row>
    <row r="32" spans="1:23" s="13" customFormat="1">
      <c r="A32" s="16" t="s">
        <v>10</v>
      </c>
      <c r="B32" s="23"/>
      <c r="C32" s="24">
        <v>2387</v>
      </c>
      <c r="D32" s="24">
        <v>2503</v>
      </c>
      <c r="E32" s="24">
        <v>2621</v>
      </c>
      <c r="F32" s="596">
        <v>2741</v>
      </c>
      <c r="G32" s="596">
        <v>2859</v>
      </c>
      <c r="H32" s="596">
        <v>2981</v>
      </c>
      <c r="I32" s="596">
        <v>3106</v>
      </c>
      <c r="J32" s="24">
        <v>3234</v>
      </c>
      <c r="K32" s="24">
        <v>3368</v>
      </c>
      <c r="L32" s="24">
        <v>3505</v>
      </c>
      <c r="M32" s="24">
        <v>3642</v>
      </c>
      <c r="N32" s="24">
        <v>3786</v>
      </c>
      <c r="O32" s="24">
        <v>3933</v>
      </c>
      <c r="P32" s="24">
        <v>4082</v>
      </c>
      <c r="Q32" s="24">
        <v>4197</v>
      </c>
      <c r="R32" s="24"/>
      <c r="S32" s="24"/>
      <c r="T32" s="24"/>
      <c r="U32" s="24"/>
      <c r="V32" s="24"/>
      <c r="W32" s="17">
        <f t="shared" ref="W32:W57" si="8">COUNTA(C32:V32)</f>
        <v>15</v>
      </c>
    </row>
    <row r="33" spans="1:23" s="13" customFormat="1">
      <c r="A33" s="16" t="s">
        <v>18</v>
      </c>
      <c r="B33" s="23"/>
      <c r="C33" s="24">
        <v>2396</v>
      </c>
      <c r="D33" s="24">
        <v>2540</v>
      </c>
      <c r="E33" s="24">
        <v>2688</v>
      </c>
      <c r="F33" s="596">
        <v>2838</v>
      </c>
      <c r="G33" s="596">
        <v>2988</v>
      </c>
      <c r="H33" s="596">
        <v>3145</v>
      </c>
      <c r="I33" s="596">
        <v>3308</v>
      </c>
      <c r="J33" s="24">
        <v>3473</v>
      </c>
      <c r="K33" s="24">
        <v>3647</v>
      </c>
      <c r="L33" s="24">
        <v>3828</v>
      </c>
      <c r="M33" s="24">
        <v>4014</v>
      </c>
      <c r="N33" s="24">
        <v>4206</v>
      </c>
      <c r="O33" s="24">
        <v>4405</v>
      </c>
      <c r="P33" s="24">
        <v>4609</v>
      </c>
      <c r="Q33" s="24">
        <v>4775</v>
      </c>
      <c r="R33" s="24"/>
      <c r="S33" s="24"/>
      <c r="T33" s="24"/>
      <c r="U33" s="24"/>
      <c r="V33" s="24"/>
      <c r="W33" s="17">
        <f t="shared" si="8"/>
        <v>15</v>
      </c>
    </row>
    <row r="34" spans="1:23" s="13" customFormat="1">
      <c r="A34" s="16" t="s">
        <v>19</v>
      </c>
      <c r="B34" s="23"/>
      <c r="C34" s="24">
        <v>3083</v>
      </c>
      <c r="D34" s="24">
        <v>3200</v>
      </c>
      <c r="E34" s="24">
        <v>3304</v>
      </c>
      <c r="F34" s="596">
        <v>3514</v>
      </c>
      <c r="G34" s="596">
        <v>3746</v>
      </c>
      <c r="H34" s="596">
        <v>3892</v>
      </c>
      <c r="I34" s="596">
        <v>4040</v>
      </c>
      <c r="J34" s="24">
        <v>4188</v>
      </c>
      <c r="K34" s="24">
        <v>4336</v>
      </c>
      <c r="L34" s="24">
        <v>4483</v>
      </c>
      <c r="M34" s="24">
        <v>4632</v>
      </c>
      <c r="N34" s="24">
        <v>4781</v>
      </c>
      <c r="O34" s="24">
        <v>4930</v>
      </c>
      <c r="P34" s="24">
        <v>5077</v>
      </c>
      <c r="Q34" s="24">
        <v>5178</v>
      </c>
      <c r="R34" s="24"/>
      <c r="S34" s="24"/>
      <c r="T34" s="24"/>
      <c r="U34" s="24"/>
      <c r="V34" s="24"/>
      <c r="W34" s="17">
        <f t="shared" si="8"/>
        <v>15</v>
      </c>
    </row>
    <row r="35" spans="1:23" s="13" customFormat="1">
      <c r="A35" s="2" t="s">
        <v>25</v>
      </c>
      <c r="B35" s="25"/>
      <c r="C35" s="32">
        <v>1145</v>
      </c>
      <c r="D35" s="26"/>
      <c r="E35" s="26"/>
      <c r="F35" s="597"/>
      <c r="G35" s="597"/>
      <c r="H35" s="597"/>
      <c r="I35" s="597"/>
      <c r="J35" s="26"/>
      <c r="K35" s="26"/>
      <c r="L35" s="26"/>
      <c r="M35" s="26"/>
      <c r="N35" s="26"/>
      <c r="O35" s="26"/>
      <c r="P35" s="26"/>
      <c r="Q35" s="26"/>
      <c r="R35" s="24"/>
      <c r="S35" s="26"/>
      <c r="T35" s="26"/>
      <c r="U35" s="26"/>
      <c r="V35" s="26"/>
      <c r="W35" s="17">
        <f t="shared" si="8"/>
        <v>1</v>
      </c>
    </row>
    <row r="36" spans="1:23" s="13" customFormat="1">
      <c r="A36" s="2" t="s">
        <v>26</v>
      </c>
      <c r="B36" s="25"/>
      <c r="C36" s="32">
        <v>1187</v>
      </c>
      <c r="D36" s="26"/>
      <c r="E36" s="26"/>
      <c r="F36" s="597"/>
      <c r="G36" s="597"/>
      <c r="H36" s="597"/>
      <c r="I36" s="597"/>
      <c r="J36" s="26"/>
      <c r="K36" s="26"/>
      <c r="L36" s="26"/>
      <c r="M36" s="26"/>
      <c r="N36" s="26"/>
      <c r="O36" s="26"/>
      <c r="P36" s="26"/>
      <c r="Q36" s="26"/>
      <c r="R36" s="24"/>
      <c r="S36" s="26"/>
      <c r="T36" s="26"/>
      <c r="U36" s="26"/>
      <c r="V36" s="26"/>
      <c r="W36" s="17">
        <f t="shared" si="8"/>
        <v>1</v>
      </c>
    </row>
    <row r="37" spans="1:23" s="13" customFormat="1">
      <c r="A37" s="11" t="s">
        <v>87</v>
      </c>
      <c r="B37" s="27"/>
      <c r="C37" s="24">
        <v>2605</v>
      </c>
      <c r="D37" s="24">
        <v>2707</v>
      </c>
      <c r="E37" s="24">
        <v>2811</v>
      </c>
      <c r="F37" s="596">
        <v>2912</v>
      </c>
      <c r="G37" s="596">
        <v>3014</v>
      </c>
      <c r="H37" s="596">
        <v>3118</v>
      </c>
      <c r="I37" s="596">
        <v>3220</v>
      </c>
      <c r="J37" s="24">
        <v>3323</v>
      </c>
      <c r="K37" s="24">
        <v>3424</v>
      </c>
      <c r="L37" s="24">
        <v>3527</v>
      </c>
      <c r="M37" s="24">
        <v>3631</v>
      </c>
      <c r="N37" s="24"/>
      <c r="O37" s="24"/>
      <c r="P37" s="24"/>
      <c r="Q37" s="24"/>
      <c r="R37" s="24"/>
      <c r="S37" s="24"/>
      <c r="T37" s="24"/>
      <c r="U37" s="24"/>
      <c r="V37" s="24"/>
      <c r="W37" s="17">
        <f t="shared" si="8"/>
        <v>11</v>
      </c>
    </row>
    <row r="38" spans="1:23" s="13" customFormat="1">
      <c r="A38" s="11" t="s">
        <v>83</v>
      </c>
      <c r="B38" s="27"/>
      <c r="C38" s="24">
        <v>2707</v>
      </c>
      <c r="D38" s="24">
        <v>2912</v>
      </c>
      <c r="E38" s="24">
        <v>3118</v>
      </c>
      <c r="F38" s="596">
        <v>3220</v>
      </c>
      <c r="G38" s="596">
        <v>3323</v>
      </c>
      <c r="H38" s="596">
        <v>3424</v>
      </c>
      <c r="I38" s="596">
        <v>3527</v>
      </c>
      <c r="J38" s="24">
        <v>3631</v>
      </c>
      <c r="K38" s="24">
        <v>3733</v>
      </c>
      <c r="L38" s="24">
        <v>3837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7">
        <f t="shared" si="8"/>
        <v>10</v>
      </c>
    </row>
    <row r="39" spans="1:23" s="13" customFormat="1">
      <c r="A39" s="11" t="s">
        <v>84</v>
      </c>
      <c r="B39" s="27"/>
      <c r="C39" s="24">
        <v>2707</v>
      </c>
      <c r="D39" s="24">
        <v>2912</v>
      </c>
      <c r="E39" s="24">
        <v>3118</v>
      </c>
      <c r="F39" s="596">
        <v>3220</v>
      </c>
      <c r="G39" s="596">
        <v>3323</v>
      </c>
      <c r="H39" s="596">
        <v>3424</v>
      </c>
      <c r="I39" s="596">
        <v>3527</v>
      </c>
      <c r="J39" s="24">
        <v>3631</v>
      </c>
      <c r="K39" s="24">
        <v>3733</v>
      </c>
      <c r="L39" s="24">
        <v>3837</v>
      </c>
      <c r="M39" s="24">
        <v>3940</v>
      </c>
      <c r="N39" s="24"/>
      <c r="O39" s="24"/>
      <c r="P39" s="24"/>
      <c r="Q39" s="24"/>
      <c r="R39" s="24"/>
      <c r="S39" s="24"/>
      <c r="T39" s="24"/>
      <c r="U39" s="24"/>
      <c r="V39" s="24"/>
      <c r="W39" s="17">
        <f t="shared" si="8"/>
        <v>11</v>
      </c>
    </row>
    <row r="40" spans="1:23" s="13" customFormat="1">
      <c r="A40" s="11" t="s">
        <v>86</v>
      </c>
      <c r="B40" s="27"/>
      <c r="C40" s="24">
        <v>2811</v>
      </c>
      <c r="D40" s="24">
        <v>3118</v>
      </c>
      <c r="E40" s="24">
        <v>3323</v>
      </c>
      <c r="F40" s="596">
        <v>3527</v>
      </c>
      <c r="G40" s="596">
        <v>3733</v>
      </c>
      <c r="H40" s="596">
        <v>3837</v>
      </c>
      <c r="I40" s="596">
        <v>3940</v>
      </c>
      <c r="J40" s="24">
        <v>4041</v>
      </c>
      <c r="K40" s="24">
        <v>4144</v>
      </c>
      <c r="L40" s="24">
        <v>4245</v>
      </c>
      <c r="M40" s="24">
        <v>4350</v>
      </c>
      <c r="N40" s="24">
        <v>4452</v>
      </c>
      <c r="O40" s="24">
        <v>4555</v>
      </c>
      <c r="P40" s="24"/>
      <c r="Q40" s="24"/>
      <c r="R40" s="24"/>
      <c r="S40" s="24"/>
      <c r="T40" s="24"/>
      <c r="U40" s="24"/>
      <c r="V40" s="24"/>
      <c r="W40" s="17">
        <f t="shared" si="8"/>
        <v>13</v>
      </c>
    </row>
    <row r="41" spans="1:23" s="13" customFormat="1">
      <c r="A41" s="11" t="s">
        <v>85</v>
      </c>
      <c r="B41" s="27"/>
      <c r="C41" s="24">
        <v>2811</v>
      </c>
      <c r="D41" s="24">
        <v>3118</v>
      </c>
      <c r="E41" s="24">
        <v>3323</v>
      </c>
      <c r="F41" s="596">
        <v>3527</v>
      </c>
      <c r="G41" s="596">
        <v>3733</v>
      </c>
      <c r="H41" s="596">
        <v>3837</v>
      </c>
      <c r="I41" s="596">
        <v>3940</v>
      </c>
      <c r="J41" s="24">
        <v>4041</v>
      </c>
      <c r="K41" s="24">
        <v>4144</v>
      </c>
      <c r="L41" s="24">
        <v>4245</v>
      </c>
      <c r="M41" s="24">
        <v>4350</v>
      </c>
      <c r="N41" s="24">
        <v>4452</v>
      </c>
      <c r="O41" s="24">
        <v>4555</v>
      </c>
      <c r="P41" s="24">
        <v>4656</v>
      </c>
      <c r="Q41" s="24">
        <v>4759</v>
      </c>
      <c r="R41" s="24"/>
      <c r="S41" s="24"/>
      <c r="T41" s="24"/>
      <c r="U41" s="24"/>
      <c r="V41" s="24"/>
      <c r="W41" s="17">
        <f t="shared" si="8"/>
        <v>15</v>
      </c>
    </row>
    <row r="42" spans="1:23" s="13" customFormat="1">
      <c r="A42" s="2">
        <v>1</v>
      </c>
      <c r="B42" s="25"/>
      <c r="C42" s="24">
        <v>1485.65</v>
      </c>
      <c r="D42" s="24">
        <v>1485.65</v>
      </c>
      <c r="E42" s="24">
        <v>1538</v>
      </c>
      <c r="F42" s="596">
        <v>1566</v>
      </c>
      <c r="G42" s="596">
        <v>1598</v>
      </c>
      <c r="H42" s="596">
        <v>1631</v>
      </c>
      <c r="I42" s="596">
        <v>1674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17">
        <f t="shared" si="8"/>
        <v>7</v>
      </c>
    </row>
    <row r="43" spans="1:23" s="13" customFormat="1">
      <c r="A43" s="2">
        <v>2</v>
      </c>
      <c r="B43" s="25"/>
      <c r="C43" s="24">
        <v>1485.65</v>
      </c>
      <c r="D43" s="24">
        <v>1508</v>
      </c>
      <c r="E43" s="24">
        <v>1566</v>
      </c>
      <c r="F43" s="596">
        <v>1631</v>
      </c>
      <c r="G43" s="596">
        <v>1674</v>
      </c>
      <c r="H43" s="596">
        <v>1723</v>
      </c>
      <c r="I43" s="596">
        <v>1783</v>
      </c>
      <c r="J43" s="24">
        <v>1840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17">
        <f t="shared" si="8"/>
        <v>8</v>
      </c>
    </row>
    <row r="44" spans="1:23" s="13" customFormat="1">
      <c r="A44" s="2">
        <v>3</v>
      </c>
      <c r="B44" s="25"/>
      <c r="C44" s="24">
        <v>1485.65</v>
      </c>
      <c r="D44" s="24">
        <v>1566</v>
      </c>
      <c r="E44" s="24">
        <v>1631</v>
      </c>
      <c r="F44" s="596">
        <v>1723</v>
      </c>
      <c r="G44" s="596">
        <v>1783</v>
      </c>
      <c r="H44" s="596">
        <v>1840</v>
      </c>
      <c r="I44" s="596">
        <v>1896</v>
      </c>
      <c r="J44" s="24">
        <v>1950</v>
      </c>
      <c r="K44" s="24">
        <v>2004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7">
        <f t="shared" si="8"/>
        <v>9</v>
      </c>
    </row>
    <row r="45" spans="1:23" s="13" customFormat="1">
      <c r="A45" s="2">
        <v>4</v>
      </c>
      <c r="B45" s="25"/>
      <c r="C45" s="24">
        <v>1485.65</v>
      </c>
      <c r="D45" s="24">
        <v>1538</v>
      </c>
      <c r="E45" s="24">
        <v>1598</v>
      </c>
      <c r="F45" s="596">
        <v>1674</v>
      </c>
      <c r="G45" s="596">
        <v>1783</v>
      </c>
      <c r="H45" s="596">
        <v>1840</v>
      </c>
      <c r="I45" s="596">
        <v>1896</v>
      </c>
      <c r="J45" s="24">
        <v>1950</v>
      </c>
      <c r="K45" s="24">
        <v>2004</v>
      </c>
      <c r="L45" s="24">
        <v>2056</v>
      </c>
      <c r="M45" s="24">
        <v>2108</v>
      </c>
      <c r="N45" s="24"/>
      <c r="O45" s="24"/>
      <c r="P45" s="24"/>
      <c r="Q45" s="24"/>
      <c r="R45" s="24"/>
      <c r="S45" s="24"/>
      <c r="T45" s="24"/>
      <c r="U45" s="24"/>
      <c r="V45" s="24"/>
      <c r="W45" s="17">
        <f t="shared" si="8"/>
        <v>11</v>
      </c>
    </row>
    <row r="46" spans="1:23" s="13" customFormat="1">
      <c r="A46" s="2">
        <v>5</v>
      </c>
      <c r="B46" s="25"/>
      <c r="C46" s="24">
        <v>1508</v>
      </c>
      <c r="D46" s="24">
        <v>1538</v>
      </c>
      <c r="E46" s="24">
        <v>1631</v>
      </c>
      <c r="F46" s="596">
        <v>1723</v>
      </c>
      <c r="G46" s="596">
        <v>1840</v>
      </c>
      <c r="H46" s="596">
        <v>1896</v>
      </c>
      <c r="I46" s="596">
        <v>1950</v>
      </c>
      <c r="J46" s="24">
        <v>2004</v>
      </c>
      <c r="K46" s="24">
        <v>2056</v>
      </c>
      <c r="L46" s="24">
        <v>2108</v>
      </c>
      <c r="M46" s="24">
        <v>2158</v>
      </c>
      <c r="N46" s="24">
        <v>2216</v>
      </c>
      <c r="O46" s="24"/>
      <c r="P46" s="24"/>
      <c r="Q46" s="24"/>
      <c r="R46" s="24"/>
      <c r="S46" s="24"/>
      <c r="T46" s="24"/>
      <c r="U46" s="24"/>
      <c r="V46" s="24"/>
      <c r="W46" s="17">
        <f t="shared" si="8"/>
        <v>12</v>
      </c>
    </row>
    <row r="47" spans="1:23" s="13" customFormat="1">
      <c r="A47" s="2">
        <v>6</v>
      </c>
      <c r="B47" s="25"/>
      <c r="C47" s="24">
        <v>1566</v>
      </c>
      <c r="D47" s="24">
        <v>1631</v>
      </c>
      <c r="E47" s="24">
        <v>1840</v>
      </c>
      <c r="F47" s="596">
        <v>1950</v>
      </c>
      <c r="G47" s="596">
        <v>2004</v>
      </c>
      <c r="H47" s="596">
        <v>2056</v>
      </c>
      <c r="I47" s="596">
        <v>2108</v>
      </c>
      <c r="J47" s="24">
        <v>2158</v>
      </c>
      <c r="K47" s="24">
        <v>2216</v>
      </c>
      <c r="L47" s="24">
        <v>2270</v>
      </c>
      <c r="M47" s="24">
        <v>2322</v>
      </c>
      <c r="N47" s="24"/>
      <c r="O47" s="24"/>
      <c r="P47" s="24"/>
      <c r="Q47" s="24"/>
      <c r="R47" s="24"/>
      <c r="S47" s="24"/>
      <c r="T47" s="24"/>
      <c r="U47" s="24"/>
      <c r="V47" s="24"/>
      <c r="W47" s="17">
        <f t="shared" si="8"/>
        <v>11</v>
      </c>
    </row>
    <row r="48" spans="1:23" s="13" customFormat="1">
      <c r="A48" s="2">
        <v>7</v>
      </c>
      <c r="B48" s="25"/>
      <c r="C48" s="24">
        <v>1674</v>
      </c>
      <c r="D48" s="24">
        <v>1723</v>
      </c>
      <c r="E48" s="24">
        <v>1840</v>
      </c>
      <c r="F48" s="596">
        <v>2056</v>
      </c>
      <c r="G48" s="596">
        <v>2158</v>
      </c>
      <c r="H48" s="596">
        <v>2216</v>
      </c>
      <c r="I48" s="596">
        <v>2270</v>
      </c>
      <c r="J48" s="24">
        <v>2322</v>
      </c>
      <c r="K48" s="24">
        <v>2376</v>
      </c>
      <c r="L48" s="24">
        <v>2434</v>
      </c>
      <c r="M48" s="24">
        <v>2494</v>
      </c>
      <c r="N48" s="24">
        <v>2560</v>
      </c>
      <c r="O48" s="24"/>
      <c r="P48" s="24"/>
      <c r="Q48" s="24"/>
      <c r="R48" s="24"/>
      <c r="S48" s="24"/>
      <c r="T48" s="24"/>
      <c r="U48" s="24"/>
      <c r="V48" s="24"/>
      <c r="W48" s="17">
        <f t="shared" si="8"/>
        <v>12</v>
      </c>
    </row>
    <row r="49" spans="1:40" s="13" customFormat="1">
      <c r="A49" s="2">
        <v>8</v>
      </c>
      <c r="B49" s="25"/>
      <c r="C49" s="24">
        <v>1896</v>
      </c>
      <c r="D49" s="24">
        <v>1950</v>
      </c>
      <c r="E49" s="24">
        <v>2056</v>
      </c>
      <c r="F49" s="596">
        <v>2270</v>
      </c>
      <c r="G49" s="596">
        <v>2376</v>
      </c>
      <c r="H49" s="596">
        <v>2494</v>
      </c>
      <c r="I49" s="596">
        <v>2560</v>
      </c>
      <c r="J49" s="24">
        <v>2621</v>
      </c>
      <c r="K49" s="24">
        <v>2675</v>
      </c>
      <c r="L49" s="24">
        <v>2733</v>
      </c>
      <c r="M49" s="24">
        <v>2791</v>
      </c>
      <c r="N49" s="24">
        <v>2845</v>
      </c>
      <c r="O49" s="24">
        <v>2896</v>
      </c>
      <c r="P49" s="24"/>
      <c r="Q49" s="24"/>
      <c r="R49" s="24"/>
      <c r="S49" s="24"/>
      <c r="T49" s="24"/>
      <c r="U49" s="24"/>
      <c r="V49" s="24"/>
      <c r="W49" s="17">
        <f t="shared" si="8"/>
        <v>13</v>
      </c>
    </row>
    <row r="50" spans="1:40" s="13" customFormat="1">
      <c r="A50" s="2">
        <v>9</v>
      </c>
      <c r="B50" s="25"/>
      <c r="C50" s="24">
        <f>2158+22</f>
        <v>2180</v>
      </c>
      <c r="D50" s="24">
        <f>2270+22</f>
        <v>2292</v>
      </c>
      <c r="E50" s="24">
        <f>2494+24</f>
        <v>2518</v>
      </c>
      <c r="F50" s="596">
        <f>2621+26</f>
        <v>2647</v>
      </c>
      <c r="G50" s="596">
        <f>2733+26</f>
        <v>2759</v>
      </c>
      <c r="H50" s="596">
        <f>2845+28</f>
        <v>2873</v>
      </c>
      <c r="I50" s="596">
        <f>2952+28</f>
        <v>2980</v>
      </c>
      <c r="J50" s="24">
        <f>3057+30</f>
        <v>3087</v>
      </c>
      <c r="K50" s="24">
        <f>3172+32</f>
        <v>3204</v>
      </c>
      <c r="L50" s="24">
        <f>3274+32</f>
        <v>3306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7">
        <f t="shared" si="8"/>
        <v>10</v>
      </c>
    </row>
    <row r="51" spans="1:40" s="13" customFormat="1">
      <c r="A51" s="2">
        <v>10</v>
      </c>
      <c r="B51" s="25"/>
      <c r="C51" s="24">
        <f>2158+22</f>
        <v>2180</v>
      </c>
      <c r="D51" s="24">
        <f>2376+24</f>
        <v>2400</v>
      </c>
      <c r="E51" s="24">
        <f>2494+24</f>
        <v>2518</v>
      </c>
      <c r="F51" s="596">
        <f>2621+26</f>
        <v>2647</v>
      </c>
      <c r="G51" s="596">
        <f>2733+26</f>
        <v>2759</v>
      </c>
      <c r="H51" s="596">
        <f>2845+28</f>
        <v>2873</v>
      </c>
      <c r="I51" s="596">
        <f>2952+28</f>
        <v>2980</v>
      </c>
      <c r="J51" s="24">
        <f>3057+30</f>
        <v>3087</v>
      </c>
      <c r="K51" s="24">
        <f>3172+32</f>
        <v>3204</v>
      </c>
      <c r="L51" s="24">
        <f>3274+32</f>
        <v>3306</v>
      </c>
      <c r="M51" s="24">
        <f>3379+34</f>
        <v>3413</v>
      </c>
      <c r="N51" s="24">
        <f>3482+34</f>
        <v>3516</v>
      </c>
      <c r="O51" s="24">
        <f>3597+36</f>
        <v>3633</v>
      </c>
      <c r="P51" s="24"/>
      <c r="Q51" s="24"/>
      <c r="R51" s="24"/>
      <c r="S51" s="24"/>
      <c r="T51" s="24"/>
      <c r="U51" s="24"/>
      <c r="V51" s="24"/>
      <c r="W51" s="17">
        <f t="shared" si="8"/>
        <v>13</v>
      </c>
    </row>
    <row r="52" spans="1:40" s="13" customFormat="1">
      <c r="A52" s="2">
        <v>11</v>
      </c>
      <c r="B52" s="25"/>
      <c r="C52" s="24">
        <f>2270+22</f>
        <v>2292</v>
      </c>
      <c r="D52" s="24">
        <f>2376+24</f>
        <v>2400</v>
      </c>
      <c r="E52" s="24">
        <f>2494+24</f>
        <v>2518</v>
      </c>
      <c r="F52" s="596">
        <f>2621+26</f>
        <v>2647</v>
      </c>
      <c r="G52" s="596">
        <f>2733+26</f>
        <v>2759</v>
      </c>
      <c r="H52" s="596">
        <f>2845+28</f>
        <v>2873</v>
      </c>
      <c r="I52" s="596">
        <f>2952+28</f>
        <v>2980</v>
      </c>
      <c r="J52" s="24">
        <f>3172+32</f>
        <v>3204</v>
      </c>
      <c r="K52" s="24">
        <f>3274+32</f>
        <v>3306</v>
      </c>
      <c r="L52" s="24">
        <f>3379+34</f>
        <v>3413</v>
      </c>
      <c r="M52" s="24">
        <f>3482+34</f>
        <v>3516</v>
      </c>
      <c r="N52" s="24">
        <f>3597+36</f>
        <v>3633</v>
      </c>
      <c r="O52" s="24">
        <f>3712+36</f>
        <v>3748</v>
      </c>
      <c r="P52" s="24">
        <f>3823+38</f>
        <v>3861</v>
      </c>
      <c r="Q52" s="24">
        <f>3930+38</f>
        <v>3968</v>
      </c>
      <c r="R52" s="24">
        <f>4038+40</f>
        <v>4078</v>
      </c>
      <c r="S52" s="24">
        <f>4142+40</f>
        <v>4182</v>
      </c>
      <c r="T52" s="24">
        <f>4197+42</f>
        <v>4239</v>
      </c>
      <c r="U52" s="24"/>
      <c r="V52" s="24"/>
      <c r="W52" s="17">
        <f t="shared" si="8"/>
        <v>18</v>
      </c>
    </row>
    <row r="53" spans="1:40" s="13" customFormat="1">
      <c r="A53" s="2">
        <v>12</v>
      </c>
      <c r="B53" s="25"/>
      <c r="C53" s="24">
        <f>3057+30</f>
        <v>3087</v>
      </c>
      <c r="D53" s="24">
        <f>3172+32</f>
        <v>3204</v>
      </c>
      <c r="E53" s="24">
        <f>3274+32</f>
        <v>3306</v>
      </c>
      <c r="F53" s="596">
        <f>3379+34</f>
        <v>3413</v>
      </c>
      <c r="G53" s="596">
        <f>3482+34</f>
        <v>3516</v>
      </c>
      <c r="H53" s="596">
        <f>3597+36</f>
        <v>3633</v>
      </c>
      <c r="I53" s="596">
        <f>3823+38</f>
        <v>3861</v>
      </c>
      <c r="J53" s="24">
        <f>3930+38</f>
        <v>3968</v>
      </c>
      <c r="K53" s="24">
        <f>4038+40</f>
        <v>4078</v>
      </c>
      <c r="L53" s="24">
        <f>4142+40</f>
        <v>4182</v>
      </c>
      <c r="M53" s="24">
        <f>4253+42</f>
        <v>4295</v>
      </c>
      <c r="N53" s="24">
        <f>4361+44</f>
        <v>4405</v>
      </c>
      <c r="O53" s="24">
        <f>4465+44</f>
        <v>4509</v>
      </c>
      <c r="P53" s="24">
        <f>4573+46</f>
        <v>4619</v>
      </c>
      <c r="Q53" s="24">
        <f>4708+46</f>
        <v>4754</v>
      </c>
      <c r="R53" s="24">
        <f>4775+48</f>
        <v>4823</v>
      </c>
      <c r="S53" s="24"/>
      <c r="T53" s="24"/>
      <c r="U53" s="24"/>
      <c r="V53" s="24"/>
      <c r="W53" s="17">
        <f t="shared" si="8"/>
        <v>16</v>
      </c>
    </row>
    <row r="54" spans="1:40" s="13" customFormat="1">
      <c r="A54" s="2">
        <v>13</v>
      </c>
      <c r="B54" s="25"/>
      <c r="C54" s="24">
        <f>3712+36</f>
        <v>3748</v>
      </c>
      <c r="D54" s="24">
        <f>3823+38</f>
        <v>3861</v>
      </c>
      <c r="E54" s="24">
        <f>3930+38</f>
        <v>3968</v>
      </c>
      <c r="F54" s="596">
        <f>4038+40</f>
        <v>4078</v>
      </c>
      <c r="G54" s="596">
        <f>4142+40</f>
        <v>4182</v>
      </c>
      <c r="H54" s="596">
        <f>4361+44</f>
        <v>4405</v>
      </c>
      <c r="I54" s="596">
        <f>4465+44</f>
        <v>4509</v>
      </c>
      <c r="J54" s="24">
        <f>4573+46</f>
        <v>4619</v>
      </c>
      <c r="K54" s="24">
        <f>4708+46</f>
        <v>4754</v>
      </c>
      <c r="L54" s="24">
        <f>4843+48</f>
        <v>4891</v>
      </c>
      <c r="M54" s="24">
        <f>4978+50</f>
        <v>5028</v>
      </c>
      <c r="N54" s="24">
        <f>5113+50</f>
        <v>5163</v>
      </c>
      <c r="O54" s="24">
        <f>5178+52</f>
        <v>5230</v>
      </c>
      <c r="P54" s="24"/>
      <c r="Q54" s="24"/>
      <c r="R54" s="24"/>
      <c r="S54" s="24"/>
      <c r="T54" s="24"/>
      <c r="U54" s="24"/>
      <c r="V54" s="24"/>
      <c r="W54" s="17">
        <f t="shared" si="8"/>
        <v>13</v>
      </c>
    </row>
    <row r="55" spans="1:40" s="13" customFormat="1">
      <c r="A55" s="2">
        <v>14</v>
      </c>
      <c r="B55" s="25"/>
      <c r="C55" s="24">
        <f>4253+42</f>
        <v>4295</v>
      </c>
      <c r="D55" s="24">
        <f>4361+44</f>
        <v>4405</v>
      </c>
      <c r="E55" s="24">
        <f>4573+46</f>
        <v>4619</v>
      </c>
      <c r="F55" s="596">
        <f>4708+46</f>
        <v>4754</v>
      </c>
      <c r="G55" s="596">
        <f>4843+48</f>
        <v>4891</v>
      </c>
      <c r="H55" s="596">
        <f>4978+50</f>
        <v>5028</v>
      </c>
      <c r="I55" s="596">
        <f>5113+50</f>
        <v>5163</v>
      </c>
      <c r="J55" s="24">
        <f>5249+52</f>
        <v>5301</v>
      </c>
      <c r="K55" s="24">
        <f>5393+54</f>
        <v>5447</v>
      </c>
      <c r="L55" s="24">
        <f>5539+54</f>
        <v>5593</v>
      </c>
      <c r="M55" s="24">
        <f>5690+56</f>
        <v>5746</v>
      </c>
      <c r="N55" s="24"/>
      <c r="O55" s="24"/>
      <c r="P55" s="24"/>
      <c r="Q55" s="24"/>
      <c r="R55" s="24"/>
      <c r="S55" s="24"/>
      <c r="T55" s="24"/>
      <c r="U55" s="24"/>
      <c r="V55" s="24"/>
      <c r="W55" s="17">
        <f t="shared" si="8"/>
        <v>11</v>
      </c>
    </row>
    <row r="56" spans="1:40" ht="12.75" customHeight="1">
      <c r="A56" s="2">
        <v>15</v>
      </c>
      <c r="C56" s="594">
        <v>4509</v>
      </c>
      <c r="D56" s="594">
        <v>4619</v>
      </c>
      <c r="E56" s="594">
        <v>4754</v>
      </c>
      <c r="F56" s="598">
        <v>5028</v>
      </c>
      <c r="G56" s="598">
        <v>5163</v>
      </c>
      <c r="H56" s="598">
        <v>5301</v>
      </c>
      <c r="I56" s="598">
        <v>5447</v>
      </c>
      <c r="J56" s="594">
        <v>5593</v>
      </c>
      <c r="K56" s="594">
        <v>5746</v>
      </c>
      <c r="L56" s="594">
        <v>5928</v>
      </c>
      <c r="M56" s="594">
        <v>6119</v>
      </c>
      <c r="N56" s="594">
        <v>6314</v>
      </c>
      <c r="O56" s="594"/>
      <c r="P56" s="594"/>
      <c r="Q56" s="594"/>
      <c r="R56" s="594"/>
      <c r="S56" s="594"/>
      <c r="T56" s="594"/>
      <c r="U56" s="594"/>
      <c r="V56" s="594"/>
      <c r="W56" s="17">
        <f t="shared" si="8"/>
        <v>12</v>
      </c>
      <c r="X56" s="17"/>
      <c r="Y56" s="17"/>
      <c r="Z56" s="17"/>
      <c r="AA56" s="17"/>
      <c r="AB56" s="17"/>
      <c r="AC56" s="17"/>
      <c r="AD56" s="28"/>
      <c r="AE56" s="17"/>
      <c r="AF56" s="29"/>
      <c r="AH56" s="16"/>
    </row>
    <row r="57" spans="1:40" ht="12.75" customHeight="1">
      <c r="A57" s="2">
        <v>16</v>
      </c>
      <c r="C57" s="594">
        <v>4891</v>
      </c>
      <c r="D57" s="594">
        <v>5028</v>
      </c>
      <c r="E57" s="594">
        <v>5163</v>
      </c>
      <c r="F57" s="598">
        <v>5447</v>
      </c>
      <c r="G57" s="598">
        <v>5593</v>
      </c>
      <c r="H57" s="598">
        <v>5746</v>
      </c>
      <c r="I57" s="598">
        <v>5928</v>
      </c>
      <c r="J57" s="594">
        <v>6119</v>
      </c>
      <c r="K57" s="594">
        <v>6314</v>
      </c>
      <c r="L57" s="594">
        <v>6516</v>
      </c>
      <c r="M57" s="594">
        <v>6721</v>
      </c>
      <c r="N57" s="594">
        <v>6936</v>
      </c>
      <c r="O57" s="594"/>
      <c r="P57" s="594"/>
      <c r="Q57" s="594"/>
      <c r="R57" s="594"/>
      <c r="S57" s="594"/>
      <c r="T57" s="594"/>
      <c r="U57" s="594"/>
      <c r="V57" s="594"/>
      <c r="W57" s="17">
        <f t="shared" si="8"/>
        <v>12</v>
      </c>
      <c r="AM57" s="10"/>
      <c r="AN57" s="10"/>
    </row>
    <row r="58" spans="1:40" ht="12.75" customHeight="1">
      <c r="AM58" s="10"/>
      <c r="AN58" s="10"/>
    </row>
    <row r="59" spans="1:40" ht="12.75" customHeight="1">
      <c r="AM59" s="10"/>
      <c r="AN59" s="10"/>
    </row>
    <row r="60" spans="1:40" ht="12.75" customHeight="1">
      <c r="A60" s="615"/>
      <c r="B60" s="616"/>
      <c r="C60" s="615"/>
      <c r="D60" s="615"/>
      <c r="E60" s="11" t="s">
        <v>361</v>
      </c>
      <c r="F60" s="615"/>
      <c r="G60" s="11" t="s">
        <v>356</v>
      </c>
      <c r="H60" s="11">
        <v>2013</v>
      </c>
      <c r="I60" s="11">
        <v>2014</v>
      </c>
      <c r="J60" s="617"/>
      <c r="K60" s="618"/>
    </row>
    <row r="61" spans="1:40" ht="12.75" customHeight="1">
      <c r="A61" s="11" t="s">
        <v>357</v>
      </c>
      <c r="B61" s="616"/>
      <c r="C61" s="615"/>
      <c r="D61" s="619">
        <v>183.9</v>
      </c>
      <c r="E61" s="621">
        <f>+ken!F15+ken!F18+ken!F26+ken!F27</f>
        <v>0</v>
      </c>
      <c r="F61" s="615"/>
      <c r="G61" s="11" t="s">
        <v>358</v>
      </c>
      <c r="H61" s="619">
        <f>+E61*D61</f>
        <v>0</v>
      </c>
      <c r="I61" s="619">
        <v>0</v>
      </c>
      <c r="J61" s="620"/>
      <c r="K61" s="618"/>
    </row>
    <row r="62" spans="1:40" ht="12.75" customHeight="1">
      <c r="A62" s="11" t="s">
        <v>359</v>
      </c>
      <c r="B62" s="616"/>
      <c r="C62" s="615"/>
      <c r="D62" s="619">
        <v>52.85</v>
      </c>
      <c r="E62" s="621">
        <f>+ken!F15+ken!F18+ken!F26+ken!F27</f>
        <v>0</v>
      </c>
      <c r="F62" s="615"/>
      <c r="G62" s="11" t="s">
        <v>360</v>
      </c>
      <c r="H62" s="619">
        <f>+E62*D62*5/12</f>
        <v>0</v>
      </c>
      <c r="I62" s="619">
        <f>+E62*D62*7/12</f>
        <v>0</v>
      </c>
      <c r="J62" s="620" t="s">
        <v>362</v>
      </c>
      <c r="K62" s="618"/>
    </row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36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workbookViewId="0">
      <selection activeCell="B2" sqref="B2"/>
    </sheetView>
  </sheetViews>
  <sheetFormatPr defaultColWidth="9.140625" defaultRowHeight="12.75"/>
  <cols>
    <col min="1" max="3" width="2.7109375" style="33" customWidth="1"/>
    <col min="4" max="4" width="45.7109375" style="33" customWidth="1"/>
    <col min="5" max="5" width="2.7109375" style="33" customWidth="1"/>
    <col min="6" max="8" width="14.85546875" style="33" customWidth="1"/>
    <col min="9" max="9" width="14.85546875" style="41" customWidth="1"/>
    <col min="10" max="15" width="14.85546875" style="33" customWidth="1"/>
    <col min="16" max="17" width="2.7109375" style="33" customWidth="1"/>
    <col min="18" max="16384" width="9.140625" style="33"/>
  </cols>
  <sheetData>
    <row r="1" spans="2:17" ht="12.75" customHeight="1"/>
    <row r="2" spans="2:17">
      <c r="B2" s="43"/>
      <c r="C2" s="44"/>
      <c r="D2" s="44"/>
      <c r="E2" s="44"/>
      <c r="F2" s="44"/>
      <c r="G2" s="44"/>
      <c r="H2" s="44"/>
      <c r="I2" s="178"/>
      <c r="J2" s="44"/>
      <c r="K2" s="44"/>
      <c r="L2" s="44"/>
      <c r="M2" s="44"/>
      <c r="N2" s="44"/>
      <c r="O2" s="44"/>
      <c r="P2" s="44"/>
      <c r="Q2" s="47"/>
    </row>
    <row r="3" spans="2:17">
      <c r="B3" s="48"/>
      <c r="C3" s="49"/>
      <c r="D3" s="49"/>
      <c r="E3" s="49"/>
      <c r="F3" s="49"/>
      <c r="G3" s="49"/>
      <c r="H3" s="49"/>
      <c r="I3" s="67"/>
      <c r="J3" s="49"/>
      <c r="K3" s="49"/>
      <c r="L3" s="49"/>
      <c r="M3" s="49"/>
      <c r="N3" s="49"/>
      <c r="O3" s="49"/>
      <c r="P3" s="49"/>
      <c r="Q3" s="50"/>
    </row>
    <row r="4" spans="2:17" s="101" customFormat="1" ht="18.75">
      <c r="B4" s="157"/>
      <c r="C4" s="158" t="s">
        <v>188</v>
      </c>
      <c r="D4" s="159"/>
      <c r="E4" s="381"/>
      <c r="F4" s="381"/>
      <c r="G4" s="381"/>
      <c r="H4" s="52"/>
      <c r="I4" s="52"/>
      <c r="J4" s="52"/>
      <c r="K4" s="381"/>
      <c r="L4" s="381"/>
      <c r="M4" s="381"/>
      <c r="N4" s="381"/>
      <c r="O4" s="381"/>
      <c r="P4" s="381"/>
      <c r="Q4" s="382"/>
    </row>
    <row r="5" spans="2:17" s="110" customFormat="1" ht="18" customHeight="1">
      <c r="B5" s="383"/>
      <c r="C5" s="384"/>
      <c r="D5" s="58"/>
      <c r="E5" s="385"/>
      <c r="F5" s="385"/>
      <c r="G5" s="385"/>
      <c r="H5" s="49"/>
      <c r="I5" s="49"/>
      <c r="J5" s="49"/>
      <c r="K5" s="385"/>
      <c r="L5" s="385"/>
      <c r="M5" s="385"/>
      <c r="N5" s="385"/>
      <c r="O5" s="385"/>
      <c r="P5" s="385"/>
      <c r="Q5" s="386"/>
    </row>
    <row r="6" spans="2:17" s="110" customFormat="1" ht="12" customHeight="1">
      <c r="B6" s="383"/>
      <c r="C6" s="167"/>
      <c r="D6" s="58"/>
      <c r="E6" s="385"/>
      <c r="F6" s="385"/>
      <c r="G6" s="385"/>
      <c r="H6" s="49"/>
      <c r="I6" s="49"/>
      <c r="J6" s="49"/>
      <c r="K6" s="385"/>
      <c r="L6" s="385"/>
      <c r="M6" s="385"/>
      <c r="N6" s="385"/>
      <c r="O6" s="385"/>
      <c r="P6" s="385"/>
      <c r="Q6" s="386"/>
    </row>
    <row r="7" spans="2:17" s="110" customFormat="1" ht="12" customHeight="1">
      <c r="B7" s="383"/>
      <c r="C7" s="167"/>
      <c r="D7" s="394" t="s">
        <v>153</v>
      </c>
      <c r="E7" s="385"/>
      <c r="F7" s="385"/>
      <c r="G7" s="385"/>
      <c r="H7" s="49"/>
      <c r="I7" s="49"/>
      <c r="J7" s="49"/>
      <c r="K7" s="385"/>
      <c r="L7" s="385"/>
      <c r="M7" s="385"/>
      <c r="N7" s="385"/>
      <c r="O7" s="385"/>
      <c r="P7" s="385"/>
      <c r="Q7" s="386"/>
    </row>
    <row r="8" spans="2:17" s="110" customFormat="1" ht="12" customHeight="1">
      <c r="B8" s="383"/>
      <c r="C8" s="167"/>
      <c r="D8" s="395" t="s">
        <v>154</v>
      </c>
      <c r="E8" s="385"/>
      <c r="F8" s="385"/>
      <c r="G8" s="385"/>
      <c r="H8" s="49"/>
      <c r="I8" s="49"/>
      <c r="J8" s="49"/>
      <c r="K8" s="385"/>
      <c r="L8" s="385"/>
      <c r="M8" s="385"/>
      <c r="N8" s="385"/>
      <c r="O8" s="385"/>
      <c r="P8" s="385"/>
      <c r="Q8" s="386"/>
    </row>
    <row r="9" spans="2:17" s="110" customFormat="1" ht="12" customHeight="1">
      <c r="B9" s="383"/>
      <c r="C9" s="167"/>
      <c r="D9" s="395" t="s">
        <v>299</v>
      </c>
      <c r="E9" s="385"/>
      <c r="F9" s="385"/>
      <c r="G9" s="385"/>
      <c r="H9" s="49"/>
      <c r="I9" s="49"/>
      <c r="J9" s="49"/>
      <c r="K9" s="385"/>
      <c r="L9" s="385"/>
      <c r="M9" s="385"/>
      <c r="N9" s="385"/>
      <c r="O9" s="385"/>
      <c r="P9" s="385"/>
      <c r="Q9" s="386"/>
    </row>
    <row r="10" spans="2:17" s="110" customFormat="1" ht="12" customHeight="1">
      <c r="B10" s="383"/>
      <c r="C10" s="167"/>
      <c r="D10" s="62"/>
      <c r="E10" s="385"/>
      <c r="F10" s="385"/>
      <c r="G10" s="385"/>
      <c r="H10" s="49"/>
      <c r="I10" s="49"/>
      <c r="J10" s="49"/>
      <c r="K10" s="385"/>
      <c r="L10" s="385"/>
      <c r="M10" s="385"/>
      <c r="N10" s="385"/>
      <c r="O10" s="385"/>
      <c r="P10" s="385"/>
      <c r="Q10" s="386"/>
    </row>
    <row r="11" spans="2:17" ht="12" customHeight="1">
      <c r="B11" s="388"/>
      <c r="C11" s="167"/>
      <c r="D11" s="288"/>
      <c r="E11" s="49"/>
      <c r="F11" s="49"/>
      <c r="G11" s="162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2:17" s="34" customFormat="1" ht="12" customHeight="1">
      <c r="B12" s="389"/>
      <c r="C12" s="390"/>
      <c r="D12" s="53"/>
      <c r="E12" s="52"/>
      <c r="F12" s="95">
        <f>tab!D2</f>
        <v>2013</v>
      </c>
      <c r="G12" s="95">
        <f t="shared" ref="G12:O12" si="0">F12+1</f>
        <v>2014</v>
      </c>
      <c r="H12" s="95">
        <f t="shared" si="0"/>
        <v>2015</v>
      </c>
      <c r="I12" s="95">
        <f t="shared" si="0"/>
        <v>2016</v>
      </c>
      <c r="J12" s="95">
        <f t="shared" si="0"/>
        <v>2017</v>
      </c>
      <c r="K12" s="95">
        <f t="shared" si="0"/>
        <v>2018</v>
      </c>
      <c r="L12" s="95">
        <f t="shared" si="0"/>
        <v>2019</v>
      </c>
      <c r="M12" s="95">
        <f t="shared" si="0"/>
        <v>2020</v>
      </c>
      <c r="N12" s="95">
        <f t="shared" si="0"/>
        <v>2021</v>
      </c>
      <c r="O12" s="95">
        <f t="shared" si="0"/>
        <v>2022</v>
      </c>
      <c r="P12" s="52"/>
      <c r="Q12" s="161"/>
    </row>
    <row r="13" spans="2:17" ht="12" customHeight="1">
      <c r="B13" s="388"/>
      <c r="C13" s="167"/>
      <c r="D13" s="28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2:17">
      <c r="B14" s="48"/>
      <c r="C14" s="398"/>
      <c r="D14" s="399"/>
      <c r="F14" s="73"/>
      <c r="G14" s="74"/>
      <c r="H14" s="74"/>
      <c r="I14" s="74"/>
      <c r="J14" s="74"/>
      <c r="K14" s="188"/>
      <c r="L14" s="188"/>
      <c r="M14" s="188"/>
      <c r="N14" s="188"/>
      <c r="O14" s="188"/>
      <c r="P14" s="189"/>
      <c r="Q14" s="50"/>
    </row>
    <row r="15" spans="2:17">
      <c r="B15" s="48"/>
      <c r="C15" s="113"/>
      <c r="D15" s="38" t="s">
        <v>155</v>
      </c>
      <c r="E15" s="108"/>
      <c r="F15" s="400">
        <v>0</v>
      </c>
      <c r="G15" s="401">
        <f t="shared" ref="G15:O15" si="1">F18</f>
        <v>0</v>
      </c>
      <c r="H15" s="401">
        <f t="shared" si="1"/>
        <v>0</v>
      </c>
      <c r="I15" s="401">
        <f t="shared" si="1"/>
        <v>0</v>
      </c>
      <c r="J15" s="401">
        <f t="shared" si="1"/>
        <v>0</v>
      </c>
      <c r="K15" s="401">
        <f t="shared" si="1"/>
        <v>0</v>
      </c>
      <c r="L15" s="401">
        <f t="shared" si="1"/>
        <v>0</v>
      </c>
      <c r="M15" s="401">
        <f t="shared" si="1"/>
        <v>0</v>
      </c>
      <c r="N15" s="401">
        <f t="shared" si="1"/>
        <v>0</v>
      </c>
      <c r="O15" s="401">
        <f t="shared" si="1"/>
        <v>0</v>
      </c>
      <c r="P15" s="80"/>
      <c r="Q15" s="50"/>
    </row>
    <row r="16" spans="2:17">
      <c r="B16" s="48"/>
      <c r="C16" s="113"/>
      <c r="D16" s="38" t="s">
        <v>156</v>
      </c>
      <c r="E16" s="402"/>
      <c r="F16" s="400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80"/>
      <c r="Q16" s="50"/>
    </row>
    <row r="17" spans="2:17">
      <c r="B17" s="48"/>
      <c r="C17" s="113"/>
      <c r="D17" s="38" t="s">
        <v>157</v>
      </c>
      <c r="E17" s="108"/>
      <c r="F17" s="400">
        <v>0</v>
      </c>
      <c r="G17" s="249">
        <v>0</v>
      </c>
      <c r="H17" s="249">
        <v>0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80"/>
      <c r="Q17" s="50"/>
    </row>
    <row r="18" spans="2:17">
      <c r="B18" s="48"/>
      <c r="C18" s="403"/>
      <c r="D18" s="404" t="s">
        <v>43</v>
      </c>
      <c r="E18" s="402"/>
      <c r="F18" s="405">
        <f>SUM(F15:F16)-F17</f>
        <v>0</v>
      </c>
      <c r="G18" s="406">
        <f t="shared" ref="G18:O18" si="2">SUM(G15:G16)-G17</f>
        <v>0</v>
      </c>
      <c r="H18" s="406">
        <f t="shared" si="2"/>
        <v>0</v>
      </c>
      <c r="I18" s="406">
        <f t="shared" si="2"/>
        <v>0</v>
      </c>
      <c r="J18" s="406">
        <f t="shared" si="2"/>
        <v>0</v>
      </c>
      <c r="K18" s="406">
        <f t="shared" si="2"/>
        <v>0</v>
      </c>
      <c r="L18" s="406">
        <f t="shared" si="2"/>
        <v>0</v>
      </c>
      <c r="M18" s="406">
        <f t="shared" si="2"/>
        <v>0</v>
      </c>
      <c r="N18" s="406">
        <f t="shared" si="2"/>
        <v>0</v>
      </c>
      <c r="O18" s="406">
        <f t="shared" si="2"/>
        <v>0</v>
      </c>
      <c r="P18" s="80"/>
      <c r="Q18" s="50"/>
    </row>
    <row r="19" spans="2:17">
      <c r="B19" s="48"/>
      <c r="C19" s="41"/>
      <c r="F19" s="88"/>
      <c r="G19" s="89"/>
      <c r="H19" s="228"/>
      <c r="I19" s="89"/>
      <c r="J19" s="89"/>
      <c r="K19" s="89"/>
      <c r="L19" s="89"/>
      <c r="M19" s="89"/>
      <c r="N19" s="89"/>
      <c r="O19" s="89"/>
      <c r="P19" s="91"/>
      <c r="Q19" s="50"/>
    </row>
    <row r="20" spans="2:17" ht="12.75" customHeight="1">
      <c r="B20" s="388"/>
      <c r="C20" s="393"/>
      <c r="D20" s="397"/>
      <c r="E20" s="49"/>
      <c r="F20" s="49"/>
      <c r="G20" s="49"/>
      <c r="H20" s="67"/>
      <c r="I20" s="49"/>
      <c r="J20" s="49"/>
      <c r="K20" s="49"/>
      <c r="L20" s="49"/>
      <c r="M20" s="49"/>
      <c r="N20" s="49"/>
      <c r="O20" s="49"/>
      <c r="P20" s="49"/>
      <c r="Q20" s="50"/>
    </row>
    <row r="21" spans="2:17" ht="12.75" customHeight="1">
      <c r="B21" s="388"/>
      <c r="C21" s="393"/>
      <c r="D21" s="397"/>
      <c r="E21" s="49"/>
      <c r="F21" s="49"/>
      <c r="G21" s="49"/>
      <c r="H21" s="67"/>
      <c r="I21" s="49"/>
      <c r="J21" s="49"/>
      <c r="K21" s="49"/>
      <c r="L21" s="49"/>
      <c r="M21" s="49"/>
      <c r="N21" s="49"/>
      <c r="O21" s="49"/>
      <c r="P21" s="49"/>
      <c r="Q21" s="50"/>
    </row>
    <row r="22" spans="2:17" s="34" customFormat="1" ht="12.75" customHeight="1">
      <c r="B22" s="392"/>
      <c r="C22" s="390"/>
      <c r="D22" s="53"/>
      <c r="E22" s="52"/>
      <c r="F22" s="95">
        <f>1+O12</f>
        <v>2023</v>
      </c>
      <c r="G22" s="95">
        <f t="shared" ref="G22:O22" si="3">F22+1</f>
        <v>2024</v>
      </c>
      <c r="H22" s="95">
        <f t="shared" si="3"/>
        <v>2025</v>
      </c>
      <c r="I22" s="95">
        <f t="shared" si="3"/>
        <v>2026</v>
      </c>
      <c r="J22" s="95">
        <f t="shared" si="3"/>
        <v>2027</v>
      </c>
      <c r="K22" s="95">
        <f t="shared" si="3"/>
        <v>2028</v>
      </c>
      <c r="L22" s="95">
        <f t="shared" si="3"/>
        <v>2029</v>
      </c>
      <c r="M22" s="95">
        <f t="shared" si="3"/>
        <v>2030</v>
      </c>
      <c r="N22" s="95">
        <f t="shared" si="3"/>
        <v>2031</v>
      </c>
      <c r="O22" s="95">
        <f t="shared" si="3"/>
        <v>2032</v>
      </c>
      <c r="P22" s="407"/>
      <c r="Q22" s="161"/>
    </row>
    <row r="23" spans="2:17" ht="12.75" customHeight="1">
      <c r="B23" s="388"/>
      <c r="C23" s="393"/>
      <c r="D23" s="39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2:17" ht="12.75" customHeight="1">
      <c r="B24" s="388"/>
      <c r="C24" s="398"/>
      <c r="D24" s="399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189"/>
      <c r="Q24" s="50"/>
    </row>
    <row r="25" spans="2:17" ht="12.75" customHeight="1">
      <c r="B25" s="388"/>
      <c r="C25" s="113"/>
      <c r="D25" s="38" t="s">
        <v>155</v>
      </c>
      <c r="E25" s="108"/>
      <c r="F25" s="408">
        <f>O18</f>
        <v>0</v>
      </c>
      <c r="G25" s="401">
        <f t="shared" ref="G25:O25" si="4">F28</f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80"/>
      <c r="Q25" s="50"/>
    </row>
    <row r="26" spans="2:17" ht="12.75" customHeight="1">
      <c r="B26" s="388"/>
      <c r="C26" s="113"/>
      <c r="D26" s="38" t="s">
        <v>156</v>
      </c>
      <c r="E26" s="402"/>
      <c r="F26" s="400">
        <v>0</v>
      </c>
      <c r="G26" s="249">
        <v>0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  <c r="M26" s="249">
        <v>0</v>
      </c>
      <c r="N26" s="249">
        <v>0</v>
      </c>
      <c r="O26" s="249">
        <v>0</v>
      </c>
      <c r="P26" s="80"/>
      <c r="Q26" s="50"/>
    </row>
    <row r="27" spans="2:17" ht="12.75" customHeight="1">
      <c r="B27" s="388"/>
      <c r="C27" s="113"/>
      <c r="D27" s="38" t="s">
        <v>157</v>
      </c>
      <c r="E27" s="108"/>
      <c r="F27" s="400">
        <v>0</v>
      </c>
      <c r="G27" s="249">
        <v>0</v>
      </c>
      <c r="H27" s="249">
        <v>0</v>
      </c>
      <c r="I27" s="249">
        <v>0</v>
      </c>
      <c r="J27" s="249">
        <v>0</v>
      </c>
      <c r="K27" s="249">
        <v>0</v>
      </c>
      <c r="L27" s="249">
        <v>0</v>
      </c>
      <c r="M27" s="249">
        <v>0</v>
      </c>
      <c r="N27" s="249">
        <v>0</v>
      </c>
      <c r="O27" s="249">
        <v>0</v>
      </c>
      <c r="P27" s="80"/>
      <c r="Q27" s="50"/>
    </row>
    <row r="28" spans="2:17" ht="12.75" customHeight="1">
      <c r="B28" s="388"/>
      <c r="C28" s="403"/>
      <c r="D28" s="404" t="s">
        <v>43</v>
      </c>
      <c r="E28" s="402"/>
      <c r="F28" s="405">
        <f t="shared" ref="F28:O28" si="5">SUM(F25:F26)-F27</f>
        <v>0</v>
      </c>
      <c r="G28" s="406">
        <f t="shared" si="5"/>
        <v>0</v>
      </c>
      <c r="H28" s="406">
        <f t="shared" si="5"/>
        <v>0</v>
      </c>
      <c r="I28" s="406">
        <f t="shared" si="5"/>
        <v>0</v>
      </c>
      <c r="J28" s="406">
        <f t="shared" si="5"/>
        <v>0</v>
      </c>
      <c r="K28" s="406">
        <f t="shared" si="5"/>
        <v>0</v>
      </c>
      <c r="L28" s="406">
        <f t="shared" si="5"/>
        <v>0</v>
      </c>
      <c r="M28" s="406">
        <f t="shared" si="5"/>
        <v>0</v>
      </c>
      <c r="N28" s="406">
        <f t="shared" si="5"/>
        <v>0</v>
      </c>
      <c r="O28" s="406">
        <f t="shared" si="5"/>
        <v>0</v>
      </c>
      <c r="P28" s="80"/>
      <c r="Q28" s="50"/>
    </row>
    <row r="29" spans="2:17" ht="12.75" customHeight="1">
      <c r="B29" s="388"/>
      <c r="C29" s="41"/>
      <c r="F29" s="88"/>
      <c r="G29" s="89"/>
      <c r="H29" s="89"/>
      <c r="I29" s="89"/>
      <c r="J29" s="89"/>
      <c r="K29" s="89"/>
      <c r="L29" s="89"/>
      <c r="M29" s="89"/>
      <c r="N29" s="89"/>
      <c r="O29" s="89"/>
      <c r="P29" s="91"/>
      <c r="Q29" s="50"/>
    </row>
    <row r="30" spans="2:17" ht="12.75" customHeight="1">
      <c r="B30" s="388"/>
      <c r="C30" s="167"/>
      <c r="D30" s="28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</row>
    <row r="31" spans="2:17" s="114" customFormat="1" ht="12" customHeight="1" collapsed="1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77" t="s">
        <v>280</v>
      </c>
      <c r="Q31" s="72"/>
    </row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4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D150"/>
  <sheetViews>
    <sheetView zoomScale="85" zoomScaleNormal="85" zoomScaleSheetLayoutView="70" workbookViewId="0">
      <pane ySplit="13" topLeftCell="A14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3" width="2.7109375" style="33" customWidth="1"/>
    <col min="4" max="5" width="25.7109375" style="33" customWidth="1"/>
    <col min="6" max="6" width="8.85546875" style="97" customWidth="1"/>
    <col min="7" max="7" width="8.85546875" style="33" customWidth="1"/>
    <col min="8" max="10" width="10.7109375" style="33" customWidth="1"/>
    <col min="11" max="11" width="0.85546875" style="33" customWidth="1"/>
    <col min="12" max="12" width="11.7109375" style="33" hidden="1" customWidth="1"/>
    <col min="13" max="16" width="10.7109375" style="33" customWidth="1"/>
    <col min="17" max="17" width="0.85546875" style="33" customWidth="1"/>
    <col min="18" max="22" width="10.7109375" style="33" customWidth="1"/>
    <col min="23" max="23" width="0.85546875" style="33" customWidth="1"/>
    <col min="24" max="28" width="10.7109375" style="33" customWidth="1"/>
    <col min="29" max="30" width="2.7109375" style="33" customWidth="1"/>
    <col min="31" max="16384" width="9.140625" style="33"/>
  </cols>
  <sheetData>
    <row r="2" spans="1:30">
      <c r="B2" s="43"/>
      <c r="C2" s="44"/>
      <c r="D2" s="261"/>
      <c r="E2" s="261"/>
      <c r="F2" s="262"/>
      <c r="G2" s="262"/>
      <c r="H2" s="262"/>
      <c r="I2" s="262"/>
      <c r="J2" s="262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7"/>
    </row>
    <row r="3" spans="1:30">
      <c r="B3" s="48"/>
      <c r="C3" s="49"/>
      <c r="D3" s="61"/>
      <c r="E3" s="61"/>
      <c r="F3" s="164"/>
      <c r="G3" s="164"/>
      <c r="H3" s="164"/>
      <c r="I3" s="164"/>
      <c r="J3" s="16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0"/>
    </row>
    <row r="4" spans="1:30" s="100" customFormat="1" ht="18" customHeight="1">
      <c r="B4" s="157"/>
      <c r="C4" s="158" t="s">
        <v>110</v>
      </c>
      <c r="D4" s="159"/>
      <c r="E4" s="277"/>
      <c r="F4" s="409"/>
      <c r="G4" s="409"/>
      <c r="H4" s="409"/>
      <c r="I4" s="409"/>
      <c r="J4" s="40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606"/>
    </row>
    <row r="5" spans="1:30" s="578" customFormat="1" ht="15.75">
      <c r="B5" s="607"/>
      <c r="C5" s="458" t="s">
        <v>342</v>
      </c>
      <c r="D5" s="459"/>
      <c r="E5" s="460"/>
      <c r="F5" s="461"/>
      <c r="G5" s="461"/>
      <c r="H5" s="461"/>
      <c r="I5" s="461"/>
      <c r="J5" s="461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608"/>
    </row>
    <row r="6" spans="1:30" ht="12.75" customHeight="1">
      <c r="B6" s="48"/>
      <c r="C6" s="385"/>
      <c r="D6" s="414"/>
      <c r="E6" s="61"/>
      <c r="F6" s="164"/>
      <c r="G6" s="164"/>
      <c r="H6" s="164"/>
      <c r="I6" s="164"/>
      <c r="J6" s="164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</row>
    <row r="7" spans="1:30" ht="12.75" customHeight="1">
      <c r="B7" s="48"/>
      <c r="C7" s="462"/>
      <c r="D7" s="61"/>
      <c r="E7" s="61"/>
      <c r="F7" s="164"/>
      <c r="G7" s="164"/>
      <c r="H7" s="164"/>
      <c r="I7" s="164"/>
      <c r="J7" s="164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0"/>
    </row>
    <row r="8" spans="1:30" s="112" customFormat="1">
      <c r="A8" s="35"/>
      <c r="B8" s="609"/>
      <c r="C8" s="463"/>
      <c r="D8" s="395" t="s">
        <v>62</v>
      </c>
      <c r="E8" s="395" t="s">
        <v>61</v>
      </c>
      <c r="F8" s="463" t="s">
        <v>65</v>
      </c>
      <c r="G8" s="463" t="s">
        <v>118</v>
      </c>
      <c r="H8" s="463" t="s">
        <v>59</v>
      </c>
      <c r="I8" s="463" t="s">
        <v>38</v>
      </c>
      <c r="J8" s="463" t="s">
        <v>60</v>
      </c>
      <c r="K8" s="463"/>
      <c r="L8" s="463" t="s">
        <v>72</v>
      </c>
      <c r="M8" s="463" t="s">
        <v>74</v>
      </c>
      <c r="N8" s="463" t="s">
        <v>48</v>
      </c>
      <c r="O8" s="464" t="s">
        <v>71</v>
      </c>
      <c r="P8" s="463" t="s">
        <v>314</v>
      </c>
      <c r="Q8" s="463"/>
      <c r="R8" s="463">
        <f>P9</f>
        <v>2013</v>
      </c>
      <c r="S8" s="465">
        <f>R8+1</f>
        <v>2014</v>
      </c>
      <c r="T8" s="465">
        <f>R8+2</f>
        <v>2015</v>
      </c>
      <c r="U8" s="466">
        <f>R8+3</f>
        <v>2016</v>
      </c>
      <c r="V8" s="466">
        <f>S8+3</f>
        <v>2017</v>
      </c>
      <c r="W8" s="463"/>
      <c r="X8" s="463">
        <f>R8</f>
        <v>2013</v>
      </c>
      <c r="Y8" s="463">
        <f>S8</f>
        <v>2014</v>
      </c>
      <c r="Z8" s="463">
        <f>T8</f>
        <v>2015</v>
      </c>
      <c r="AA8" s="463">
        <f>U8</f>
        <v>2016</v>
      </c>
      <c r="AB8" s="463">
        <f>V8</f>
        <v>2017</v>
      </c>
      <c r="AC8" s="463"/>
      <c r="AD8" s="610"/>
    </row>
    <row r="9" spans="1:30" s="112" customFormat="1">
      <c r="A9" s="35"/>
      <c r="B9" s="609"/>
      <c r="C9" s="463"/>
      <c r="D9" s="395"/>
      <c r="E9" s="395"/>
      <c r="F9" s="463" t="s">
        <v>64</v>
      </c>
      <c r="G9" s="463" t="s">
        <v>119</v>
      </c>
      <c r="H9" s="463" t="s">
        <v>63</v>
      </c>
      <c r="I9" s="463" t="s">
        <v>37</v>
      </c>
      <c r="J9" s="463" t="s">
        <v>41</v>
      </c>
      <c r="K9" s="463"/>
      <c r="L9" s="463"/>
      <c r="M9" s="463" t="s">
        <v>75</v>
      </c>
      <c r="N9" s="463" t="s">
        <v>76</v>
      </c>
      <c r="O9" s="464" t="s">
        <v>48</v>
      </c>
      <c r="P9" s="464">
        <f>tab!D2</f>
        <v>2013</v>
      </c>
      <c r="Q9" s="463"/>
      <c r="R9" s="463" t="s">
        <v>48</v>
      </c>
      <c r="S9" s="463" t="s">
        <v>48</v>
      </c>
      <c r="T9" s="463" t="s">
        <v>48</v>
      </c>
      <c r="U9" s="463" t="s">
        <v>48</v>
      </c>
      <c r="V9" s="463" t="s">
        <v>48</v>
      </c>
      <c r="W9" s="463"/>
      <c r="X9" s="463" t="s">
        <v>49</v>
      </c>
      <c r="Y9" s="463" t="s">
        <v>49</v>
      </c>
      <c r="Z9" s="463" t="s">
        <v>49</v>
      </c>
      <c r="AA9" s="463" t="s">
        <v>49</v>
      </c>
      <c r="AB9" s="463" t="s">
        <v>49</v>
      </c>
      <c r="AC9" s="463"/>
      <c r="AD9" s="610"/>
    </row>
    <row r="10" spans="1:30" s="112" customFormat="1">
      <c r="B10" s="611"/>
      <c r="C10" s="467"/>
      <c r="D10" s="468"/>
      <c r="E10" s="468"/>
      <c r="F10" s="467"/>
      <c r="G10" s="467"/>
      <c r="H10" s="467"/>
      <c r="I10" s="467"/>
      <c r="J10" s="467"/>
      <c r="K10" s="467"/>
      <c r="L10" s="467"/>
      <c r="M10" s="467"/>
      <c r="N10" s="467"/>
      <c r="O10" s="469"/>
      <c r="P10" s="469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612"/>
    </row>
    <row r="11" spans="1:30" s="112" customFormat="1">
      <c r="B11" s="611"/>
      <c r="C11" s="470"/>
      <c r="D11" s="471"/>
      <c r="E11" s="471"/>
      <c r="F11" s="472"/>
      <c r="G11" s="472"/>
      <c r="H11" s="472"/>
      <c r="I11" s="472"/>
      <c r="J11" s="472"/>
      <c r="K11" s="472"/>
      <c r="L11" s="472"/>
      <c r="M11" s="472"/>
      <c r="N11" s="472"/>
      <c r="O11" s="473"/>
      <c r="P11" s="473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4"/>
      <c r="AD11" s="612"/>
    </row>
    <row r="12" spans="1:30" collapsed="1">
      <c r="B12" s="613"/>
      <c r="C12" s="475"/>
      <c r="D12" s="476"/>
      <c r="E12" s="476"/>
      <c r="F12" s="477"/>
      <c r="G12" s="477"/>
      <c r="H12" s="477"/>
      <c r="I12" s="477"/>
      <c r="J12" s="477"/>
      <c r="K12" s="478"/>
      <c r="L12" s="478"/>
      <c r="M12" s="478"/>
      <c r="N12" s="478"/>
      <c r="O12" s="478"/>
      <c r="P12" s="254">
        <f>SUM(P14:P149)</f>
        <v>0</v>
      </c>
      <c r="Q12" s="478"/>
      <c r="R12" s="254">
        <f>SUM(R14:R149)</f>
        <v>0</v>
      </c>
      <c r="S12" s="254">
        <f>SUM(S14:S149)</f>
        <v>0</v>
      </c>
      <c r="T12" s="254">
        <f>SUM(T14:T149)</f>
        <v>0</v>
      </c>
      <c r="U12" s="254">
        <f>SUM(U14:U149)</f>
        <v>0</v>
      </c>
      <c r="V12" s="254">
        <f>SUM(V14:V149)</f>
        <v>0</v>
      </c>
      <c r="W12" s="472"/>
      <c r="X12" s="254">
        <f>SUM(X14:X149)</f>
        <v>0</v>
      </c>
      <c r="Y12" s="254">
        <f>SUM(Y14:Y149)</f>
        <v>0</v>
      </c>
      <c r="Z12" s="254">
        <f>SUM(Z14:Z149)</f>
        <v>0</v>
      </c>
      <c r="AA12" s="254">
        <f>SUM(AA14:AA149)</f>
        <v>0</v>
      </c>
      <c r="AB12" s="254">
        <f>SUM(AB14:AB149)</f>
        <v>0</v>
      </c>
      <c r="AC12" s="479"/>
      <c r="AD12" s="614"/>
    </row>
    <row r="13" spans="1:30" s="112" customFormat="1">
      <c r="B13" s="611"/>
      <c r="C13" s="480"/>
      <c r="D13" s="481"/>
      <c r="E13" s="481"/>
      <c r="F13" s="482"/>
      <c r="G13" s="482"/>
      <c r="H13" s="482"/>
      <c r="I13" s="482"/>
      <c r="J13" s="482"/>
      <c r="K13" s="482"/>
      <c r="L13" s="482"/>
      <c r="M13" s="482"/>
      <c r="N13" s="482"/>
      <c r="O13" s="483"/>
      <c r="P13" s="483"/>
      <c r="Q13" s="482"/>
      <c r="R13" s="482"/>
      <c r="S13" s="482"/>
      <c r="T13" s="482"/>
      <c r="U13" s="482"/>
      <c r="V13" s="482"/>
      <c r="W13" s="482"/>
      <c r="X13" s="191"/>
      <c r="Y13" s="191"/>
      <c r="Z13" s="191"/>
      <c r="AA13" s="191"/>
      <c r="AB13" s="191"/>
      <c r="AC13" s="484"/>
      <c r="AD13" s="612"/>
    </row>
    <row r="14" spans="1:30">
      <c r="B14" s="48"/>
      <c r="C14" s="77"/>
      <c r="D14" s="240"/>
      <c r="E14" s="240"/>
      <c r="F14" s="364"/>
      <c r="G14" s="363"/>
      <c r="H14" s="242"/>
      <c r="I14" s="363"/>
      <c r="J14" s="363"/>
      <c r="K14" s="79"/>
      <c r="L14" s="191">
        <f>IF(J14="geen",9999999999,J14)</f>
        <v>0</v>
      </c>
      <c r="M14" s="444">
        <f t="shared" ref="M14:M65" si="0">G14*H14</f>
        <v>0</v>
      </c>
      <c r="N14" s="444">
        <f t="shared" ref="N14:N65" si="1">IF(G14=0,0,(G14*H14)/L14)</f>
        <v>0</v>
      </c>
      <c r="O14" s="485" t="str">
        <f t="shared" ref="O14:O65" si="2">IF(L14=0,"-",(IF(L14&gt;3000,"-",I14+L14-1)))</f>
        <v>-</v>
      </c>
      <c r="P14" s="444">
        <f t="shared" ref="P14:P77" si="3">IF(J14="geen",IF(I14&lt;$R$8,G14*H14,0),IF(I14&gt;=$R$8,0,IF((H14*G14-(R$8-I14)*N14)&lt;0,0,H14*G14-(R$8-I14)*N14)))</f>
        <v>0</v>
      </c>
      <c r="Q14" s="79"/>
      <c r="R14" s="444">
        <f t="shared" ref="R14:R66" si="4">(IF(R$8&lt;$I14,0,IF($O14&lt;=R$8-1,0,$N14)))</f>
        <v>0</v>
      </c>
      <c r="S14" s="444">
        <f t="shared" ref="S14:S66" si="5">(IF(S$8&lt;$I14,0,IF($O14&lt;=S$8-1,0,$N14)))</f>
        <v>0</v>
      </c>
      <c r="T14" s="444">
        <f t="shared" ref="T14:T66" si="6">(IF(T$8&lt;$I14,0,IF($O14&lt;=T$8-1,0,$N14)))</f>
        <v>0</v>
      </c>
      <c r="U14" s="444">
        <f>(IF(U$8&lt;$I14,0,IF($O14&lt;=U$8-1,0,$N14)))</f>
        <v>0</v>
      </c>
      <c r="V14" s="444">
        <f>(IF(V$8&lt;$I14,0,IF($O14&lt;=V$8-1,0,$N14)))</f>
        <v>0</v>
      </c>
      <c r="W14" s="79"/>
      <c r="X14" s="444">
        <f t="shared" ref="X14:AB23" si="7">IF(X$8=$I14,($G14*$H14),0)</f>
        <v>0</v>
      </c>
      <c r="Y14" s="444">
        <f t="shared" si="7"/>
        <v>0</v>
      </c>
      <c r="Z14" s="444">
        <f t="shared" si="7"/>
        <v>0</v>
      </c>
      <c r="AA14" s="444">
        <f t="shared" si="7"/>
        <v>0</v>
      </c>
      <c r="AB14" s="444">
        <f t="shared" si="7"/>
        <v>0</v>
      </c>
      <c r="AC14" s="80"/>
      <c r="AD14" s="50"/>
    </row>
    <row r="15" spans="1:30">
      <c r="B15" s="48"/>
      <c r="C15" s="77"/>
      <c r="D15" s="240"/>
      <c r="E15" s="240"/>
      <c r="F15" s="364"/>
      <c r="G15" s="363"/>
      <c r="H15" s="242"/>
      <c r="I15" s="363"/>
      <c r="J15" s="363"/>
      <c r="K15" s="79"/>
      <c r="L15" s="191">
        <f t="shared" ref="L15:L67" si="8">IF(J15="geen",9999999999,J15)</f>
        <v>0</v>
      </c>
      <c r="M15" s="444">
        <f t="shared" si="0"/>
        <v>0</v>
      </c>
      <c r="N15" s="444">
        <f t="shared" si="1"/>
        <v>0</v>
      </c>
      <c r="O15" s="485" t="str">
        <f t="shared" si="2"/>
        <v>-</v>
      </c>
      <c r="P15" s="444">
        <f t="shared" si="3"/>
        <v>0</v>
      </c>
      <c r="Q15" s="79"/>
      <c r="R15" s="444">
        <f t="shared" si="4"/>
        <v>0</v>
      </c>
      <c r="S15" s="444">
        <f t="shared" si="5"/>
        <v>0</v>
      </c>
      <c r="T15" s="444">
        <f t="shared" si="6"/>
        <v>0</v>
      </c>
      <c r="U15" s="444">
        <f t="shared" ref="U15:V66" si="9">(IF(U$8&lt;$I15,0,IF($O15&lt;=U$8-1,0,$N15)))</f>
        <v>0</v>
      </c>
      <c r="V15" s="444">
        <f t="shared" si="9"/>
        <v>0</v>
      </c>
      <c r="W15" s="79"/>
      <c r="X15" s="444">
        <f t="shared" si="7"/>
        <v>0</v>
      </c>
      <c r="Y15" s="444">
        <f t="shared" si="7"/>
        <v>0</v>
      </c>
      <c r="Z15" s="444">
        <f t="shared" si="7"/>
        <v>0</v>
      </c>
      <c r="AA15" s="444">
        <f t="shared" si="7"/>
        <v>0</v>
      </c>
      <c r="AB15" s="444">
        <f t="shared" si="7"/>
        <v>0</v>
      </c>
      <c r="AC15" s="80"/>
      <c r="AD15" s="50"/>
    </row>
    <row r="16" spans="1:30">
      <c r="B16" s="48"/>
      <c r="C16" s="77"/>
      <c r="D16" s="240"/>
      <c r="E16" s="240"/>
      <c r="F16" s="364"/>
      <c r="G16" s="363"/>
      <c r="H16" s="242"/>
      <c r="I16" s="363"/>
      <c r="J16" s="363"/>
      <c r="K16" s="79"/>
      <c r="L16" s="191">
        <f t="shared" si="8"/>
        <v>0</v>
      </c>
      <c r="M16" s="444">
        <f t="shared" si="0"/>
        <v>0</v>
      </c>
      <c r="N16" s="444">
        <f t="shared" si="1"/>
        <v>0</v>
      </c>
      <c r="O16" s="485" t="str">
        <f t="shared" si="2"/>
        <v>-</v>
      </c>
      <c r="P16" s="444">
        <f t="shared" si="3"/>
        <v>0</v>
      </c>
      <c r="Q16" s="79"/>
      <c r="R16" s="444">
        <f t="shared" si="4"/>
        <v>0</v>
      </c>
      <c r="S16" s="444">
        <f t="shared" si="5"/>
        <v>0</v>
      </c>
      <c r="T16" s="444">
        <f t="shared" si="6"/>
        <v>0</v>
      </c>
      <c r="U16" s="444">
        <f t="shared" si="9"/>
        <v>0</v>
      </c>
      <c r="V16" s="444">
        <f t="shared" si="9"/>
        <v>0</v>
      </c>
      <c r="W16" s="79"/>
      <c r="X16" s="444">
        <f t="shared" si="7"/>
        <v>0</v>
      </c>
      <c r="Y16" s="444">
        <f t="shared" si="7"/>
        <v>0</v>
      </c>
      <c r="Z16" s="444">
        <f t="shared" si="7"/>
        <v>0</v>
      </c>
      <c r="AA16" s="444">
        <f t="shared" si="7"/>
        <v>0</v>
      </c>
      <c r="AB16" s="444">
        <f t="shared" si="7"/>
        <v>0</v>
      </c>
      <c r="AC16" s="80"/>
      <c r="AD16" s="50"/>
    </row>
    <row r="17" spans="2:30">
      <c r="B17" s="48"/>
      <c r="C17" s="77"/>
      <c r="D17" s="240"/>
      <c r="E17" s="240"/>
      <c r="F17" s="364"/>
      <c r="G17" s="363"/>
      <c r="H17" s="242"/>
      <c r="I17" s="363"/>
      <c r="J17" s="363"/>
      <c r="K17" s="79"/>
      <c r="L17" s="191">
        <f t="shared" si="8"/>
        <v>0</v>
      </c>
      <c r="M17" s="444">
        <f t="shared" si="0"/>
        <v>0</v>
      </c>
      <c r="N17" s="444">
        <f t="shared" si="1"/>
        <v>0</v>
      </c>
      <c r="O17" s="485" t="str">
        <f t="shared" si="2"/>
        <v>-</v>
      </c>
      <c r="P17" s="444">
        <f t="shared" si="3"/>
        <v>0</v>
      </c>
      <c r="Q17" s="79"/>
      <c r="R17" s="444">
        <f t="shared" si="4"/>
        <v>0</v>
      </c>
      <c r="S17" s="444">
        <f t="shared" si="5"/>
        <v>0</v>
      </c>
      <c r="T17" s="444">
        <f t="shared" si="6"/>
        <v>0</v>
      </c>
      <c r="U17" s="444">
        <f t="shared" si="9"/>
        <v>0</v>
      </c>
      <c r="V17" s="444">
        <f t="shared" si="9"/>
        <v>0</v>
      </c>
      <c r="W17" s="79"/>
      <c r="X17" s="444">
        <f t="shared" si="7"/>
        <v>0</v>
      </c>
      <c r="Y17" s="444">
        <f t="shared" si="7"/>
        <v>0</v>
      </c>
      <c r="Z17" s="444">
        <f t="shared" si="7"/>
        <v>0</v>
      </c>
      <c r="AA17" s="444">
        <f t="shared" si="7"/>
        <v>0</v>
      </c>
      <c r="AB17" s="444">
        <f t="shared" si="7"/>
        <v>0</v>
      </c>
      <c r="AC17" s="80"/>
      <c r="AD17" s="50"/>
    </row>
    <row r="18" spans="2:30">
      <c r="B18" s="48"/>
      <c r="C18" s="77"/>
      <c r="D18" s="240"/>
      <c r="E18" s="240"/>
      <c r="F18" s="364"/>
      <c r="G18" s="363"/>
      <c r="H18" s="242"/>
      <c r="I18" s="363"/>
      <c r="J18" s="363"/>
      <c r="K18" s="79"/>
      <c r="L18" s="191">
        <f t="shared" si="8"/>
        <v>0</v>
      </c>
      <c r="M18" s="444">
        <f t="shared" si="0"/>
        <v>0</v>
      </c>
      <c r="N18" s="444">
        <f t="shared" si="1"/>
        <v>0</v>
      </c>
      <c r="O18" s="485" t="str">
        <f t="shared" si="2"/>
        <v>-</v>
      </c>
      <c r="P18" s="444">
        <f t="shared" si="3"/>
        <v>0</v>
      </c>
      <c r="Q18" s="79"/>
      <c r="R18" s="444">
        <f t="shared" si="4"/>
        <v>0</v>
      </c>
      <c r="S18" s="444">
        <f t="shared" si="5"/>
        <v>0</v>
      </c>
      <c r="T18" s="444">
        <f t="shared" si="6"/>
        <v>0</v>
      </c>
      <c r="U18" s="444">
        <f t="shared" si="9"/>
        <v>0</v>
      </c>
      <c r="V18" s="444">
        <f t="shared" si="9"/>
        <v>0</v>
      </c>
      <c r="W18" s="79"/>
      <c r="X18" s="444">
        <f t="shared" si="7"/>
        <v>0</v>
      </c>
      <c r="Y18" s="444">
        <f t="shared" si="7"/>
        <v>0</v>
      </c>
      <c r="Z18" s="444">
        <f t="shared" si="7"/>
        <v>0</v>
      </c>
      <c r="AA18" s="444">
        <f t="shared" si="7"/>
        <v>0</v>
      </c>
      <c r="AB18" s="444">
        <f t="shared" si="7"/>
        <v>0</v>
      </c>
      <c r="AC18" s="80"/>
      <c r="AD18" s="50"/>
    </row>
    <row r="19" spans="2:30">
      <c r="B19" s="48"/>
      <c r="C19" s="77"/>
      <c r="D19" s="240"/>
      <c r="E19" s="240"/>
      <c r="F19" s="364"/>
      <c r="G19" s="363"/>
      <c r="H19" s="242"/>
      <c r="I19" s="363"/>
      <c r="J19" s="363"/>
      <c r="K19" s="79"/>
      <c r="L19" s="191">
        <f t="shared" si="8"/>
        <v>0</v>
      </c>
      <c r="M19" s="444">
        <f t="shared" si="0"/>
        <v>0</v>
      </c>
      <c r="N19" s="444">
        <f t="shared" si="1"/>
        <v>0</v>
      </c>
      <c r="O19" s="485" t="str">
        <f t="shared" si="2"/>
        <v>-</v>
      </c>
      <c r="P19" s="444">
        <f t="shared" si="3"/>
        <v>0</v>
      </c>
      <c r="Q19" s="79"/>
      <c r="R19" s="444">
        <f t="shared" si="4"/>
        <v>0</v>
      </c>
      <c r="S19" s="444">
        <f t="shared" si="5"/>
        <v>0</v>
      </c>
      <c r="T19" s="444">
        <f t="shared" si="6"/>
        <v>0</v>
      </c>
      <c r="U19" s="444">
        <f t="shared" si="9"/>
        <v>0</v>
      </c>
      <c r="V19" s="444">
        <f t="shared" si="9"/>
        <v>0</v>
      </c>
      <c r="W19" s="79"/>
      <c r="X19" s="444">
        <f t="shared" si="7"/>
        <v>0</v>
      </c>
      <c r="Y19" s="444">
        <f t="shared" si="7"/>
        <v>0</v>
      </c>
      <c r="Z19" s="444">
        <f t="shared" si="7"/>
        <v>0</v>
      </c>
      <c r="AA19" s="444">
        <f t="shared" si="7"/>
        <v>0</v>
      </c>
      <c r="AB19" s="444">
        <f t="shared" si="7"/>
        <v>0</v>
      </c>
      <c r="AC19" s="80"/>
      <c r="AD19" s="50"/>
    </row>
    <row r="20" spans="2:30">
      <c r="B20" s="48"/>
      <c r="C20" s="77"/>
      <c r="D20" s="240"/>
      <c r="E20" s="240"/>
      <c r="F20" s="364"/>
      <c r="G20" s="363"/>
      <c r="H20" s="242"/>
      <c r="I20" s="363"/>
      <c r="J20" s="363"/>
      <c r="K20" s="79"/>
      <c r="L20" s="191">
        <f t="shared" si="8"/>
        <v>0</v>
      </c>
      <c r="M20" s="444">
        <f t="shared" si="0"/>
        <v>0</v>
      </c>
      <c r="N20" s="444">
        <f t="shared" si="1"/>
        <v>0</v>
      </c>
      <c r="O20" s="485" t="str">
        <f t="shared" si="2"/>
        <v>-</v>
      </c>
      <c r="P20" s="444">
        <f t="shared" si="3"/>
        <v>0</v>
      </c>
      <c r="Q20" s="79"/>
      <c r="R20" s="444">
        <f t="shared" si="4"/>
        <v>0</v>
      </c>
      <c r="S20" s="444">
        <f t="shared" si="5"/>
        <v>0</v>
      </c>
      <c r="T20" s="444">
        <f t="shared" si="6"/>
        <v>0</v>
      </c>
      <c r="U20" s="444">
        <f t="shared" si="9"/>
        <v>0</v>
      </c>
      <c r="V20" s="444">
        <f t="shared" si="9"/>
        <v>0</v>
      </c>
      <c r="W20" s="79"/>
      <c r="X20" s="444">
        <f t="shared" si="7"/>
        <v>0</v>
      </c>
      <c r="Y20" s="444">
        <f t="shared" si="7"/>
        <v>0</v>
      </c>
      <c r="Z20" s="444">
        <f t="shared" si="7"/>
        <v>0</v>
      </c>
      <c r="AA20" s="444">
        <f t="shared" si="7"/>
        <v>0</v>
      </c>
      <c r="AB20" s="444">
        <f t="shared" si="7"/>
        <v>0</v>
      </c>
      <c r="AC20" s="80"/>
      <c r="AD20" s="50"/>
    </row>
    <row r="21" spans="2:30">
      <c r="B21" s="48"/>
      <c r="C21" s="77"/>
      <c r="D21" s="240"/>
      <c r="E21" s="240"/>
      <c r="F21" s="364"/>
      <c r="G21" s="363"/>
      <c r="H21" s="242"/>
      <c r="I21" s="363"/>
      <c r="J21" s="363"/>
      <c r="K21" s="79"/>
      <c r="L21" s="191">
        <f t="shared" si="8"/>
        <v>0</v>
      </c>
      <c r="M21" s="444">
        <f t="shared" si="0"/>
        <v>0</v>
      </c>
      <c r="N21" s="444">
        <f t="shared" si="1"/>
        <v>0</v>
      </c>
      <c r="O21" s="485" t="str">
        <f t="shared" si="2"/>
        <v>-</v>
      </c>
      <c r="P21" s="444">
        <f t="shared" si="3"/>
        <v>0</v>
      </c>
      <c r="Q21" s="79"/>
      <c r="R21" s="444">
        <f t="shared" si="4"/>
        <v>0</v>
      </c>
      <c r="S21" s="444">
        <f t="shared" si="5"/>
        <v>0</v>
      </c>
      <c r="T21" s="444">
        <f t="shared" si="6"/>
        <v>0</v>
      </c>
      <c r="U21" s="444">
        <f t="shared" si="9"/>
        <v>0</v>
      </c>
      <c r="V21" s="444">
        <f t="shared" si="9"/>
        <v>0</v>
      </c>
      <c r="W21" s="79"/>
      <c r="X21" s="444">
        <f t="shared" si="7"/>
        <v>0</v>
      </c>
      <c r="Y21" s="444">
        <f t="shared" si="7"/>
        <v>0</v>
      </c>
      <c r="Z21" s="444">
        <f t="shared" si="7"/>
        <v>0</v>
      </c>
      <c r="AA21" s="444">
        <f t="shared" si="7"/>
        <v>0</v>
      </c>
      <c r="AB21" s="444">
        <f t="shared" si="7"/>
        <v>0</v>
      </c>
      <c r="AC21" s="80"/>
      <c r="AD21" s="50"/>
    </row>
    <row r="22" spans="2:30">
      <c r="B22" s="48"/>
      <c r="C22" s="77"/>
      <c r="D22" s="240"/>
      <c r="E22" s="240"/>
      <c r="F22" s="364"/>
      <c r="G22" s="363"/>
      <c r="H22" s="242"/>
      <c r="I22" s="363"/>
      <c r="J22" s="363"/>
      <c r="K22" s="79"/>
      <c r="L22" s="191">
        <f t="shared" si="8"/>
        <v>0</v>
      </c>
      <c r="M22" s="444">
        <f t="shared" si="0"/>
        <v>0</v>
      </c>
      <c r="N22" s="444">
        <f t="shared" si="1"/>
        <v>0</v>
      </c>
      <c r="O22" s="485" t="str">
        <f t="shared" si="2"/>
        <v>-</v>
      </c>
      <c r="P22" s="444">
        <f t="shared" si="3"/>
        <v>0</v>
      </c>
      <c r="Q22" s="79"/>
      <c r="R22" s="444">
        <f t="shared" si="4"/>
        <v>0</v>
      </c>
      <c r="S22" s="444">
        <f t="shared" si="5"/>
        <v>0</v>
      </c>
      <c r="T22" s="444">
        <f t="shared" si="6"/>
        <v>0</v>
      </c>
      <c r="U22" s="444">
        <f t="shared" si="9"/>
        <v>0</v>
      </c>
      <c r="V22" s="444">
        <f t="shared" si="9"/>
        <v>0</v>
      </c>
      <c r="W22" s="79"/>
      <c r="X22" s="444">
        <f t="shared" si="7"/>
        <v>0</v>
      </c>
      <c r="Y22" s="444">
        <f t="shared" si="7"/>
        <v>0</v>
      </c>
      <c r="Z22" s="444">
        <f t="shared" si="7"/>
        <v>0</v>
      </c>
      <c r="AA22" s="444">
        <f t="shared" si="7"/>
        <v>0</v>
      </c>
      <c r="AB22" s="444">
        <f t="shared" si="7"/>
        <v>0</v>
      </c>
      <c r="AC22" s="80"/>
      <c r="AD22" s="50"/>
    </row>
    <row r="23" spans="2:30">
      <c r="B23" s="48"/>
      <c r="C23" s="77"/>
      <c r="D23" s="240"/>
      <c r="E23" s="240"/>
      <c r="F23" s="364"/>
      <c r="G23" s="363"/>
      <c r="H23" s="242"/>
      <c r="I23" s="363"/>
      <c r="J23" s="363"/>
      <c r="K23" s="79"/>
      <c r="L23" s="191">
        <f t="shared" si="8"/>
        <v>0</v>
      </c>
      <c r="M23" s="444">
        <f t="shared" si="0"/>
        <v>0</v>
      </c>
      <c r="N23" s="444">
        <f t="shared" si="1"/>
        <v>0</v>
      </c>
      <c r="O23" s="485" t="str">
        <f t="shared" si="2"/>
        <v>-</v>
      </c>
      <c r="P23" s="444">
        <f t="shared" si="3"/>
        <v>0</v>
      </c>
      <c r="Q23" s="79"/>
      <c r="R23" s="444">
        <f t="shared" si="4"/>
        <v>0</v>
      </c>
      <c r="S23" s="444">
        <f t="shared" si="5"/>
        <v>0</v>
      </c>
      <c r="T23" s="444">
        <f t="shared" si="6"/>
        <v>0</v>
      </c>
      <c r="U23" s="444">
        <f t="shared" si="9"/>
        <v>0</v>
      </c>
      <c r="V23" s="444">
        <f t="shared" si="9"/>
        <v>0</v>
      </c>
      <c r="W23" s="79"/>
      <c r="X23" s="444">
        <f t="shared" si="7"/>
        <v>0</v>
      </c>
      <c r="Y23" s="444">
        <f t="shared" si="7"/>
        <v>0</v>
      </c>
      <c r="Z23" s="444">
        <f t="shared" si="7"/>
        <v>0</v>
      </c>
      <c r="AA23" s="444">
        <f t="shared" si="7"/>
        <v>0</v>
      </c>
      <c r="AB23" s="444">
        <f t="shared" si="7"/>
        <v>0</v>
      </c>
      <c r="AC23" s="80"/>
      <c r="AD23" s="50"/>
    </row>
    <row r="24" spans="2:30">
      <c r="B24" s="48"/>
      <c r="C24" s="77"/>
      <c r="D24" s="240"/>
      <c r="E24" s="240"/>
      <c r="F24" s="364"/>
      <c r="G24" s="363"/>
      <c r="H24" s="242"/>
      <c r="I24" s="363"/>
      <c r="J24" s="363"/>
      <c r="K24" s="79"/>
      <c r="L24" s="191">
        <f t="shared" si="8"/>
        <v>0</v>
      </c>
      <c r="M24" s="444">
        <f t="shared" si="0"/>
        <v>0</v>
      </c>
      <c r="N24" s="444">
        <f t="shared" si="1"/>
        <v>0</v>
      </c>
      <c r="O24" s="485" t="str">
        <f t="shared" si="2"/>
        <v>-</v>
      </c>
      <c r="P24" s="444">
        <f t="shared" si="3"/>
        <v>0</v>
      </c>
      <c r="Q24" s="79"/>
      <c r="R24" s="444">
        <f t="shared" si="4"/>
        <v>0</v>
      </c>
      <c r="S24" s="444">
        <f t="shared" si="5"/>
        <v>0</v>
      </c>
      <c r="T24" s="444">
        <f t="shared" si="6"/>
        <v>0</v>
      </c>
      <c r="U24" s="444">
        <f t="shared" si="9"/>
        <v>0</v>
      </c>
      <c r="V24" s="444">
        <f t="shared" si="9"/>
        <v>0</v>
      </c>
      <c r="W24" s="79"/>
      <c r="X24" s="444">
        <f t="shared" ref="X24:AB33" si="10">IF(X$8=$I24,($G24*$H24),0)</f>
        <v>0</v>
      </c>
      <c r="Y24" s="444">
        <f t="shared" si="10"/>
        <v>0</v>
      </c>
      <c r="Z24" s="444">
        <f t="shared" si="10"/>
        <v>0</v>
      </c>
      <c r="AA24" s="444">
        <f t="shared" si="10"/>
        <v>0</v>
      </c>
      <c r="AB24" s="444">
        <f t="shared" si="10"/>
        <v>0</v>
      </c>
      <c r="AC24" s="80"/>
      <c r="AD24" s="50"/>
    </row>
    <row r="25" spans="2:30">
      <c r="B25" s="48"/>
      <c r="C25" s="77"/>
      <c r="D25" s="240"/>
      <c r="E25" s="240"/>
      <c r="F25" s="364"/>
      <c r="G25" s="363"/>
      <c r="H25" s="242"/>
      <c r="I25" s="363"/>
      <c r="J25" s="363"/>
      <c r="K25" s="79"/>
      <c r="L25" s="191">
        <f t="shared" si="8"/>
        <v>0</v>
      </c>
      <c r="M25" s="444">
        <f t="shared" si="0"/>
        <v>0</v>
      </c>
      <c r="N25" s="444">
        <f t="shared" si="1"/>
        <v>0</v>
      </c>
      <c r="O25" s="485" t="str">
        <f t="shared" si="2"/>
        <v>-</v>
      </c>
      <c r="P25" s="444">
        <f t="shared" si="3"/>
        <v>0</v>
      </c>
      <c r="Q25" s="79"/>
      <c r="R25" s="444">
        <f t="shared" si="4"/>
        <v>0</v>
      </c>
      <c r="S25" s="444">
        <f t="shared" si="5"/>
        <v>0</v>
      </c>
      <c r="T25" s="444">
        <f t="shared" si="6"/>
        <v>0</v>
      </c>
      <c r="U25" s="444">
        <f t="shared" si="9"/>
        <v>0</v>
      </c>
      <c r="V25" s="444">
        <f t="shared" si="9"/>
        <v>0</v>
      </c>
      <c r="W25" s="79"/>
      <c r="X25" s="444">
        <f t="shared" si="10"/>
        <v>0</v>
      </c>
      <c r="Y25" s="444">
        <f t="shared" si="10"/>
        <v>0</v>
      </c>
      <c r="Z25" s="444">
        <f t="shared" si="10"/>
        <v>0</v>
      </c>
      <c r="AA25" s="444">
        <f t="shared" si="10"/>
        <v>0</v>
      </c>
      <c r="AB25" s="444">
        <f t="shared" si="10"/>
        <v>0</v>
      </c>
      <c r="AC25" s="80"/>
      <c r="AD25" s="50"/>
    </row>
    <row r="26" spans="2:30">
      <c r="B26" s="48"/>
      <c r="C26" s="77"/>
      <c r="D26" s="240"/>
      <c r="E26" s="240"/>
      <c r="F26" s="364"/>
      <c r="G26" s="363"/>
      <c r="H26" s="242"/>
      <c r="I26" s="363"/>
      <c r="J26" s="363"/>
      <c r="K26" s="79"/>
      <c r="L26" s="191">
        <f t="shared" si="8"/>
        <v>0</v>
      </c>
      <c r="M26" s="444">
        <f t="shared" si="0"/>
        <v>0</v>
      </c>
      <c r="N26" s="444">
        <f t="shared" si="1"/>
        <v>0</v>
      </c>
      <c r="O26" s="485" t="str">
        <f t="shared" si="2"/>
        <v>-</v>
      </c>
      <c r="P26" s="444">
        <f t="shared" si="3"/>
        <v>0</v>
      </c>
      <c r="Q26" s="79"/>
      <c r="R26" s="444">
        <f t="shared" si="4"/>
        <v>0</v>
      </c>
      <c r="S26" s="444">
        <f t="shared" si="5"/>
        <v>0</v>
      </c>
      <c r="T26" s="444">
        <f t="shared" si="6"/>
        <v>0</v>
      </c>
      <c r="U26" s="444">
        <f t="shared" si="9"/>
        <v>0</v>
      </c>
      <c r="V26" s="444">
        <f t="shared" si="9"/>
        <v>0</v>
      </c>
      <c r="W26" s="79"/>
      <c r="X26" s="444">
        <f t="shared" si="10"/>
        <v>0</v>
      </c>
      <c r="Y26" s="444">
        <f t="shared" si="10"/>
        <v>0</v>
      </c>
      <c r="Z26" s="444">
        <f t="shared" si="10"/>
        <v>0</v>
      </c>
      <c r="AA26" s="444">
        <f t="shared" si="10"/>
        <v>0</v>
      </c>
      <c r="AB26" s="444">
        <f t="shared" si="10"/>
        <v>0</v>
      </c>
      <c r="AC26" s="80"/>
      <c r="AD26" s="50"/>
    </row>
    <row r="27" spans="2:30">
      <c r="B27" s="48"/>
      <c r="C27" s="77"/>
      <c r="D27" s="240"/>
      <c r="E27" s="240"/>
      <c r="F27" s="364"/>
      <c r="G27" s="363"/>
      <c r="H27" s="242"/>
      <c r="I27" s="363"/>
      <c r="J27" s="363"/>
      <c r="K27" s="79"/>
      <c r="L27" s="191">
        <f t="shared" si="8"/>
        <v>0</v>
      </c>
      <c r="M27" s="444">
        <f t="shared" si="0"/>
        <v>0</v>
      </c>
      <c r="N27" s="444">
        <f t="shared" si="1"/>
        <v>0</v>
      </c>
      <c r="O27" s="485" t="str">
        <f t="shared" si="2"/>
        <v>-</v>
      </c>
      <c r="P27" s="444">
        <f t="shared" si="3"/>
        <v>0</v>
      </c>
      <c r="Q27" s="79"/>
      <c r="R27" s="444">
        <f t="shared" si="4"/>
        <v>0</v>
      </c>
      <c r="S27" s="444">
        <f t="shared" si="5"/>
        <v>0</v>
      </c>
      <c r="T27" s="444">
        <f t="shared" si="6"/>
        <v>0</v>
      </c>
      <c r="U27" s="444">
        <f t="shared" si="9"/>
        <v>0</v>
      </c>
      <c r="V27" s="444">
        <f t="shared" si="9"/>
        <v>0</v>
      </c>
      <c r="W27" s="79"/>
      <c r="X27" s="444">
        <f t="shared" si="10"/>
        <v>0</v>
      </c>
      <c r="Y27" s="444">
        <f t="shared" si="10"/>
        <v>0</v>
      </c>
      <c r="Z27" s="444">
        <f t="shared" si="10"/>
        <v>0</v>
      </c>
      <c r="AA27" s="444">
        <f t="shared" si="10"/>
        <v>0</v>
      </c>
      <c r="AB27" s="444">
        <f t="shared" si="10"/>
        <v>0</v>
      </c>
      <c r="AC27" s="80"/>
      <c r="AD27" s="50"/>
    </row>
    <row r="28" spans="2:30">
      <c r="B28" s="48"/>
      <c r="C28" s="77"/>
      <c r="D28" s="240"/>
      <c r="E28" s="240"/>
      <c r="F28" s="364"/>
      <c r="G28" s="363"/>
      <c r="H28" s="242"/>
      <c r="I28" s="363"/>
      <c r="J28" s="363"/>
      <c r="K28" s="79"/>
      <c r="L28" s="191">
        <f t="shared" si="8"/>
        <v>0</v>
      </c>
      <c r="M28" s="444">
        <f t="shared" si="0"/>
        <v>0</v>
      </c>
      <c r="N28" s="444">
        <f t="shared" si="1"/>
        <v>0</v>
      </c>
      <c r="O28" s="485" t="str">
        <f t="shared" si="2"/>
        <v>-</v>
      </c>
      <c r="P28" s="444">
        <f t="shared" si="3"/>
        <v>0</v>
      </c>
      <c r="Q28" s="79"/>
      <c r="R28" s="444">
        <f t="shared" si="4"/>
        <v>0</v>
      </c>
      <c r="S28" s="444">
        <f t="shared" si="5"/>
        <v>0</v>
      </c>
      <c r="T28" s="444">
        <f t="shared" si="6"/>
        <v>0</v>
      </c>
      <c r="U28" s="444">
        <f t="shared" si="9"/>
        <v>0</v>
      </c>
      <c r="V28" s="444">
        <f t="shared" si="9"/>
        <v>0</v>
      </c>
      <c r="W28" s="79"/>
      <c r="X28" s="444">
        <f t="shared" si="10"/>
        <v>0</v>
      </c>
      <c r="Y28" s="444">
        <f t="shared" si="10"/>
        <v>0</v>
      </c>
      <c r="Z28" s="444">
        <f t="shared" si="10"/>
        <v>0</v>
      </c>
      <c r="AA28" s="444">
        <f t="shared" si="10"/>
        <v>0</v>
      </c>
      <c r="AB28" s="444">
        <f t="shared" si="10"/>
        <v>0</v>
      </c>
      <c r="AC28" s="80"/>
      <c r="AD28" s="50"/>
    </row>
    <row r="29" spans="2:30">
      <c r="B29" s="48"/>
      <c r="C29" s="77"/>
      <c r="D29" s="240"/>
      <c r="E29" s="240"/>
      <c r="F29" s="364"/>
      <c r="G29" s="363"/>
      <c r="H29" s="242"/>
      <c r="I29" s="363"/>
      <c r="J29" s="363"/>
      <c r="K29" s="79"/>
      <c r="L29" s="191">
        <f t="shared" si="8"/>
        <v>0</v>
      </c>
      <c r="M29" s="444">
        <f t="shared" si="0"/>
        <v>0</v>
      </c>
      <c r="N29" s="444">
        <f t="shared" si="1"/>
        <v>0</v>
      </c>
      <c r="O29" s="485" t="str">
        <f t="shared" si="2"/>
        <v>-</v>
      </c>
      <c r="P29" s="444">
        <f t="shared" si="3"/>
        <v>0</v>
      </c>
      <c r="Q29" s="79"/>
      <c r="R29" s="444">
        <f t="shared" si="4"/>
        <v>0</v>
      </c>
      <c r="S29" s="444">
        <f t="shared" si="5"/>
        <v>0</v>
      </c>
      <c r="T29" s="444">
        <f t="shared" si="6"/>
        <v>0</v>
      </c>
      <c r="U29" s="444">
        <f t="shared" si="9"/>
        <v>0</v>
      </c>
      <c r="V29" s="444">
        <f t="shared" si="9"/>
        <v>0</v>
      </c>
      <c r="W29" s="79"/>
      <c r="X29" s="444">
        <f t="shared" si="10"/>
        <v>0</v>
      </c>
      <c r="Y29" s="444">
        <f t="shared" si="10"/>
        <v>0</v>
      </c>
      <c r="Z29" s="444">
        <f t="shared" si="10"/>
        <v>0</v>
      </c>
      <c r="AA29" s="444">
        <f t="shared" si="10"/>
        <v>0</v>
      </c>
      <c r="AB29" s="444">
        <f t="shared" si="10"/>
        <v>0</v>
      </c>
      <c r="AC29" s="80"/>
      <c r="AD29" s="50"/>
    </row>
    <row r="30" spans="2:30">
      <c r="B30" s="48"/>
      <c r="C30" s="77"/>
      <c r="D30" s="240"/>
      <c r="E30" s="240"/>
      <c r="F30" s="364"/>
      <c r="G30" s="363"/>
      <c r="H30" s="242"/>
      <c r="I30" s="363"/>
      <c r="J30" s="363"/>
      <c r="K30" s="79"/>
      <c r="L30" s="191">
        <f t="shared" si="8"/>
        <v>0</v>
      </c>
      <c r="M30" s="444">
        <f t="shared" si="0"/>
        <v>0</v>
      </c>
      <c r="N30" s="444">
        <f t="shared" si="1"/>
        <v>0</v>
      </c>
      <c r="O30" s="485" t="str">
        <f t="shared" si="2"/>
        <v>-</v>
      </c>
      <c r="P30" s="444">
        <f t="shared" si="3"/>
        <v>0</v>
      </c>
      <c r="Q30" s="79"/>
      <c r="R30" s="444">
        <f t="shared" si="4"/>
        <v>0</v>
      </c>
      <c r="S30" s="444">
        <f t="shared" si="5"/>
        <v>0</v>
      </c>
      <c r="T30" s="444">
        <f t="shared" si="6"/>
        <v>0</v>
      </c>
      <c r="U30" s="444">
        <f t="shared" si="9"/>
        <v>0</v>
      </c>
      <c r="V30" s="444">
        <f t="shared" si="9"/>
        <v>0</v>
      </c>
      <c r="W30" s="79"/>
      <c r="X30" s="444">
        <f t="shared" si="10"/>
        <v>0</v>
      </c>
      <c r="Y30" s="444">
        <f t="shared" si="10"/>
        <v>0</v>
      </c>
      <c r="Z30" s="444">
        <f t="shared" si="10"/>
        <v>0</v>
      </c>
      <c r="AA30" s="444">
        <f t="shared" si="10"/>
        <v>0</v>
      </c>
      <c r="AB30" s="444">
        <f t="shared" si="10"/>
        <v>0</v>
      </c>
      <c r="AC30" s="80"/>
      <c r="AD30" s="50"/>
    </row>
    <row r="31" spans="2:30">
      <c r="B31" s="48"/>
      <c r="C31" s="77"/>
      <c r="D31" s="240"/>
      <c r="E31" s="240"/>
      <c r="F31" s="364"/>
      <c r="G31" s="363"/>
      <c r="H31" s="242"/>
      <c r="I31" s="363"/>
      <c r="J31" s="363"/>
      <c r="K31" s="79"/>
      <c r="L31" s="191">
        <f t="shared" si="8"/>
        <v>0</v>
      </c>
      <c r="M31" s="444">
        <f t="shared" si="0"/>
        <v>0</v>
      </c>
      <c r="N31" s="444">
        <f t="shared" si="1"/>
        <v>0</v>
      </c>
      <c r="O31" s="485" t="str">
        <f t="shared" si="2"/>
        <v>-</v>
      </c>
      <c r="P31" s="444">
        <f t="shared" si="3"/>
        <v>0</v>
      </c>
      <c r="Q31" s="79"/>
      <c r="R31" s="444">
        <f t="shared" si="4"/>
        <v>0</v>
      </c>
      <c r="S31" s="444">
        <f t="shared" si="5"/>
        <v>0</v>
      </c>
      <c r="T31" s="444">
        <f t="shared" si="6"/>
        <v>0</v>
      </c>
      <c r="U31" s="444">
        <f t="shared" si="9"/>
        <v>0</v>
      </c>
      <c r="V31" s="444">
        <f t="shared" si="9"/>
        <v>0</v>
      </c>
      <c r="W31" s="79"/>
      <c r="X31" s="444">
        <f t="shared" si="10"/>
        <v>0</v>
      </c>
      <c r="Y31" s="444">
        <f t="shared" si="10"/>
        <v>0</v>
      </c>
      <c r="Z31" s="444">
        <f t="shared" si="10"/>
        <v>0</v>
      </c>
      <c r="AA31" s="444">
        <f t="shared" si="10"/>
        <v>0</v>
      </c>
      <c r="AB31" s="444">
        <f t="shared" si="10"/>
        <v>0</v>
      </c>
      <c r="AC31" s="80"/>
      <c r="AD31" s="50"/>
    </row>
    <row r="32" spans="2:30">
      <c r="B32" s="48"/>
      <c r="C32" s="77"/>
      <c r="D32" s="240"/>
      <c r="E32" s="240"/>
      <c r="F32" s="364"/>
      <c r="G32" s="363"/>
      <c r="H32" s="242"/>
      <c r="I32" s="363"/>
      <c r="J32" s="363"/>
      <c r="K32" s="79"/>
      <c r="L32" s="191">
        <f t="shared" si="8"/>
        <v>0</v>
      </c>
      <c r="M32" s="444">
        <f t="shared" si="0"/>
        <v>0</v>
      </c>
      <c r="N32" s="444">
        <f t="shared" si="1"/>
        <v>0</v>
      </c>
      <c r="O32" s="485" t="str">
        <f t="shared" si="2"/>
        <v>-</v>
      </c>
      <c r="P32" s="444">
        <f t="shared" si="3"/>
        <v>0</v>
      </c>
      <c r="Q32" s="79"/>
      <c r="R32" s="444">
        <f t="shared" si="4"/>
        <v>0</v>
      </c>
      <c r="S32" s="444">
        <f t="shared" si="5"/>
        <v>0</v>
      </c>
      <c r="T32" s="444">
        <f t="shared" si="6"/>
        <v>0</v>
      </c>
      <c r="U32" s="444">
        <f t="shared" si="9"/>
        <v>0</v>
      </c>
      <c r="V32" s="444">
        <f t="shared" si="9"/>
        <v>0</v>
      </c>
      <c r="W32" s="79"/>
      <c r="X32" s="444">
        <f t="shared" si="10"/>
        <v>0</v>
      </c>
      <c r="Y32" s="444">
        <f t="shared" si="10"/>
        <v>0</v>
      </c>
      <c r="Z32" s="444">
        <f t="shared" si="10"/>
        <v>0</v>
      </c>
      <c r="AA32" s="444">
        <f t="shared" si="10"/>
        <v>0</v>
      </c>
      <c r="AB32" s="444">
        <f t="shared" si="10"/>
        <v>0</v>
      </c>
      <c r="AC32" s="80"/>
      <c r="AD32" s="50"/>
    </row>
    <row r="33" spans="2:30">
      <c r="B33" s="48"/>
      <c r="C33" s="77"/>
      <c r="D33" s="240"/>
      <c r="E33" s="240"/>
      <c r="F33" s="364"/>
      <c r="G33" s="363"/>
      <c r="H33" s="242"/>
      <c r="I33" s="363"/>
      <c r="J33" s="363"/>
      <c r="K33" s="79"/>
      <c r="L33" s="191">
        <f t="shared" si="8"/>
        <v>0</v>
      </c>
      <c r="M33" s="444">
        <f t="shared" si="0"/>
        <v>0</v>
      </c>
      <c r="N33" s="444">
        <f t="shared" si="1"/>
        <v>0</v>
      </c>
      <c r="O33" s="485" t="str">
        <f t="shared" si="2"/>
        <v>-</v>
      </c>
      <c r="P33" s="444">
        <f t="shared" si="3"/>
        <v>0</v>
      </c>
      <c r="Q33" s="79"/>
      <c r="R33" s="444">
        <f t="shared" si="4"/>
        <v>0</v>
      </c>
      <c r="S33" s="444">
        <f t="shared" si="5"/>
        <v>0</v>
      </c>
      <c r="T33" s="444">
        <f t="shared" si="6"/>
        <v>0</v>
      </c>
      <c r="U33" s="444">
        <f t="shared" si="9"/>
        <v>0</v>
      </c>
      <c r="V33" s="444">
        <f t="shared" si="9"/>
        <v>0</v>
      </c>
      <c r="W33" s="79"/>
      <c r="X33" s="444">
        <f t="shared" si="10"/>
        <v>0</v>
      </c>
      <c r="Y33" s="444">
        <f t="shared" si="10"/>
        <v>0</v>
      </c>
      <c r="Z33" s="444">
        <f t="shared" si="10"/>
        <v>0</v>
      </c>
      <c r="AA33" s="444">
        <f t="shared" si="10"/>
        <v>0</v>
      </c>
      <c r="AB33" s="444">
        <f t="shared" si="10"/>
        <v>0</v>
      </c>
      <c r="AC33" s="80"/>
      <c r="AD33" s="50"/>
    </row>
    <row r="34" spans="2:30">
      <c r="B34" s="48"/>
      <c r="C34" s="77"/>
      <c r="D34" s="240"/>
      <c r="E34" s="240"/>
      <c r="F34" s="364"/>
      <c r="G34" s="363"/>
      <c r="H34" s="242"/>
      <c r="I34" s="363"/>
      <c r="J34" s="363"/>
      <c r="K34" s="79"/>
      <c r="L34" s="191">
        <f t="shared" si="8"/>
        <v>0</v>
      </c>
      <c r="M34" s="444">
        <f t="shared" si="0"/>
        <v>0</v>
      </c>
      <c r="N34" s="444">
        <f t="shared" si="1"/>
        <v>0</v>
      </c>
      <c r="O34" s="485" t="str">
        <f t="shared" si="2"/>
        <v>-</v>
      </c>
      <c r="P34" s="444">
        <f t="shared" si="3"/>
        <v>0</v>
      </c>
      <c r="Q34" s="79"/>
      <c r="R34" s="444">
        <f t="shared" si="4"/>
        <v>0</v>
      </c>
      <c r="S34" s="444">
        <f t="shared" si="5"/>
        <v>0</v>
      </c>
      <c r="T34" s="444">
        <f t="shared" si="6"/>
        <v>0</v>
      </c>
      <c r="U34" s="444">
        <f t="shared" si="9"/>
        <v>0</v>
      </c>
      <c r="V34" s="444">
        <f t="shared" si="9"/>
        <v>0</v>
      </c>
      <c r="W34" s="79"/>
      <c r="X34" s="444">
        <f t="shared" ref="X34:AB43" si="11">IF(X$8=$I34,($G34*$H34),0)</f>
        <v>0</v>
      </c>
      <c r="Y34" s="444">
        <f t="shared" si="11"/>
        <v>0</v>
      </c>
      <c r="Z34" s="444">
        <f t="shared" si="11"/>
        <v>0</v>
      </c>
      <c r="AA34" s="444">
        <f t="shared" si="11"/>
        <v>0</v>
      </c>
      <c r="AB34" s="444">
        <f t="shared" si="11"/>
        <v>0</v>
      </c>
      <c r="AC34" s="80"/>
      <c r="AD34" s="50"/>
    </row>
    <row r="35" spans="2:30">
      <c r="B35" s="48"/>
      <c r="C35" s="77"/>
      <c r="D35" s="240"/>
      <c r="E35" s="240"/>
      <c r="F35" s="364"/>
      <c r="G35" s="363"/>
      <c r="H35" s="242"/>
      <c r="I35" s="363"/>
      <c r="J35" s="363"/>
      <c r="K35" s="79"/>
      <c r="L35" s="191">
        <f t="shared" si="8"/>
        <v>0</v>
      </c>
      <c r="M35" s="444">
        <f t="shared" si="0"/>
        <v>0</v>
      </c>
      <c r="N35" s="444">
        <f t="shared" si="1"/>
        <v>0</v>
      </c>
      <c r="O35" s="485" t="str">
        <f t="shared" si="2"/>
        <v>-</v>
      </c>
      <c r="P35" s="444">
        <f t="shared" si="3"/>
        <v>0</v>
      </c>
      <c r="Q35" s="79"/>
      <c r="R35" s="444">
        <f t="shared" si="4"/>
        <v>0</v>
      </c>
      <c r="S35" s="444">
        <f t="shared" si="5"/>
        <v>0</v>
      </c>
      <c r="T35" s="444">
        <f t="shared" si="6"/>
        <v>0</v>
      </c>
      <c r="U35" s="444">
        <f t="shared" si="9"/>
        <v>0</v>
      </c>
      <c r="V35" s="444">
        <f t="shared" si="9"/>
        <v>0</v>
      </c>
      <c r="W35" s="79"/>
      <c r="X35" s="444">
        <f t="shared" si="11"/>
        <v>0</v>
      </c>
      <c r="Y35" s="444">
        <f t="shared" si="11"/>
        <v>0</v>
      </c>
      <c r="Z35" s="444">
        <f t="shared" si="11"/>
        <v>0</v>
      </c>
      <c r="AA35" s="444">
        <f t="shared" si="11"/>
        <v>0</v>
      </c>
      <c r="AB35" s="444">
        <f t="shared" si="11"/>
        <v>0</v>
      </c>
      <c r="AC35" s="80"/>
      <c r="AD35" s="50"/>
    </row>
    <row r="36" spans="2:30">
      <c r="B36" s="48"/>
      <c r="C36" s="77"/>
      <c r="D36" s="240"/>
      <c r="E36" s="240"/>
      <c r="F36" s="364"/>
      <c r="G36" s="363"/>
      <c r="H36" s="242"/>
      <c r="I36" s="363"/>
      <c r="J36" s="363"/>
      <c r="K36" s="79"/>
      <c r="L36" s="191">
        <f t="shared" si="8"/>
        <v>0</v>
      </c>
      <c r="M36" s="444">
        <f t="shared" si="0"/>
        <v>0</v>
      </c>
      <c r="N36" s="444">
        <f t="shared" si="1"/>
        <v>0</v>
      </c>
      <c r="O36" s="485" t="str">
        <f t="shared" si="2"/>
        <v>-</v>
      </c>
      <c r="P36" s="444">
        <f t="shared" si="3"/>
        <v>0</v>
      </c>
      <c r="Q36" s="79"/>
      <c r="R36" s="444">
        <f t="shared" si="4"/>
        <v>0</v>
      </c>
      <c r="S36" s="444">
        <f t="shared" si="5"/>
        <v>0</v>
      </c>
      <c r="T36" s="444">
        <f t="shared" si="6"/>
        <v>0</v>
      </c>
      <c r="U36" s="444">
        <f t="shared" si="9"/>
        <v>0</v>
      </c>
      <c r="V36" s="444">
        <f t="shared" si="9"/>
        <v>0</v>
      </c>
      <c r="W36" s="79"/>
      <c r="X36" s="444">
        <f t="shared" si="11"/>
        <v>0</v>
      </c>
      <c r="Y36" s="444">
        <f t="shared" si="11"/>
        <v>0</v>
      </c>
      <c r="Z36" s="444">
        <f t="shared" si="11"/>
        <v>0</v>
      </c>
      <c r="AA36" s="444">
        <f t="shared" si="11"/>
        <v>0</v>
      </c>
      <c r="AB36" s="444">
        <f t="shared" si="11"/>
        <v>0</v>
      </c>
      <c r="AC36" s="80"/>
      <c r="AD36" s="50"/>
    </row>
    <row r="37" spans="2:30">
      <c r="B37" s="48"/>
      <c r="C37" s="77"/>
      <c r="D37" s="240"/>
      <c r="E37" s="240"/>
      <c r="F37" s="364"/>
      <c r="G37" s="363"/>
      <c r="H37" s="242"/>
      <c r="I37" s="363"/>
      <c r="J37" s="363"/>
      <c r="K37" s="79"/>
      <c r="L37" s="191">
        <f t="shared" si="8"/>
        <v>0</v>
      </c>
      <c r="M37" s="444">
        <f t="shared" si="0"/>
        <v>0</v>
      </c>
      <c r="N37" s="444">
        <f t="shared" si="1"/>
        <v>0</v>
      </c>
      <c r="O37" s="485" t="str">
        <f t="shared" si="2"/>
        <v>-</v>
      </c>
      <c r="P37" s="444">
        <f t="shared" si="3"/>
        <v>0</v>
      </c>
      <c r="Q37" s="79"/>
      <c r="R37" s="444">
        <f t="shared" si="4"/>
        <v>0</v>
      </c>
      <c r="S37" s="444">
        <f t="shared" si="5"/>
        <v>0</v>
      </c>
      <c r="T37" s="444">
        <f t="shared" si="6"/>
        <v>0</v>
      </c>
      <c r="U37" s="444">
        <f t="shared" si="9"/>
        <v>0</v>
      </c>
      <c r="V37" s="444">
        <f t="shared" si="9"/>
        <v>0</v>
      </c>
      <c r="W37" s="79"/>
      <c r="X37" s="444">
        <f t="shared" si="11"/>
        <v>0</v>
      </c>
      <c r="Y37" s="444">
        <f t="shared" si="11"/>
        <v>0</v>
      </c>
      <c r="Z37" s="444">
        <f t="shared" si="11"/>
        <v>0</v>
      </c>
      <c r="AA37" s="444">
        <f t="shared" si="11"/>
        <v>0</v>
      </c>
      <c r="AB37" s="444">
        <f t="shared" si="11"/>
        <v>0</v>
      </c>
      <c r="AC37" s="80"/>
      <c r="AD37" s="50"/>
    </row>
    <row r="38" spans="2:30">
      <c r="B38" s="48"/>
      <c r="C38" s="77"/>
      <c r="D38" s="240"/>
      <c r="E38" s="240"/>
      <c r="F38" s="364"/>
      <c r="G38" s="363"/>
      <c r="H38" s="242"/>
      <c r="I38" s="363"/>
      <c r="J38" s="363"/>
      <c r="K38" s="79"/>
      <c r="L38" s="191">
        <f t="shared" si="8"/>
        <v>0</v>
      </c>
      <c r="M38" s="444">
        <f t="shared" si="0"/>
        <v>0</v>
      </c>
      <c r="N38" s="444">
        <f t="shared" si="1"/>
        <v>0</v>
      </c>
      <c r="O38" s="485" t="str">
        <f t="shared" si="2"/>
        <v>-</v>
      </c>
      <c r="P38" s="444">
        <f t="shared" si="3"/>
        <v>0</v>
      </c>
      <c r="Q38" s="79"/>
      <c r="R38" s="444">
        <f t="shared" si="4"/>
        <v>0</v>
      </c>
      <c r="S38" s="444">
        <f t="shared" si="5"/>
        <v>0</v>
      </c>
      <c r="T38" s="444">
        <f t="shared" si="6"/>
        <v>0</v>
      </c>
      <c r="U38" s="444">
        <f t="shared" si="9"/>
        <v>0</v>
      </c>
      <c r="V38" s="444">
        <f t="shared" si="9"/>
        <v>0</v>
      </c>
      <c r="W38" s="79"/>
      <c r="X38" s="444">
        <f t="shared" si="11"/>
        <v>0</v>
      </c>
      <c r="Y38" s="444">
        <f t="shared" si="11"/>
        <v>0</v>
      </c>
      <c r="Z38" s="444">
        <f t="shared" si="11"/>
        <v>0</v>
      </c>
      <c r="AA38" s="444">
        <f t="shared" si="11"/>
        <v>0</v>
      </c>
      <c r="AB38" s="444">
        <f t="shared" si="11"/>
        <v>0</v>
      </c>
      <c r="AC38" s="80"/>
      <c r="AD38" s="50"/>
    </row>
    <row r="39" spans="2:30">
      <c r="B39" s="48"/>
      <c r="C39" s="77"/>
      <c r="D39" s="240"/>
      <c r="E39" s="240"/>
      <c r="F39" s="364"/>
      <c r="G39" s="363"/>
      <c r="H39" s="242"/>
      <c r="I39" s="363"/>
      <c r="J39" s="363"/>
      <c r="K39" s="79"/>
      <c r="L39" s="191">
        <f t="shared" si="8"/>
        <v>0</v>
      </c>
      <c r="M39" s="444">
        <f t="shared" si="0"/>
        <v>0</v>
      </c>
      <c r="N39" s="444">
        <f t="shared" si="1"/>
        <v>0</v>
      </c>
      <c r="O39" s="485" t="str">
        <f t="shared" si="2"/>
        <v>-</v>
      </c>
      <c r="P39" s="444">
        <f t="shared" si="3"/>
        <v>0</v>
      </c>
      <c r="Q39" s="79"/>
      <c r="R39" s="444">
        <f t="shared" si="4"/>
        <v>0</v>
      </c>
      <c r="S39" s="444">
        <f t="shared" si="5"/>
        <v>0</v>
      </c>
      <c r="T39" s="444">
        <f t="shared" si="6"/>
        <v>0</v>
      </c>
      <c r="U39" s="444">
        <f t="shared" si="9"/>
        <v>0</v>
      </c>
      <c r="V39" s="444">
        <f t="shared" si="9"/>
        <v>0</v>
      </c>
      <c r="W39" s="79"/>
      <c r="X39" s="444">
        <f t="shared" si="11"/>
        <v>0</v>
      </c>
      <c r="Y39" s="444">
        <f t="shared" si="11"/>
        <v>0</v>
      </c>
      <c r="Z39" s="444">
        <f t="shared" si="11"/>
        <v>0</v>
      </c>
      <c r="AA39" s="444">
        <f t="shared" si="11"/>
        <v>0</v>
      </c>
      <c r="AB39" s="444">
        <f t="shared" si="11"/>
        <v>0</v>
      </c>
      <c r="AC39" s="80"/>
      <c r="AD39" s="50"/>
    </row>
    <row r="40" spans="2:30">
      <c r="B40" s="48"/>
      <c r="C40" s="77"/>
      <c r="D40" s="240"/>
      <c r="E40" s="240"/>
      <c r="F40" s="364"/>
      <c r="G40" s="363"/>
      <c r="H40" s="242"/>
      <c r="I40" s="363"/>
      <c r="J40" s="363"/>
      <c r="K40" s="79"/>
      <c r="L40" s="191">
        <f t="shared" si="8"/>
        <v>0</v>
      </c>
      <c r="M40" s="444">
        <f t="shared" si="0"/>
        <v>0</v>
      </c>
      <c r="N40" s="444">
        <f t="shared" si="1"/>
        <v>0</v>
      </c>
      <c r="O40" s="485" t="str">
        <f t="shared" si="2"/>
        <v>-</v>
      </c>
      <c r="P40" s="444">
        <f t="shared" si="3"/>
        <v>0</v>
      </c>
      <c r="Q40" s="79"/>
      <c r="R40" s="444">
        <f t="shared" si="4"/>
        <v>0</v>
      </c>
      <c r="S40" s="444">
        <f t="shared" si="5"/>
        <v>0</v>
      </c>
      <c r="T40" s="444">
        <f t="shared" si="6"/>
        <v>0</v>
      </c>
      <c r="U40" s="444">
        <f t="shared" si="9"/>
        <v>0</v>
      </c>
      <c r="V40" s="444">
        <f t="shared" si="9"/>
        <v>0</v>
      </c>
      <c r="W40" s="79"/>
      <c r="X40" s="444">
        <f t="shared" si="11"/>
        <v>0</v>
      </c>
      <c r="Y40" s="444">
        <f t="shared" si="11"/>
        <v>0</v>
      </c>
      <c r="Z40" s="444">
        <f t="shared" si="11"/>
        <v>0</v>
      </c>
      <c r="AA40" s="444">
        <f t="shared" si="11"/>
        <v>0</v>
      </c>
      <c r="AB40" s="444">
        <f t="shared" si="11"/>
        <v>0</v>
      </c>
      <c r="AC40" s="80"/>
      <c r="AD40" s="50"/>
    </row>
    <row r="41" spans="2:30">
      <c r="B41" s="48"/>
      <c r="C41" s="77"/>
      <c r="D41" s="240"/>
      <c r="E41" s="240"/>
      <c r="F41" s="364"/>
      <c r="G41" s="363"/>
      <c r="H41" s="242"/>
      <c r="I41" s="363"/>
      <c r="J41" s="363"/>
      <c r="K41" s="79"/>
      <c r="L41" s="191">
        <f t="shared" si="8"/>
        <v>0</v>
      </c>
      <c r="M41" s="444">
        <f t="shared" si="0"/>
        <v>0</v>
      </c>
      <c r="N41" s="444">
        <f t="shared" si="1"/>
        <v>0</v>
      </c>
      <c r="O41" s="485" t="str">
        <f t="shared" si="2"/>
        <v>-</v>
      </c>
      <c r="P41" s="444">
        <f t="shared" si="3"/>
        <v>0</v>
      </c>
      <c r="Q41" s="79"/>
      <c r="R41" s="444">
        <f t="shared" si="4"/>
        <v>0</v>
      </c>
      <c r="S41" s="444">
        <f t="shared" si="5"/>
        <v>0</v>
      </c>
      <c r="T41" s="444">
        <f t="shared" si="6"/>
        <v>0</v>
      </c>
      <c r="U41" s="444">
        <f t="shared" si="9"/>
        <v>0</v>
      </c>
      <c r="V41" s="444">
        <f t="shared" si="9"/>
        <v>0</v>
      </c>
      <c r="W41" s="79"/>
      <c r="X41" s="444">
        <f t="shared" si="11"/>
        <v>0</v>
      </c>
      <c r="Y41" s="444">
        <f t="shared" si="11"/>
        <v>0</v>
      </c>
      <c r="Z41" s="444">
        <f t="shared" si="11"/>
        <v>0</v>
      </c>
      <c r="AA41" s="444">
        <f t="shared" si="11"/>
        <v>0</v>
      </c>
      <c r="AB41" s="444">
        <f t="shared" si="11"/>
        <v>0</v>
      </c>
      <c r="AC41" s="80"/>
      <c r="AD41" s="50"/>
    </row>
    <row r="42" spans="2:30">
      <c r="B42" s="48"/>
      <c r="C42" s="77"/>
      <c r="D42" s="240"/>
      <c r="E42" s="240"/>
      <c r="F42" s="364"/>
      <c r="G42" s="363"/>
      <c r="H42" s="242"/>
      <c r="I42" s="363"/>
      <c r="J42" s="363"/>
      <c r="K42" s="79"/>
      <c r="L42" s="191">
        <f t="shared" si="8"/>
        <v>0</v>
      </c>
      <c r="M42" s="444">
        <f t="shared" si="0"/>
        <v>0</v>
      </c>
      <c r="N42" s="444">
        <f t="shared" si="1"/>
        <v>0</v>
      </c>
      <c r="O42" s="485" t="str">
        <f t="shared" si="2"/>
        <v>-</v>
      </c>
      <c r="P42" s="444">
        <f t="shared" si="3"/>
        <v>0</v>
      </c>
      <c r="Q42" s="79"/>
      <c r="R42" s="444">
        <f t="shared" si="4"/>
        <v>0</v>
      </c>
      <c r="S42" s="444">
        <f t="shared" si="5"/>
        <v>0</v>
      </c>
      <c r="T42" s="444">
        <f t="shared" si="6"/>
        <v>0</v>
      </c>
      <c r="U42" s="444">
        <f t="shared" si="9"/>
        <v>0</v>
      </c>
      <c r="V42" s="444">
        <f t="shared" si="9"/>
        <v>0</v>
      </c>
      <c r="W42" s="79"/>
      <c r="X42" s="444">
        <f t="shared" si="11"/>
        <v>0</v>
      </c>
      <c r="Y42" s="444">
        <f t="shared" si="11"/>
        <v>0</v>
      </c>
      <c r="Z42" s="444">
        <f t="shared" si="11"/>
        <v>0</v>
      </c>
      <c r="AA42" s="444">
        <f t="shared" si="11"/>
        <v>0</v>
      </c>
      <c r="AB42" s="444">
        <f t="shared" si="11"/>
        <v>0</v>
      </c>
      <c r="AC42" s="80"/>
      <c r="AD42" s="50"/>
    </row>
    <row r="43" spans="2:30">
      <c r="B43" s="48"/>
      <c r="C43" s="77"/>
      <c r="D43" s="240"/>
      <c r="E43" s="240"/>
      <c r="F43" s="364"/>
      <c r="G43" s="363"/>
      <c r="H43" s="242"/>
      <c r="I43" s="363"/>
      <c r="J43" s="363"/>
      <c r="K43" s="79"/>
      <c r="L43" s="191">
        <f t="shared" si="8"/>
        <v>0</v>
      </c>
      <c r="M43" s="444">
        <f t="shared" si="0"/>
        <v>0</v>
      </c>
      <c r="N43" s="444">
        <f t="shared" si="1"/>
        <v>0</v>
      </c>
      <c r="O43" s="485" t="str">
        <f t="shared" si="2"/>
        <v>-</v>
      </c>
      <c r="P43" s="444">
        <f t="shared" si="3"/>
        <v>0</v>
      </c>
      <c r="Q43" s="79"/>
      <c r="R43" s="444">
        <f t="shared" si="4"/>
        <v>0</v>
      </c>
      <c r="S43" s="444">
        <f t="shared" si="5"/>
        <v>0</v>
      </c>
      <c r="T43" s="444">
        <f t="shared" si="6"/>
        <v>0</v>
      </c>
      <c r="U43" s="444">
        <f t="shared" si="9"/>
        <v>0</v>
      </c>
      <c r="V43" s="444">
        <f t="shared" si="9"/>
        <v>0</v>
      </c>
      <c r="W43" s="79"/>
      <c r="X43" s="444">
        <f t="shared" si="11"/>
        <v>0</v>
      </c>
      <c r="Y43" s="444">
        <f t="shared" si="11"/>
        <v>0</v>
      </c>
      <c r="Z43" s="444">
        <f t="shared" si="11"/>
        <v>0</v>
      </c>
      <c r="AA43" s="444">
        <f t="shared" si="11"/>
        <v>0</v>
      </c>
      <c r="AB43" s="444">
        <f t="shared" si="11"/>
        <v>0</v>
      </c>
      <c r="AC43" s="80"/>
      <c r="AD43" s="50"/>
    </row>
    <row r="44" spans="2:30">
      <c r="B44" s="48"/>
      <c r="C44" s="77"/>
      <c r="D44" s="240"/>
      <c r="E44" s="240"/>
      <c r="F44" s="364"/>
      <c r="G44" s="363"/>
      <c r="H44" s="242"/>
      <c r="I44" s="363"/>
      <c r="J44" s="363"/>
      <c r="K44" s="79"/>
      <c r="L44" s="191">
        <f t="shared" si="8"/>
        <v>0</v>
      </c>
      <c r="M44" s="444">
        <f t="shared" si="0"/>
        <v>0</v>
      </c>
      <c r="N44" s="444">
        <f t="shared" si="1"/>
        <v>0</v>
      </c>
      <c r="O44" s="485" t="str">
        <f t="shared" si="2"/>
        <v>-</v>
      </c>
      <c r="P44" s="444">
        <f t="shared" si="3"/>
        <v>0</v>
      </c>
      <c r="Q44" s="79"/>
      <c r="R44" s="444">
        <f t="shared" si="4"/>
        <v>0</v>
      </c>
      <c r="S44" s="444">
        <f t="shared" si="5"/>
        <v>0</v>
      </c>
      <c r="T44" s="444">
        <f t="shared" si="6"/>
        <v>0</v>
      </c>
      <c r="U44" s="444">
        <f t="shared" si="9"/>
        <v>0</v>
      </c>
      <c r="V44" s="444">
        <f t="shared" si="9"/>
        <v>0</v>
      </c>
      <c r="W44" s="79"/>
      <c r="X44" s="444">
        <f t="shared" ref="X44:AB53" si="12">IF(X$8=$I44,($G44*$H44),0)</f>
        <v>0</v>
      </c>
      <c r="Y44" s="444">
        <f t="shared" si="12"/>
        <v>0</v>
      </c>
      <c r="Z44" s="444">
        <f t="shared" si="12"/>
        <v>0</v>
      </c>
      <c r="AA44" s="444">
        <f t="shared" si="12"/>
        <v>0</v>
      </c>
      <c r="AB44" s="444">
        <f t="shared" si="12"/>
        <v>0</v>
      </c>
      <c r="AC44" s="80"/>
      <c r="AD44" s="50"/>
    </row>
    <row r="45" spans="2:30">
      <c r="B45" s="48"/>
      <c r="C45" s="77"/>
      <c r="D45" s="240"/>
      <c r="E45" s="240"/>
      <c r="F45" s="364"/>
      <c r="G45" s="363"/>
      <c r="H45" s="242"/>
      <c r="I45" s="363"/>
      <c r="J45" s="363"/>
      <c r="K45" s="79"/>
      <c r="L45" s="191">
        <f t="shared" si="8"/>
        <v>0</v>
      </c>
      <c r="M45" s="444">
        <f t="shared" si="0"/>
        <v>0</v>
      </c>
      <c r="N45" s="444">
        <f t="shared" si="1"/>
        <v>0</v>
      </c>
      <c r="O45" s="485" t="str">
        <f t="shared" si="2"/>
        <v>-</v>
      </c>
      <c r="P45" s="444">
        <f t="shared" si="3"/>
        <v>0</v>
      </c>
      <c r="Q45" s="79"/>
      <c r="R45" s="444">
        <f t="shared" si="4"/>
        <v>0</v>
      </c>
      <c r="S45" s="444">
        <f t="shared" si="5"/>
        <v>0</v>
      </c>
      <c r="T45" s="444">
        <f t="shared" si="6"/>
        <v>0</v>
      </c>
      <c r="U45" s="444">
        <f t="shared" si="9"/>
        <v>0</v>
      </c>
      <c r="V45" s="444">
        <f t="shared" si="9"/>
        <v>0</v>
      </c>
      <c r="W45" s="79"/>
      <c r="X45" s="444">
        <f t="shared" si="12"/>
        <v>0</v>
      </c>
      <c r="Y45" s="444">
        <f t="shared" si="12"/>
        <v>0</v>
      </c>
      <c r="Z45" s="444">
        <f t="shared" si="12"/>
        <v>0</v>
      </c>
      <c r="AA45" s="444">
        <f t="shared" si="12"/>
        <v>0</v>
      </c>
      <c r="AB45" s="444">
        <f t="shared" si="12"/>
        <v>0</v>
      </c>
      <c r="AC45" s="80"/>
      <c r="AD45" s="50"/>
    </row>
    <row r="46" spans="2:30">
      <c r="B46" s="48"/>
      <c r="C46" s="77"/>
      <c r="D46" s="240"/>
      <c r="E46" s="240"/>
      <c r="F46" s="364"/>
      <c r="G46" s="363"/>
      <c r="H46" s="242"/>
      <c r="I46" s="363"/>
      <c r="J46" s="363"/>
      <c r="K46" s="79"/>
      <c r="L46" s="191">
        <f t="shared" si="8"/>
        <v>0</v>
      </c>
      <c r="M46" s="444">
        <f t="shared" si="0"/>
        <v>0</v>
      </c>
      <c r="N46" s="444">
        <f t="shared" si="1"/>
        <v>0</v>
      </c>
      <c r="O46" s="485" t="str">
        <f t="shared" si="2"/>
        <v>-</v>
      </c>
      <c r="P46" s="444">
        <f t="shared" si="3"/>
        <v>0</v>
      </c>
      <c r="Q46" s="79"/>
      <c r="R46" s="444">
        <f t="shared" si="4"/>
        <v>0</v>
      </c>
      <c r="S46" s="444">
        <f t="shared" si="5"/>
        <v>0</v>
      </c>
      <c r="T46" s="444">
        <f t="shared" si="6"/>
        <v>0</v>
      </c>
      <c r="U46" s="444">
        <f t="shared" si="9"/>
        <v>0</v>
      </c>
      <c r="V46" s="444">
        <f t="shared" si="9"/>
        <v>0</v>
      </c>
      <c r="W46" s="79"/>
      <c r="X46" s="444">
        <f t="shared" si="12"/>
        <v>0</v>
      </c>
      <c r="Y46" s="444">
        <f t="shared" si="12"/>
        <v>0</v>
      </c>
      <c r="Z46" s="444">
        <f t="shared" si="12"/>
        <v>0</v>
      </c>
      <c r="AA46" s="444">
        <f t="shared" si="12"/>
        <v>0</v>
      </c>
      <c r="AB46" s="444">
        <f t="shared" si="12"/>
        <v>0</v>
      </c>
      <c r="AC46" s="80"/>
      <c r="AD46" s="50"/>
    </row>
    <row r="47" spans="2:30">
      <c r="B47" s="48"/>
      <c r="C47" s="77"/>
      <c r="D47" s="240"/>
      <c r="E47" s="240"/>
      <c r="F47" s="364"/>
      <c r="G47" s="363"/>
      <c r="H47" s="242"/>
      <c r="I47" s="363"/>
      <c r="J47" s="363"/>
      <c r="K47" s="79"/>
      <c r="L47" s="191">
        <f t="shared" si="8"/>
        <v>0</v>
      </c>
      <c r="M47" s="444">
        <f t="shared" si="0"/>
        <v>0</v>
      </c>
      <c r="N47" s="444">
        <f t="shared" si="1"/>
        <v>0</v>
      </c>
      <c r="O47" s="485" t="str">
        <f t="shared" si="2"/>
        <v>-</v>
      </c>
      <c r="P47" s="444">
        <f t="shared" si="3"/>
        <v>0</v>
      </c>
      <c r="Q47" s="79"/>
      <c r="R47" s="444">
        <f t="shared" si="4"/>
        <v>0</v>
      </c>
      <c r="S47" s="444">
        <f t="shared" si="5"/>
        <v>0</v>
      </c>
      <c r="T47" s="444">
        <f t="shared" si="6"/>
        <v>0</v>
      </c>
      <c r="U47" s="444">
        <f t="shared" si="9"/>
        <v>0</v>
      </c>
      <c r="V47" s="444">
        <f t="shared" si="9"/>
        <v>0</v>
      </c>
      <c r="W47" s="79"/>
      <c r="X47" s="444">
        <f t="shared" si="12"/>
        <v>0</v>
      </c>
      <c r="Y47" s="444">
        <f t="shared" si="12"/>
        <v>0</v>
      </c>
      <c r="Z47" s="444">
        <f t="shared" si="12"/>
        <v>0</v>
      </c>
      <c r="AA47" s="444">
        <f t="shared" si="12"/>
        <v>0</v>
      </c>
      <c r="AB47" s="444">
        <f t="shared" si="12"/>
        <v>0</v>
      </c>
      <c r="AC47" s="80"/>
      <c r="AD47" s="50"/>
    </row>
    <row r="48" spans="2:30">
      <c r="B48" s="48"/>
      <c r="C48" s="77"/>
      <c r="D48" s="240"/>
      <c r="E48" s="240"/>
      <c r="F48" s="364"/>
      <c r="G48" s="363"/>
      <c r="H48" s="242"/>
      <c r="I48" s="363"/>
      <c r="J48" s="363"/>
      <c r="K48" s="79"/>
      <c r="L48" s="191">
        <f t="shared" si="8"/>
        <v>0</v>
      </c>
      <c r="M48" s="444">
        <f t="shared" si="0"/>
        <v>0</v>
      </c>
      <c r="N48" s="444">
        <f t="shared" si="1"/>
        <v>0</v>
      </c>
      <c r="O48" s="485" t="str">
        <f t="shared" si="2"/>
        <v>-</v>
      </c>
      <c r="P48" s="444">
        <f t="shared" si="3"/>
        <v>0</v>
      </c>
      <c r="Q48" s="79"/>
      <c r="R48" s="444">
        <f t="shared" si="4"/>
        <v>0</v>
      </c>
      <c r="S48" s="444">
        <f t="shared" si="5"/>
        <v>0</v>
      </c>
      <c r="T48" s="444">
        <f t="shared" si="6"/>
        <v>0</v>
      </c>
      <c r="U48" s="444">
        <f t="shared" si="9"/>
        <v>0</v>
      </c>
      <c r="V48" s="444">
        <f t="shared" si="9"/>
        <v>0</v>
      </c>
      <c r="W48" s="79"/>
      <c r="X48" s="444">
        <f t="shared" si="12"/>
        <v>0</v>
      </c>
      <c r="Y48" s="444">
        <f t="shared" si="12"/>
        <v>0</v>
      </c>
      <c r="Z48" s="444">
        <f t="shared" si="12"/>
        <v>0</v>
      </c>
      <c r="AA48" s="444">
        <f t="shared" si="12"/>
        <v>0</v>
      </c>
      <c r="AB48" s="444">
        <f t="shared" si="12"/>
        <v>0</v>
      </c>
      <c r="AC48" s="80"/>
      <c r="AD48" s="50"/>
    </row>
    <row r="49" spans="2:30">
      <c r="B49" s="48"/>
      <c r="C49" s="77"/>
      <c r="D49" s="240"/>
      <c r="E49" s="240"/>
      <c r="F49" s="364"/>
      <c r="G49" s="363"/>
      <c r="H49" s="242"/>
      <c r="I49" s="363"/>
      <c r="J49" s="363"/>
      <c r="K49" s="79"/>
      <c r="L49" s="191">
        <f t="shared" si="8"/>
        <v>0</v>
      </c>
      <c r="M49" s="444">
        <f t="shared" si="0"/>
        <v>0</v>
      </c>
      <c r="N49" s="444">
        <f t="shared" si="1"/>
        <v>0</v>
      </c>
      <c r="O49" s="485" t="str">
        <f t="shared" si="2"/>
        <v>-</v>
      </c>
      <c r="P49" s="444">
        <f t="shared" si="3"/>
        <v>0</v>
      </c>
      <c r="Q49" s="79"/>
      <c r="R49" s="444">
        <f t="shared" si="4"/>
        <v>0</v>
      </c>
      <c r="S49" s="444">
        <f t="shared" si="5"/>
        <v>0</v>
      </c>
      <c r="T49" s="444">
        <f t="shared" si="6"/>
        <v>0</v>
      </c>
      <c r="U49" s="444">
        <f t="shared" si="9"/>
        <v>0</v>
      </c>
      <c r="V49" s="444">
        <f t="shared" si="9"/>
        <v>0</v>
      </c>
      <c r="W49" s="79"/>
      <c r="X49" s="444">
        <f t="shared" si="12"/>
        <v>0</v>
      </c>
      <c r="Y49" s="444">
        <f t="shared" si="12"/>
        <v>0</v>
      </c>
      <c r="Z49" s="444">
        <f t="shared" si="12"/>
        <v>0</v>
      </c>
      <c r="AA49" s="444">
        <f t="shared" si="12"/>
        <v>0</v>
      </c>
      <c r="AB49" s="444">
        <f t="shared" si="12"/>
        <v>0</v>
      </c>
      <c r="AC49" s="80"/>
      <c r="AD49" s="50"/>
    </row>
    <row r="50" spans="2:30">
      <c r="B50" s="48"/>
      <c r="C50" s="77"/>
      <c r="D50" s="240"/>
      <c r="E50" s="240"/>
      <c r="F50" s="364"/>
      <c r="G50" s="363"/>
      <c r="H50" s="242"/>
      <c r="I50" s="363"/>
      <c r="J50" s="363"/>
      <c r="K50" s="79"/>
      <c r="L50" s="191">
        <f t="shared" si="8"/>
        <v>0</v>
      </c>
      <c r="M50" s="444">
        <f t="shared" si="0"/>
        <v>0</v>
      </c>
      <c r="N50" s="444">
        <f t="shared" si="1"/>
        <v>0</v>
      </c>
      <c r="O50" s="485" t="str">
        <f t="shared" si="2"/>
        <v>-</v>
      </c>
      <c r="P50" s="444">
        <f t="shared" si="3"/>
        <v>0</v>
      </c>
      <c r="Q50" s="79"/>
      <c r="R50" s="444">
        <f t="shared" si="4"/>
        <v>0</v>
      </c>
      <c r="S50" s="444">
        <f t="shared" si="5"/>
        <v>0</v>
      </c>
      <c r="T50" s="444">
        <f t="shared" si="6"/>
        <v>0</v>
      </c>
      <c r="U50" s="444">
        <f t="shared" si="9"/>
        <v>0</v>
      </c>
      <c r="V50" s="444">
        <f t="shared" si="9"/>
        <v>0</v>
      </c>
      <c r="W50" s="79"/>
      <c r="X50" s="444">
        <f t="shared" si="12"/>
        <v>0</v>
      </c>
      <c r="Y50" s="444">
        <f t="shared" si="12"/>
        <v>0</v>
      </c>
      <c r="Z50" s="444">
        <f t="shared" si="12"/>
        <v>0</v>
      </c>
      <c r="AA50" s="444">
        <f t="shared" si="12"/>
        <v>0</v>
      </c>
      <c r="AB50" s="444">
        <f t="shared" si="12"/>
        <v>0</v>
      </c>
      <c r="AC50" s="80"/>
      <c r="AD50" s="50"/>
    </row>
    <row r="51" spans="2:30">
      <c r="B51" s="48"/>
      <c r="C51" s="77"/>
      <c r="D51" s="240"/>
      <c r="E51" s="240"/>
      <c r="F51" s="364"/>
      <c r="G51" s="363"/>
      <c r="H51" s="242"/>
      <c r="I51" s="363"/>
      <c r="J51" s="363"/>
      <c r="K51" s="79"/>
      <c r="L51" s="191">
        <f t="shared" si="8"/>
        <v>0</v>
      </c>
      <c r="M51" s="444">
        <f t="shared" si="0"/>
        <v>0</v>
      </c>
      <c r="N51" s="444">
        <f t="shared" si="1"/>
        <v>0</v>
      </c>
      <c r="O51" s="485" t="str">
        <f t="shared" si="2"/>
        <v>-</v>
      </c>
      <c r="P51" s="444">
        <f t="shared" si="3"/>
        <v>0</v>
      </c>
      <c r="Q51" s="79"/>
      <c r="R51" s="444">
        <f t="shared" si="4"/>
        <v>0</v>
      </c>
      <c r="S51" s="444">
        <f t="shared" si="5"/>
        <v>0</v>
      </c>
      <c r="T51" s="444">
        <f t="shared" si="6"/>
        <v>0</v>
      </c>
      <c r="U51" s="444">
        <f t="shared" si="9"/>
        <v>0</v>
      </c>
      <c r="V51" s="444">
        <f t="shared" si="9"/>
        <v>0</v>
      </c>
      <c r="W51" s="79"/>
      <c r="X51" s="444">
        <f t="shared" si="12"/>
        <v>0</v>
      </c>
      <c r="Y51" s="444">
        <f t="shared" si="12"/>
        <v>0</v>
      </c>
      <c r="Z51" s="444">
        <f t="shared" si="12"/>
        <v>0</v>
      </c>
      <c r="AA51" s="444">
        <f t="shared" si="12"/>
        <v>0</v>
      </c>
      <c r="AB51" s="444">
        <f t="shared" si="12"/>
        <v>0</v>
      </c>
      <c r="AC51" s="80"/>
      <c r="AD51" s="50"/>
    </row>
    <row r="52" spans="2:30">
      <c r="B52" s="48"/>
      <c r="C52" s="77"/>
      <c r="D52" s="240"/>
      <c r="E52" s="240"/>
      <c r="F52" s="364"/>
      <c r="G52" s="363"/>
      <c r="H52" s="242"/>
      <c r="I52" s="363"/>
      <c r="J52" s="363"/>
      <c r="K52" s="79"/>
      <c r="L52" s="191">
        <f t="shared" si="8"/>
        <v>0</v>
      </c>
      <c r="M52" s="444">
        <f t="shared" si="0"/>
        <v>0</v>
      </c>
      <c r="N52" s="444">
        <f t="shared" si="1"/>
        <v>0</v>
      </c>
      <c r="O52" s="485" t="str">
        <f t="shared" si="2"/>
        <v>-</v>
      </c>
      <c r="P52" s="444">
        <f t="shared" si="3"/>
        <v>0</v>
      </c>
      <c r="Q52" s="79"/>
      <c r="R52" s="444">
        <f t="shared" si="4"/>
        <v>0</v>
      </c>
      <c r="S52" s="444">
        <f t="shared" si="5"/>
        <v>0</v>
      </c>
      <c r="T52" s="444">
        <f t="shared" si="6"/>
        <v>0</v>
      </c>
      <c r="U52" s="444">
        <f t="shared" si="9"/>
        <v>0</v>
      </c>
      <c r="V52" s="444">
        <f t="shared" si="9"/>
        <v>0</v>
      </c>
      <c r="W52" s="79"/>
      <c r="X52" s="444">
        <f t="shared" si="12"/>
        <v>0</v>
      </c>
      <c r="Y52" s="444">
        <f t="shared" si="12"/>
        <v>0</v>
      </c>
      <c r="Z52" s="444">
        <f t="shared" si="12"/>
        <v>0</v>
      </c>
      <c r="AA52" s="444">
        <f t="shared" si="12"/>
        <v>0</v>
      </c>
      <c r="AB52" s="444">
        <f t="shared" si="12"/>
        <v>0</v>
      </c>
      <c r="AC52" s="80"/>
      <c r="AD52" s="50"/>
    </row>
    <row r="53" spans="2:30">
      <c r="B53" s="48"/>
      <c r="C53" s="77"/>
      <c r="D53" s="240"/>
      <c r="E53" s="240"/>
      <c r="F53" s="364"/>
      <c r="G53" s="363"/>
      <c r="H53" s="242"/>
      <c r="I53" s="363"/>
      <c r="J53" s="363"/>
      <c r="K53" s="79"/>
      <c r="L53" s="191">
        <f t="shared" si="8"/>
        <v>0</v>
      </c>
      <c r="M53" s="444">
        <f t="shared" si="0"/>
        <v>0</v>
      </c>
      <c r="N53" s="444">
        <f t="shared" si="1"/>
        <v>0</v>
      </c>
      <c r="O53" s="485" t="str">
        <f t="shared" si="2"/>
        <v>-</v>
      </c>
      <c r="P53" s="444">
        <f t="shared" si="3"/>
        <v>0</v>
      </c>
      <c r="Q53" s="79"/>
      <c r="R53" s="444">
        <f t="shared" si="4"/>
        <v>0</v>
      </c>
      <c r="S53" s="444">
        <f t="shared" si="5"/>
        <v>0</v>
      </c>
      <c r="T53" s="444">
        <f t="shared" si="6"/>
        <v>0</v>
      </c>
      <c r="U53" s="444">
        <f t="shared" si="9"/>
        <v>0</v>
      </c>
      <c r="V53" s="444">
        <f t="shared" si="9"/>
        <v>0</v>
      </c>
      <c r="W53" s="79"/>
      <c r="X53" s="444">
        <f t="shared" si="12"/>
        <v>0</v>
      </c>
      <c r="Y53" s="444">
        <f t="shared" si="12"/>
        <v>0</v>
      </c>
      <c r="Z53" s="444">
        <f t="shared" si="12"/>
        <v>0</v>
      </c>
      <c r="AA53" s="444">
        <f t="shared" si="12"/>
        <v>0</v>
      </c>
      <c r="AB53" s="444">
        <f t="shared" si="12"/>
        <v>0</v>
      </c>
      <c r="AC53" s="80"/>
      <c r="AD53" s="50"/>
    </row>
    <row r="54" spans="2:30">
      <c r="B54" s="48"/>
      <c r="C54" s="77"/>
      <c r="D54" s="240"/>
      <c r="E54" s="240"/>
      <c r="F54" s="364"/>
      <c r="G54" s="363"/>
      <c r="H54" s="242"/>
      <c r="I54" s="363"/>
      <c r="J54" s="363"/>
      <c r="K54" s="79"/>
      <c r="L54" s="191">
        <f t="shared" si="8"/>
        <v>0</v>
      </c>
      <c r="M54" s="444">
        <f t="shared" si="0"/>
        <v>0</v>
      </c>
      <c r="N54" s="444">
        <f t="shared" si="1"/>
        <v>0</v>
      </c>
      <c r="O54" s="485" t="str">
        <f t="shared" si="2"/>
        <v>-</v>
      </c>
      <c r="P54" s="444">
        <f t="shared" si="3"/>
        <v>0</v>
      </c>
      <c r="Q54" s="79"/>
      <c r="R54" s="444">
        <f t="shared" si="4"/>
        <v>0</v>
      </c>
      <c r="S54" s="444">
        <f t="shared" si="5"/>
        <v>0</v>
      </c>
      <c r="T54" s="444">
        <f t="shared" si="6"/>
        <v>0</v>
      </c>
      <c r="U54" s="444">
        <f t="shared" si="9"/>
        <v>0</v>
      </c>
      <c r="V54" s="444">
        <f t="shared" si="9"/>
        <v>0</v>
      </c>
      <c r="W54" s="79"/>
      <c r="X54" s="444">
        <f t="shared" ref="X54:AB66" si="13">IF(X$8=$I54,($G54*$H54),0)</f>
        <v>0</v>
      </c>
      <c r="Y54" s="444">
        <f t="shared" si="13"/>
        <v>0</v>
      </c>
      <c r="Z54" s="444">
        <f t="shared" si="13"/>
        <v>0</v>
      </c>
      <c r="AA54" s="444">
        <f t="shared" si="13"/>
        <v>0</v>
      </c>
      <c r="AB54" s="444">
        <f t="shared" si="13"/>
        <v>0</v>
      </c>
      <c r="AC54" s="80"/>
      <c r="AD54" s="50"/>
    </row>
    <row r="55" spans="2:30">
      <c r="B55" s="48"/>
      <c r="C55" s="77"/>
      <c r="D55" s="240"/>
      <c r="E55" s="240"/>
      <c r="F55" s="364"/>
      <c r="G55" s="363"/>
      <c r="H55" s="242"/>
      <c r="I55" s="363"/>
      <c r="J55" s="363"/>
      <c r="K55" s="79"/>
      <c r="L55" s="191">
        <f t="shared" si="8"/>
        <v>0</v>
      </c>
      <c r="M55" s="444">
        <f t="shared" si="0"/>
        <v>0</v>
      </c>
      <c r="N55" s="444">
        <f t="shared" si="1"/>
        <v>0</v>
      </c>
      <c r="O55" s="485" t="str">
        <f t="shared" si="2"/>
        <v>-</v>
      </c>
      <c r="P55" s="444">
        <f t="shared" si="3"/>
        <v>0</v>
      </c>
      <c r="Q55" s="79"/>
      <c r="R55" s="444">
        <f t="shared" si="4"/>
        <v>0</v>
      </c>
      <c r="S55" s="444">
        <f t="shared" si="5"/>
        <v>0</v>
      </c>
      <c r="T55" s="444">
        <f t="shared" si="6"/>
        <v>0</v>
      </c>
      <c r="U55" s="444">
        <f t="shared" si="9"/>
        <v>0</v>
      </c>
      <c r="V55" s="444">
        <f t="shared" si="9"/>
        <v>0</v>
      </c>
      <c r="W55" s="79"/>
      <c r="X55" s="444">
        <f t="shared" si="13"/>
        <v>0</v>
      </c>
      <c r="Y55" s="444">
        <f t="shared" si="13"/>
        <v>0</v>
      </c>
      <c r="Z55" s="444">
        <f t="shared" si="13"/>
        <v>0</v>
      </c>
      <c r="AA55" s="444">
        <f t="shared" si="13"/>
        <v>0</v>
      </c>
      <c r="AB55" s="444">
        <f t="shared" si="13"/>
        <v>0</v>
      </c>
      <c r="AC55" s="80"/>
      <c r="AD55" s="50"/>
    </row>
    <row r="56" spans="2:30">
      <c r="B56" s="48"/>
      <c r="C56" s="77"/>
      <c r="D56" s="240"/>
      <c r="E56" s="240"/>
      <c r="F56" s="364"/>
      <c r="G56" s="363"/>
      <c r="H56" s="242"/>
      <c r="I56" s="363"/>
      <c r="J56" s="363"/>
      <c r="K56" s="79"/>
      <c r="L56" s="191">
        <f t="shared" si="8"/>
        <v>0</v>
      </c>
      <c r="M56" s="444">
        <f t="shared" si="0"/>
        <v>0</v>
      </c>
      <c r="N56" s="444">
        <f t="shared" si="1"/>
        <v>0</v>
      </c>
      <c r="O56" s="485" t="str">
        <f t="shared" si="2"/>
        <v>-</v>
      </c>
      <c r="P56" s="444">
        <f t="shared" si="3"/>
        <v>0</v>
      </c>
      <c r="Q56" s="79"/>
      <c r="R56" s="444">
        <f t="shared" si="4"/>
        <v>0</v>
      </c>
      <c r="S56" s="444">
        <f t="shared" si="5"/>
        <v>0</v>
      </c>
      <c r="T56" s="444">
        <f t="shared" si="6"/>
        <v>0</v>
      </c>
      <c r="U56" s="444">
        <f t="shared" si="9"/>
        <v>0</v>
      </c>
      <c r="V56" s="444">
        <f t="shared" si="9"/>
        <v>0</v>
      </c>
      <c r="W56" s="79"/>
      <c r="X56" s="444">
        <f t="shared" si="13"/>
        <v>0</v>
      </c>
      <c r="Y56" s="444">
        <f t="shared" si="13"/>
        <v>0</v>
      </c>
      <c r="Z56" s="444">
        <f t="shared" si="13"/>
        <v>0</v>
      </c>
      <c r="AA56" s="444">
        <f t="shared" si="13"/>
        <v>0</v>
      </c>
      <c r="AB56" s="444">
        <f t="shared" si="13"/>
        <v>0</v>
      </c>
      <c r="AC56" s="80"/>
      <c r="AD56" s="50"/>
    </row>
    <row r="57" spans="2:30">
      <c r="B57" s="48"/>
      <c r="C57" s="77"/>
      <c r="D57" s="240"/>
      <c r="E57" s="240"/>
      <c r="F57" s="364"/>
      <c r="G57" s="363"/>
      <c r="H57" s="242"/>
      <c r="I57" s="363"/>
      <c r="J57" s="363"/>
      <c r="K57" s="79"/>
      <c r="L57" s="191">
        <f t="shared" si="8"/>
        <v>0</v>
      </c>
      <c r="M57" s="444">
        <f t="shared" si="0"/>
        <v>0</v>
      </c>
      <c r="N57" s="444">
        <f t="shared" si="1"/>
        <v>0</v>
      </c>
      <c r="O57" s="485" t="str">
        <f t="shared" si="2"/>
        <v>-</v>
      </c>
      <c r="P57" s="444">
        <f t="shared" si="3"/>
        <v>0</v>
      </c>
      <c r="Q57" s="79"/>
      <c r="R57" s="444">
        <f t="shared" si="4"/>
        <v>0</v>
      </c>
      <c r="S57" s="444">
        <f t="shared" si="5"/>
        <v>0</v>
      </c>
      <c r="T57" s="444">
        <f t="shared" si="6"/>
        <v>0</v>
      </c>
      <c r="U57" s="444">
        <f t="shared" si="9"/>
        <v>0</v>
      </c>
      <c r="V57" s="444">
        <f t="shared" si="9"/>
        <v>0</v>
      </c>
      <c r="W57" s="79"/>
      <c r="X57" s="444">
        <f t="shared" si="13"/>
        <v>0</v>
      </c>
      <c r="Y57" s="444">
        <f t="shared" si="13"/>
        <v>0</v>
      </c>
      <c r="Z57" s="444">
        <f t="shared" si="13"/>
        <v>0</v>
      </c>
      <c r="AA57" s="444">
        <f t="shared" si="13"/>
        <v>0</v>
      </c>
      <c r="AB57" s="444">
        <f t="shared" si="13"/>
        <v>0</v>
      </c>
      <c r="AC57" s="80"/>
      <c r="AD57" s="50"/>
    </row>
    <row r="58" spans="2:30">
      <c r="B58" s="48"/>
      <c r="C58" s="77"/>
      <c r="D58" s="240"/>
      <c r="E58" s="240"/>
      <c r="F58" s="364"/>
      <c r="G58" s="363"/>
      <c r="H58" s="242"/>
      <c r="I58" s="363"/>
      <c r="J58" s="363"/>
      <c r="K58" s="79"/>
      <c r="L58" s="191">
        <f t="shared" si="8"/>
        <v>0</v>
      </c>
      <c r="M58" s="444">
        <f t="shared" si="0"/>
        <v>0</v>
      </c>
      <c r="N58" s="444">
        <f t="shared" si="1"/>
        <v>0</v>
      </c>
      <c r="O58" s="485" t="str">
        <f t="shared" si="2"/>
        <v>-</v>
      </c>
      <c r="P58" s="444">
        <f t="shared" si="3"/>
        <v>0</v>
      </c>
      <c r="Q58" s="79"/>
      <c r="R58" s="444">
        <f t="shared" si="4"/>
        <v>0</v>
      </c>
      <c r="S58" s="444">
        <f t="shared" si="5"/>
        <v>0</v>
      </c>
      <c r="T58" s="444">
        <f t="shared" si="6"/>
        <v>0</v>
      </c>
      <c r="U58" s="444">
        <f t="shared" si="9"/>
        <v>0</v>
      </c>
      <c r="V58" s="444">
        <f t="shared" si="9"/>
        <v>0</v>
      </c>
      <c r="W58" s="79"/>
      <c r="X58" s="444">
        <f t="shared" si="13"/>
        <v>0</v>
      </c>
      <c r="Y58" s="444">
        <f t="shared" si="13"/>
        <v>0</v>
      </c>
      <c r="Z58" s="444">
        <f t="shared" si="13"/>
        <v>0</v>
      </c>
      <c r="AA58" s="444">
        <f t="shared" si="13"/>
        <v>0</v>
      </c>
      <c r="AB58" s="444">
        <f t="shared" si="13"/>
        <v>0</v>
      </c>
      <c r="AC58" s="80"/>
      <c r="AD58" s="50"/>
    </row>
    <row r="59" spans="2:30">
      <c r="B59" s="48"/>
      <c r="C59" s="77"/>
      <c r="D59" s="240"/>
      <c r="E59" s="240"/>
      <c r="F59" s="364"/>
      <c r="G59" s="363"/>
      <c r="H59" s="242"/>
      <c r="I59" s="363"/>
      <c r="J59" s="363"/>
      <c r="K59" s="79"/>
      <c r="L59" s="191">
        <f t="shared" si="8"/>
        <v>0</v>
      </c>
      <c r="M59" s="444">
        <f t="shared" si="0"/>
        <v>0</v>
      </c>
      <c r="N59" s="444">
        <f t="shared" si="1"/>
        <v>0</v>
      </c>
      <c r="O59" s="485" t="str">
        <f t="shared" si="2"/>
        <v>-</v>
      </c>
      <c r="P59" s="444">
        <f t="shared" si="3"/>
        <v>0</v>
      </c>
      <c r="Q59" s="79"/>
      <c r="R59" s="444">
        <f t="shared" si="4"/>
        <v>0</v>
      </c>
      <c r="S59" s="444">
        <f t="shared" si="5"/>
        <v>0</v>
      </c>
      <c r="T59" s="444">
        <f t="shared" si="6"/>
        <v>0</v>
      </c>
      <c r="U59" s="444">
        <f t="shared" si="9"/>
        <v>0</v>
      </c>
      <c r="V59" s="444">
        <f t="shared" si="9"/>
        <v>0</v>
      </c>
      <c r="W59" s="79"/>
      <c r="X59" s="444">
        <f t="shared" si="13"/>
        <v>0</v>
      </c>
      <c r="Y59" s="444">
        <f t="shared" si="13"/>
        <v>0</v>
      </c>
      <c r="Z59" s="444">
        <f t="shared" si="13"/>
        <v>0</v>
      </c>
      <c r="AA59" s="444">
        <f t="shared" si="13"/>
        <v>0</v>
      </c>
      <c r="AB59" s="444">
        <f t="shared" si="13"/>
        <v>0</v>
      </c>
      <c r="AC59" s="80"/>
      <c r="AD59" s="50"/>
    </row>
    <row r="60" spans="2:30">
      <c r="B60" s="48"/>
      <c r="C60" s="77"/>
      <c r="D60" s="240"/>
      <c r="E60" s="240"/>
      <c r="F60" s="364"/>
      <c r="G60" s="363"/>
      <c r="H60" s="242"/>
      <c r="I60" s="363"/>
      <c r="J60" s="363"/>
      <c r="K60" s="79"/>
      <c r="L60" s="191">
        <f t="shared" si="8"/>
        <v>0</v>
      </c>
      <c r="M60" s="444">
        <f t="shared" si="0"/>
        <v>0</v>
      </c>
      <c r="N60" s="444">
        <f t="shared" si="1"/>
        <v>0</v>
      </c>
      <c r="O60" s="485" t="str">
        <f t="shared" si="2"/>
        <v>-</v>
      </c>
      <c r="P60" s="444">
        <f t="shared" si="3"/>
        <v>0</v>
      </c>
      <c r="Q60" s="79"/>
      <c r="R60" s="444">
        <f t="shared" si="4"/>
        <v>0</v>
      </c>
      <c r="S60" s="444">
        <f t="shared" si="5"/>
        <v>0</v>
      </c>
      <c r="T60" s="444">
        <f t="shared" si="6"/>
        <v>0</v>
      </c>
      <c r="U60" s="444">
        <f t="shared" si="9"/>
        <v>0</v>
      </c>
      <c r="V60" s="444">
        <f t="shared" si="9"/>
        <v>0</v>
      </c>
      <c r="W60" s="79"/>
      <c r="X60" s="444">
        <f t="shared" si="13"/>
        <v>0</v>
      </c>
      <c r="Y60" s="444">
        <f t="shared" si="13"/>
        <v>0</v>
      </c>
      <c r="Z60" s="444">
        <f t="shared" si="13"/>
        <v>0</v>
      </c>
      <c r="AA60" s="444">
        <f t="shared" si="13"/>
        <v>0</v>
      </c>
      <c r="AB60" s="444">
        <f t="shared" si="13"/>
        <v>0</v>
      </c>
      <c r="AC60" s="80"/>
      <c r="AD60" s="50"/>
    </row>
    <row r="61" spans="2:30">
      <c r="B61" s="48"/>
      <c r="C61" s="77"/>
      <c r="D61" s="240"/>
      <c r="E61" s="240"/>
      <c r="F61" s="364"/>
      <c r="G61" s="363"/>
      <c r="H61" s="242"/>
      <c r="I61" s="363"/>
      <c r="J61" s="363"/>
      <c r="K61" s="79"/>
      <c r="L61" s="191">
        <f t="shared" si="8"/>
        <v>0</v>
      </c>
      <c r="M61" s="444">
        <f t="shared" si="0"/>
        <v>0</v>
      </c>
      <c r="N61" s="444">
        <f t="shared" si="1"/>
        <v>0</v>
      </c>
      <c r="O61" s="485" t="str">
        <f t="shared" si="2"/>
        <v>-</v>
      </c>
      <c r="P61" s="444">
        <f t="shared" si="3"/>
        <v>0</v>
      </c>
      <c r="Q61" s="79"/>
      <c r="R61" s="444">
        <f t="shared" si="4"/>
        <v>0</v>
      </c>
      <c r="S61" s="444">
        <f t="shared" si="5"/>
        <v>0</v>
      </c>
      <c r="T61" s="444">
        <f t="shared" si="6"/>
        <v>0</v>
      </c>
      <c r="U61" s="444">
        <f t="shared" si="9"/>
        <v>0</v>
      </c>
      <c r="V61" s="444">
        <f t="shared" si="9"/>
        <v>0</v>
      </c>
      <c r="W61" s="79"/>
      <c r="X61" s="444">
        <f t="shared" si="13"/>
        <v>0</v>
      </c>
      <c r="Y61" s="444">
        <f t="shared" si="13"/>
        <v>0</v>
      </c>
      <c r="Z61" s="444">
        <f t="shared" si="13"/>
        <v>0</v>
      </c>
      <c r="AA61" s="444">
        <f t="shared" si="13"/>
        <v>0</v>
      </c>
      <c r="AB61" s="444">
        <f t="shared" si="13"/>
        <v>0</v>
      </c>
      <c r="AC61" s="80"/>
      <c r="AD61" s="50"/>
    </row>
    <row r="62" spans="2:30">
      <c r="B62" s="48"/>
      <c r="C62" s="77"/>
      <c r="D62" s="240"/>
      <c r="E62" s="240"/>
      <c r="F62" s="364"/>
      <c r="G62" s="363"/>
      <c r="H62" s="242"/>
      <c r="I62" s="363"/>
      <c r="J62" s="363"/>
      <c r="K62" s="79"/>
      <c r="L62" s="191">
        <f t="shared" si="8"/>
        <v>0</v>
      </c>
      <c r="M62" s="444">
        <f t="shared" si="0"/>
        <v>0</v>
      </c>
      <c r="N62" s="444">
        <f t="shared" si="1"/>
        <v>0</v>
      </c>
      <c r="O62" s="485" t="str">
        <f t="shared" si="2"/>
        <v>-</v>
      </c>
      <c r="P62" s="444">
        <f t="shared" si="3"/>
        <v>0</v>
      </c>
      <c r="Q62" s="79"/>
      <c r="R62" s="444">
        <f t="shared" si="4"/>
        <v>0</v>
      </c>
      <c r="S62" s="444">
        <f t="shared" si="5"/>
        <v>0</v>
      </c>
      <c r="T62" s="444">
        <f t="shared" si="6"/>
        <v>0</v>
      </c>
      <c r="U62" s="444">
        <f t="shared" si="9"/>
        <v>0</v>
      </c>
      <c r="V62" s="444">
        <f t="shared" si="9"/>
        <v>0</v>
      </c>
      <c r="W62" s="79"/>
      <c r="X62" s="444">
        <f t="shared" si="13"/>
        <v>0</v>
      </c>
      <c r="Y62" s="444">
        <f t="shared" si="13"/>
        <v>0</v>
      </c>
      <c r="Z62" s="444">
        <f t="shared" si="13"/>
        <v>0</v>
      </c>
      <c r="AA62" s="444">
        <f t="shared" si="13"/>
        <v>0</v>
      </c>
      <c r="AB62" s="444">
        <f t="shared" si="13"/>
        <v>0</v>
      </c>
      <c r="AC62" s="80"/>
      <c r="AD62" s="50"/>
    </row>
    <row r="63" spans="2:30">
      <c r="B63" s="48"/>
      <c r="C63" s="77"/>
      <c r="D63" s="240"/>
      <c r="E63" s="240"/>
      <c r="F63" s="364"/>
      <c r="G63" s="363"/>
      <c r="H63" s="242"/>
      <c r="I63" s="363"/>
      <c r="J63" s="363"/>
      <c r="K63" s="79"/>
      <c r="L63" s="191">
        <f t="shared" si="8"/>
        <v>0</v>
      </c>
      <c r="M63" s="444">
        <f t="shared" si="0"/>
        <v>0</v>
      </c>
      <c r="N63" s="444">
        <f t="shared" si="1"/>
        <v>0</v>
      </c>
      <c r="O63" s="485" t="str">
        <f t="shared" si="2"/>
        <v>-</v>
      </c>
      <c r="P63" s="444">
        <f t="shared" si="3"/>
        <v>0</v>
      </c>
      <c r="Q63" s="79"/>
      <c r="R63" s="444">
        <f t="shared" si="4"/>
        <v>0</v>
      </c>
      <c r="S63" s="444">
        <f t="shared" si="5"/>
        <v>0</v>
      </c>
      <c r="T63" s="444">
        <f t="shared" si="6"/>
        <v>0</v>
      </c>
      <c r="U63" s="444">
        <f t="shared" si="9"/>
        <v>0</v>
      </c>
      <c r="V63" s="444">
        <f t="shared" si="9"/>
        <v>0</v>
      </c>
      <c r="W63" s="79"/>
      <c r="X63" s="444">
        <f t="shared" si="13"/>
        <v>0</v>
      </c>
      <c r="Y63" s="444">
        <f t="shared" si="13"/>
        <v>0</v>
      </c>
      <c r="Z63" s="444">
        <f t="shared" si="13"/>
        <v>0</v>
      </c>
      <c r="AA63" s="444">
        <f t="shared" si="13"/>
        <v>0</v>
      </c>
      <c r="AB63" s="444">
        <f t="shared" si="13"/>
        <v>0</v>
      </c>
      <c r="AC63" s="80"/>
      <c r="AD63" s="50"/>
    </row>
    <row r="64" spans="2:30">
      <c r="B64" s="48"/>
      <c r="C64" s="77"/>
      <c r="D64" s="240"/>
      <c r="E64" s="240"/>
      <c r="F64" s="364"/>
      <c r="G64" s="363"/>
      <c r="H64" s="242"/>
      <c r="I64" s="363"/>
      <c r="J64" s="363"/>
      <c r="K64" s="79"/>
      <c r="L64" s="191">
        <f t="shared" si="8"/>
        <v>0</v>
      </c>
      <c r="M64" s="444">
        <f t="shared" si="0"/>
        <v>0</v>
      </c>
      <c r="N64" s="444">
        <f t="shared" si="1"/>
        <v>0</v>
      </c>
      <c r="O64" s="485" t="str">
        <f t="shared" si="2"/>
        <v>-</v>
      </c>
      <c r="P64" s="444">
        <f t="shared" si="3"/>
        <v>0</v>
      </c>
      <c r="Q64" s="79"/>
      <c r="R64" s="444">
        <f t="shared" si="4"/>
        <v>0</v>
      </c>
      <c r="S64" s="444">
        <f t="shared" si="5"/>
        <v>0</v>
      </c>
      <c r="T64" s="444">
        <f t="shared" si="6"/>
        <v>0</v>
      </c>
      <c r="U64" s="444">
        <f t="shared" si="9"/>
        <v>0</v>
      </c>
      <c r="V64" s="444">
        <f t="shared" si="9"/>
        <v>0</v>
      </c>
      <c r="W64" s="79"/>
      <c r="X64" s="444">
        <f t="shared" si="13"/>
        <v>0</v>
      </c>
      <c r="Y64" s="444">
        <f t="shared" si="13"/>
        <v>0</v>
      </c>
      <c r="Z64" s="444">
        <f t="shared" si="13"/>
        <v>0</v>
      </c>
      <c r="AA64" s="444">
        <f t="shared" si="13"/>
        <v>0</v>
      </c>
      <c r="AB64" s="444">
        <f t="shared" si="13"/>
        <v>0</v>
      </c>
      <c r="AC64" s="80"/>
      <c r="AD64" s="50"/>
    </row>
    <row r="65" spans="2:30">
      <c r="B65" s="48"/>
      <c r="C65" s="77"/>
      <c r="D65" s="240"/>
      <c r="E65" s="240"/>
      <c r="F65" s="364"/>
      <c r="G65" s="363"/>
      <c r="H65" s="242"/>
      <c r="I65" s="363"/>
      <c r="J65" s="363"/>
      <c r="K65" s="79"/>
      <c r="L65" s="191">
        <f t="shared" si="8"/>
        <v>0</v>
      </c>
      <c r="M65" s="444">
        <f t="shared" si="0"/>
        <v>0</v>
      </c>
      <c r="N65" s="444">
        <f t="shared" si="1"/>
        <v>0</v>
      </c>
      <c r="O65" s="485" t="str">
        <f t="shared" si="2"/>
        <v>-</v>
      </c>
      <c r="P65" s="444">
        <f t="shared" si="3"/>
        <v>0</v>
      </c>
      <c r="Q65" s="79"/>
      <c r="R65" s="444">
        <f t="shared" si="4"/>
        <v>0</v>
      </c>
      <c r="S65" s="444">
        <f t="shared" si="5"/>
        <v>0</v>
      </c>
      <c r="T65" s="444">
        <f t="shared" si="6"/>
        <v>0</v>
      </c>
      <c r="U65" s="444">
        <f t="shared" si="9"/>
        <v>0</v>
      </c>
      <c r="V65" s="444">
        <f t="shared" si="9"/>
        <v>0</v>
      </c>
      <c r="W65" s="79"/>
      <c r="X65" s="444">
        <f t="shared" si="13"/>
        <v>0</v>
      </c>
      <c r="Y65" s="444">
        <f t="shared" si="13"/>
        <v>0</v>
      </c>
      <c r="Z65" s="444">
        <f t="shared" si="13"/>
        <v>0</v>
      </c>
      <c r="AA65" s="444">
        <f t="shared" si="13"/>
        <v>0</v>
      </c>
      <c r="AB65" s="444">
        <f t="shared" si="13"/>
        <v>0</v>
      </c>
      <c r="AC65" s="80"/>
      <c r="AD65" s="50"/>
    </row>
    <row r="66" spans="2:30">
      <c r="B66" s="48"/>
      <c r="C66" s="77"/>
      <c r="D66" s="240"/>
      <c r="E66" s="240"/>
      <c r="F66" s="364"/>
      <c r="G66" s="363"/>
      <c r="H66" s="242"/>
      <c r="I66" s="363"/>
      <c r="J66" s="363"/>
      <c r="K66" s="79"/>
      <c r="L66" s="191">
        <f t="shared" si="8"/>
        <v>0</v>
      </c>
      <c r="M66" s="444">
        <f t="shared" ref="M66:M88" si="14">G66*H66</f>
        <v>0</v>
      </c>
      <c r="N66" s="444">
        <f t="shared" ref="N66:N88" si="15">IF(G66=0,0,(G66*H66)/L66)</f>
        <v>0</v>
      </c>
      <c r="O66" s="485" t="str">
        <f t="shared" ref="O66:O88" si="16">IF(L66=0,"-",(IF(L66&gt;3000,"-",I66+L66-1)))</f>
        <v>-</v>
      </c>
      <c r="P66" s="444">
        <f t="shared" si="3"/>
        <v>0</v>
      </c>
      <c r="Q66" s="79"/>
      <c r="R66" s="444">
        <f t="shared" si="4"/>
        <v>0</v>
      </c>
      <c r="S66" s="444">
        <f t="shared" si="5"/>
        <v>0</v>
      </c>
      <c r="T66" s="444">
        <f t="shared" si="6"/>
        <v>0</v>
      </c>
      <c r="U66" s="444">
        <f t="shared" si="9"/>
        <v>0</v>
      </c>
      <c r="V66" s="444">
        <f t="shared" si="9"/>
        <v>0</v>
      </c>
      <c r="W66" s="79"/>
      <c r="X66" s="444">
        <f t="shared" si="13"/>
        <v>0</v>
      </c>
      <c r="Y66" s="444">
        <f t="shared" si="13"/>
        <v>0</v>
      </c>
      <c r="Z66" s="444">
        <f t="shared" si="13"/>
        <v>0</v>
      </c>
      <c r="AA66" s="444">
        <f t="shared" si="13"/>
        <v>0</v>
      </c>
      <c r="AB66" s="444">
        <f t="shared" si="13"/>
        <v>0</v>
      </c>
      <c r="AC66" s="80"/>
      <c r="AD66" s="50"/>
    </row>
    <row r="67" spans="2:30">
      <c r="B67" s="48"/>
      <c r="C67" s="77"/>
      <c r="D67" s="240"/>
      <c r="E67" s="240"/>
      <c r="F67" s="364"/>
      <c r="G67" s="363"/>
      <c r="H67" s="242"/>
      <c r="I67" s="363"/>
      <c r="J67" s="363"/>
      <c r="K67" s="79"/>
      <c r="L67" s="191">
        <f t="shared" si="8"/>
        <v>0</v>
      </c>
      <c r="M67" s="444">
        <f t="shared" si="14"/>
        <v>0</v>
      </c>
      <c r="N67" s="444">
        <f t="shared" si="15"/>
        <v>0</v>
      </c>
      <c r="O67" s="485" t="str">
        <f t="shared" si="16"/>
        <v>-</v>
      </c>
      <c r="P67" s="444">
        <f t="shared" si="3"/>
        <v>0</v>
      </c>
      <c r="Q67" s="79"/>
      <c r="R67" s="444">
        <f t="shared" ref="R67:V76" si="17">(IF(R$8&lt;$I67,0,IF($O67&lt;=R$8-1,0,$N67)))</f>
        <v>0</v>
      </c>
      <c r="S67" s="444">
        <f t="shared" si="17"/>
        <v>0</v>
      </c>
      <c r="T67" s="444">
        <f t="shared" si="17"/>
        <v>0</v>
      </c>
      <c r="U67" s="444">
        <f t="shared" si="17"/>
        <v>0</v>
      </c>
      <c r="V67" s="444">
        <f t="shared" si="17"/>
        <v>0</v>
      </c>
      <c r="W67" s="79"/>
      <c r="X67" s="444">
        <f t="shared" ref="X67:Z85" si="18">IF(X$8=$I67,($G67*$H67),0)</f>
        <v>0</v>
      </c>
      <c r="Y67" s="444">
        <f t="shared" si="18"/>
        <v>0</v>
      </c>
      <c r="Z67" s="444">
        <f t="shared" si="18"/>
        <v>0</v>
      </c>
      <c r="AA67" s="444">
        <f t="shared" ref="AA67:AB76" si="19">IF(AA$8=$I67,($G67*$H67),0)</f>
        <v>0</v>
      </c>
      <c r="AB67" s="444">
        <f t="shared" si="19"/>
        <v>0</v>
      </c>
      <c r="AC67" s="80"/>
      <c r="AD67" s="50"/>
    </row>
    <row r="68" spans="2:30">
      <c r="B68" s="48"/>
      <c r="C68" s="77"/>
      <c r="D68" s="240"/>
      <c r="E68" s="240"/>
      <c r="F68" s="364"/>
      <c r="G68" s="363"/>
      <c r="H68" s="242"/>
      <c r="I68" s="363"/>
      <c r="J68" s="363"/>
      <c r="K68" s="79"/>
      <c r="L68" s="191">
        <f t="shared" ref="L68:L88" si="20">IF(J68="geen",9999999999,J68)</f>
        <v>0</v>
      </c>
      <c r="M68" s="444">
        <f t="shared" si="14"/>
        <v>0</v>
      </c>
      <c r="N68" s="444">
        <f t="shared" si="15"/>
        <v>0</v>
      </c>
      <c r="O68" s="485" t="str">
        <f t="shared" si="16"/>
        <v>-</v>
      </c>
      <c r="P68" s="444">
        <f t="shared" si="3"/>
        <v>0</v>
      </c>
      <c r="Q68" s="79"/>
      <c r="R68" s="444">
        <f t="shared" si="17"/>
        <v>0</v>
      </c>
      <c r="S68" s="444">
        <f t="shared" si="17"/>
        <v>0</v>
      </c>
      <c r="T68" s="444">
        <f t="shared" si="17"/>
        <v>0</v>
      </c>
      <c r="U68" s="444">
        <f t="shared" si="17"/>
        <v>0</v>
      </c>
      <c r="V68" s="444">
        <f t="shared" si="17"/>
        <v>0</v>
      </c>
      <c r="W68" s="79"/>
      <c r="X68" s="444">
        <f t="shared" si="18"/>
        <v>0</v>
      </c>
      <c r="Y68" s="444">
        <f t="shared" si="18"/>
        <v>0</v>
      </c>
      <c r="Z68" s="444">
        <f t="shared" si="18"/>
        <v>0</v>
      </c>
      <c r="AA68" s="444">
        <f t="shared" si="19"/>
        <v>0</v>
      </c>
      <c r="AB68" s="444">
        <f t="shared" si="19"/>
        <v>0</v>
      </c>
      <c r="AC68" s="80"/>
      <c r="AD68" s="50"/>
    </row>
    <row r="69" spans="2:30">
      <c r="B69" s="48"/>
      <c r="C69" s="77"/>
      <c r="D69" s="240"/>
      <c r="E69" s="240"/>
      <c r="F69" s="364"/>
      <c r="G69" s="363"/>
      <c r="H69" s="242"/>
      <c r="I69" s="363"/>
      <c r="J69" s="363"/>
      <c r="K69" s="79"/>
      <c r="L69" s="191">
        <f t="shared" si="20"/>
        <v>0</v>
      </c>
      <c r="M69" s="444">
        <f t="shared" si="14"/>
        <v>0</v>
      </c>
      <c r="N69" s="444">
        <f t="shared" si="15"/>
        <v>0</v>
      </c>
      <c r="O69" s="485" t="str">
        <f t="shared" si="16"/>
        <v>-</v>
      </c>
      <c r="P69" s="444">
        <f t="shared" si="3"/>
        <v>0</v>
      </c>
      <c r="Q69" s="79"/>
      <c r="R69" s="444">
        <f t="shared" si="17"/>
        <v>0</v>
      </c>
      <c r="S69" s="444">
        <f t="shared" si="17"/>
        <v>0</v>
      </c>
      <c r="T69" s="444">
        <f t="shared" si="17"/>
        <v>0</v>
      </c>
      <c r="U69" s="444">
        <f t="shared" si="17"/>
        <v>0</v>
      </c>
      <c r="V69" s="444">
        <f t="shared" si="17"/>
        <v>0</v>
      </c>
      <c r="W69" s="79"/>
      <c r="X69" s="444">
        <f t="shared" si="18"/>
        <v>0</v>
      </c>
      <c r="Y69" s="444">
        <f t="shared" si="18"/>
        <v>0</v>
      </c>
      <c r="Z69" s="444">
        <f t="shared" si="18"/>
        <v>0</v>
      </c>
      <c r="AA69" s="444">
        <f t="shared" si="19"/>
        <v>0</v>
      </c>
      <c r="AB69" s="444">
        <f t="shared" si="19"/>
        <v>0</v>
      </c>
      <c r="AC69" s="80"/>
      <c r="AD69" s="50"/>
    </row>
    <row r="70" spans="2:30">
      <c r="B70" s="48"/>
      <c r="C70" s="77"/>
      <c r="D70" s="240"/>
      <c r="E70" s="240"/>
      <c r="F70" s="364"/>
      <c r="G70" s="363"/>
      <c r="H70" s="242"/>
      <c r="I70" s="363"/>
      <c r="J70" s="363"/>
      <c r="K70" s="79"/>
      <c r="L70" s="191">
        <f t="shared" si="20"/>
        <v>0</v>
      </c>
      <c r="M70" s="444">
        <f t="shared" si="14"/>
        <v>0</v>
      </c>
      <c r="N70" s="444">
        <f t="shared" si="15"/>
        <v>0</v>
      </c>
      <c r="O70" s="485" t="str">
        <f t="shared" si="16"/>
        <v>-</v>
      </c>
      <c r="P70" s="444">
        <f t="shared" si="3"/>
        <v>0</v>
      </c>
      <c r="Q70" s="79"/>
      <c r="R70" s="444">
        <f t="shared" si="17"/>
        <v>0</v>
      </c>
      <c r="S70" s="444">
        <f t="shared" si="17"/>
        <v>0</v>
      </c>
      <c r="T70" s="444">
        <f t="shared" si="17"/>
        <v>0</v>
      </c>
      <c r="U70" s="444">
        <f t="shared" si="17"/>
        <v>0</v>
      </c>
      <c r="V70" s="444">
        <f t="shared" si="17"/>
        <v>0</v>
      </c>
      <c r="W70" s="79"/>
      <c r="X70" s="444">
        <f t="shared" si="18"/>
        <v>0</v>
      </c>
      <c r="Y70" s="444">
        <f t="shared" si="18"/>
        <v>0</v>
      </c>
      <c r="Z70" s="444">
        <f t="shared" si="18"/>
        <v>0</v>
      </c>
      <c r="AA70" s="444">
        <f t="shared" si="19"/>
        <v>0</v>
      </c>
      <c r="AB70" s="444">
        <f t="shared" si="19"/>
        <v>0</v>
      </c>
      <c r="AC70" s="80"/>
      <c r="AD70" s="50"/>
    </row>
    <row r="71" spans="2:30">
      <c r="B71" s="48"/>
      <c r="C71" s="77"/>
      <c r="D71" s="240"/>
      <c r="E71" s="240"/>
      <c r="F71" s="364"/>
      <c r="G71" s="363"/>
      <c r="H71" s="242"/>
      <c r="I71" s="363"/>
      <c r="J71" s="363"/>
      <c r="K71" s="79"/>
      <c r="L71" s="191">
        <f t="shared" si="20"/>
        <v>0</v>
      </c>
      <c r="M71" s="444">
        <f t="shared" si="14"/>
        <v>0</v>
      </c>
      <c r="N71" s="444">
        <f t="shared" si="15"/>
        <v>0</v>
      </c>
      <c r="O71" s="485" t="str">
        <f t="shared" si="16"/>
        <v>-</v>
      </c>
      <c r="P71" s="444">
        <f t="shared" si="3"/>
        <v>0</v>
      </c>
      <c r="Q71" s="79"/>
      <c r="R71" s="444">
        <f t="shared" si="17"/>
        <v>0</v>
      </c>
      <c r="S71" s="444">
        <f t="shared" si="17"/>
        <v>0</v>
      </c>
      <c r="T71" s="444">
        <f t="shared" si="17"/>
        <v>0</v>
      </c>
      <c r="U71" s="444">
        <f t="shared" si="17"/>
        <v>0</v>
      </c>
      <c r="V71" s="444">
        <f t="shared" si="17"/>
        <v>0</v>
      </c>
      <c r="W71" s="79"/>
      <c r="X71" s="444">
        <f t="shared" si="18"/>
        <v>0</v>
      </c>
      <c r="Y71" s="444">
        <f t="shared" si="18"/>
        <v>0</v>
      </c>
      <c r="Z71" s="444">
        <f t="shared" si="18"/>
        <v>0</v>
      </c>
      <c r="AA71" s="444">
        <f t="shared" si="19"/>
        <v>0</v>
      </c>
      <c r="AB71" s="444">
        <f t="shared" si="19"/>
        <v>0</v>
      </c>
      <c r="AC71" s="80"/>
      <c r="AD71" s="50"/>
    </row>
    <row r="72" spans="2:30">
      <c r="B72" s="48"/>
      <c r="C72" s="77"/>
      <c r="D72" s="240"/>
      <c r="E72" s="240"/>
      <c r="F72" s="364"/>
      <c r="G72" s="363"/>
      <c r="H72" s="242"/>
      <c r="I72" s="363"/>
      <c r="J72" s="363"/>
      <c r="K72" s="79"/>
      <c r="L72" s="191">
        <f t="shared" si="20"/>
        <v>0</v>
      </c>
      <c r="M72" s="444">
        <f t="shared" si="14"/>
        <v>0</v>
      </c>
      <c r="N72" s="444">
        <f t="shared" si="15"/>
        <v>0</v>
      </c>
      <c r="O72" s="485" t="str">
        <f t="shared" si="16"/>
        <v>-</v>
      </c>
      <c r="P72" s="444">
        <f t="shared" si="3"/>
        <v>0</v>
      </c>
      <c r="Q72" s="79"/>
      <c r="R72" s="444">
        <f t="shared" si="17"/>
        <v>0</v>
      </c>
      <c r="S72" s="444">
        <f t="shared" si="17"/>
        <v>0</v>
      </c>
      <c r="T72" s="444">
        <f t="shared" si="17"/>
        <v>0</v>
      </c>
      <c r="U72" s="444">
        <f t="shared" si="17"/>
        <v>0</v>
      </c>
      <c r="V72" s="444">
        <f t="shared" si="17"/>
        <v>0</v>
      </c>
      <c r="W72" s="79"/>
      <c r="X72" s="444">
        <f t="shared" si="18"/>
        <v>0</v>
      </c>
      <c r="Y72" s="444">
        <f t="shared" si="18"/>
        <v>0</v>
      </c>
      <c r="Z72" s="444">
        <f t="shared" si="18"/>
        <v>0</v>
      </c>
      <c r="AA72" s="444">
        <f t="shared" si="19"/>
        <v>0</v>
      </c>
      <c r="AB72" s="444">
        <f t="shared" si="19"/>
        <v>0</v>
      </c>
      <c r="AC72" s="80"/>
      <c r="AD72" s="50"/>
    </row>
    <row r="73" spans="2:30">
      <c r="B73" s="48"/>
      <c r="C73" s="77"/>
      <c r="D73" s="240"/>
      <c r="E73" s="240"/>
      <c r="F73" s="364"/>
      <c r="G73" s="363"/>
      <c r="H73" s="242"/>
      <c r="I73" s="363"/>
      <c r="J73" s="363"/>
      <c r="K73" s="79"/>
      <c r="L73" s="191">
        <f t="shared" si="20"/>
        <v>0</v>
      </c>
      <c r="M73" s="444">
        <f t="shared" si="14"/>
        <v>0</v>
      </c>
      <c r="N73" s="444">
        <f t="shared" si="15"/>
        <v>0</v>
      </c>
      <c r="O73" s="485" t="str">
        <f t="shared" si="16"/>
        <v>-</v>
      </c>
      <c r="P73" s="444">
        <f t="shared" si="3"/>
        <v>0</v>
      </c>
      <c r="Q73" s="79"/>
      <c r="R73" s="444">
        <f t="shared" si="17"/>
        <v>0</v>
      </c>
      <c r="S73" s="444">
        <f t="shared" si="17"/>
        <v>0</v>
      </c>
      <c r="T73" s="444">
        <f t="shared" si="17"/>
        <v>0</v>
      </c>
      <c r="U73" s="444">
        <f t="shared" si="17"/>
        <v>0</v>
      </c>
      <c r="V73" s="444">
        <f t="shared" si="17"/>
        <v>0</v>
      </c>
      <c r="W73" s="79"/>
      <c r="X73" s="444">
        <f t="shared" si="18"/>
        <v>0</v>
      </c>
      <c r="Y73" s="444">
        <f t="shared" si="18"/>
        <v>0</v>
      </c>
      <c r="Z73" s="444">
        <f t="shared" si="18"/>
        <v>0</v>
      </c>
      <c r="AA73" s="444">
        <f t="shared" si="19"/>
        <v>0</v>
      </c>
      <c r="AB73" s="444">
        <f t="shared" si="19"/>
        <v>0</v>
      </c>
      <c r="AC73" s="80"/>
      <c r="AD73" s="50"/>
    </row>
    <row r="74" spans="2:30">
      <c r="B74" s="48"/>
      <c r="C74" s="77"/>
      <c r="D74" s="240"/>
      <c r="E74" s="240"/>
      <c r="F74" s="364"/>
      <c r="G74" s="363"/>
      <c r="H74" s="242"/>
      <c r="I74" s="363"/>
      <c r="J74" s="363"/>
      <c r="K74" s="79"/>
      <c r="L74" s="191">
        <f t="shared" si="20"/>
        <v>0</v>
      </c>
      <c r="M74" s="444">
        <f t="shared" si="14"/>
        <v>0</v>
      </c>
      <c r="N74" s="444">
        <f t="shared" si="15"/>
        <v>0</v>
      </c>
      <c r="O74" s="485" t="str">
        <f t="shared" si="16"/>
        <v>-</v>
      </c>
      <c r="P74" s="444">
        <f t="shared" si="3"/>
        <v>0</v>
      </c>
      <c r="Q74" s="79"/>
      <c r="R74" s="444">
        <f t="shared" si="17"/>
        <v>0</v>
      </c>
      <c r="S74" s="444">
        <f t="shared" si="17"/>
        <v>0</v>
      </c>
      <c r="T74" s="444">
        <f t="shared" si="17"/>
        <v>0</v>
      </c>
      <c r="U74" s="444">
        <f t="shared" si="17"/>
        <v>0</v>
      </c>
      <c r="V74" s="444">
        <f t="shared" si="17"/>
        <v>0</v>
      </c>
      <c r="W74" s="79"/>
      <c r="X74" s="444">
        <f t="shared" si="18"/>
        <v>0</v>
      </c>
      <c r="Y74" s="444">
        <f t="shared" si="18"/>
        <v>0</v>
      </c>
      <c r="Z74" s="444">
        <f t="shared" si="18"/>
        <v>0</v>
      </c>
      <c r="AA74" s="444">
        <f t="shared" si="19"/>
        <v>0</v>
      </c>
      <c r="AB74" s="444">
        <f t="shared" si="19"/>
        <v>0</v>
      </c>
      <c r="AC74" s="80"/>
      <c r="AD74" s="50"/>
    </row>
    <row r="75" spans="2:30">
      <c r="B75" s="48"/>
      <c r="C75" s="77"/>
      <c r="D75" s="240"/>
      <c r="E75" s="240"/>
      <c r="F75" s="364"/>
      <c r="G75" s="363"/>
      <c r="H75" s="242"/>
      <c r="I75" s="363"/>
      <c r="J75" s="363"/>
      <c r="K75" s="79"/>
      <c r="L75" s="191">
        <f t="shared" si="20"/>
        <v>0</v>
      </c>
      <c r="M75" s="444">
        <f t="shared" si="14"/>
        <v>0</v>
      </c>
      <c r="N75" s="444">
        <f t="shared" si="15"/>
        <v>0</v>
      </c>
      <c r="O75" s="485" t="str">
        <f t="shared" si="16"/>
        <v>-</v>
      </c>
      <c r="P75" s="444">
        <f t="shared" si="3"/>
        <v>0</v>
      </c>
      <c r="Q75" s="79"/>
      <c r="R75" s="444">
        <f t="shared" si="17"/>
        <v>0</v>
      </c>
      <c r="S75" s="444">
        <f t="shared" si="17"/>
        <v>0</v>
      </c>
      <c r="T75" s="444">
        <f t="shared" si="17"/>
        <v>0</v>
      </c>
      <c r="U75" s="444">
        <f t="shared" si="17"/>
        <v>0</v>
      </c>
      <c r="V75" s="444">
        <f t="shared" si="17"/>
        <v>0</v>
      </c>
      <c r="W75" s="79"/>
      <c r="X75" s="444">
        <f t="shared" si="18"/>
        <v>0</v>
      </c>
      <c r="Y75" s="444">
        <f t="shared" si="18"/>
        <v>0</v>
      </c>
      <c r="Z75" s="444">
        <f t="shared" si="18"/>
        <v>0</v>
      </c>
      <c r="AA75" s="444">
        <f t="shared" si="19"/>
        <v>0</v>
      </c>
      <c r="AB75" s="444">
        <f t="shared" si="19"/>
        <v>0</v>
      </c>
      <c r="AC75" s="80"/>
      <c r="AD75" s="50"/>
    </row>
    <row r="76" spans="2:30">
      <c r="B76" s="48"/>
      <c r="C76" s="77"/>
      <c r="D76" s="240"/>
      <c r="E76" s="240"/>
      <c r="F76" s="364"/>
      <c r="G76" s="363"/>
      <c r="H76" s="242"/>
      <c r="I76" s="363"/>
      <c r="J76" s="363"/>
      <c r="K76" s="79"/>
      <c r="L76" s="191">
        <f t="shared" si="20"/>
        <v>0</v>
      </c>
      <c r="M76" s="444">
        <f t="shared" si="14"/>
        <v>0</v>
      </c>
      <c r="N76" s="444">
        <f t="shared" si="15"/>
        <v>0</v>
      </c>
      <c r="O76" s="485" t="str">
        <f t="shared" si="16"/>
        <v>-</v>
      </c>
      <c r="P76" s="444">
        <f t="shared" si="3"/>
        <v>0</v>
      </c>
      <c r="Q76" s="79"/>
      <c r="R76" s="444">
        <f t="shared" si="17"/>
        <v>0</v>
      </c>
      <c r="S76" s="444">
        <f t="shared" si="17"/>
        <v>0</v>
      </c>
      <c r="T76" s="444">
        <f t="shared" si="17"/>
        <v>0</v>
      </c>
      <c r="U76" s="444">
        <f t="shared" si="17"/>
        <v>0</v>
      </c>
      <c r="V76" s="444">
        <f t="shared" si="17"/>
        <v>0</v>
      </c>
      <c r="W76" s="79"/>
      <c r="X76" s="444">
        <f t="shared" si="18"/>
        <v>0</v>
      </c>
      <c r="Y76" s="444">
        <f t="shared" si="18"/>
        <v>0</v>
      </c>
      <c r="Z76" s="444">
        <f t="shared" si="18"/>
        <v>0</v>
      </c>
      <c r="AA76" s="444">
        <f t="shared" si="19"/>
        <v>0</v>
      </c>
      <c r="AB76" s="444">
        <f t="shared" si="19"/>
        <v>0</v>
      </c>
      <c r="AC76" s="80"/>
      <c r="AD76" s="50"/>
    </row>
    <row r="77" spans="2:30">
      <c r="B77" s="48"/>
      <c r="C77" s="77"/>
      <c r="D77" s="240"/>
      <c r="E77" s="240"/>
      <c r="F77" s="364"/>
      <c r="G77" s="363"/>
      <c r="H77" s="242"/>
      <c r="I77" s="363"/>
      <c r="J77" s="363"/>
      <c r="K77" s="79"/>
      <c r="L77" s="191">
        <f t="shared" si="20"/>
        <v>0</v>
      </c>
      <c r="M77" s="444">
        <f t="shared" si="14"/>
        <v>0</v>
      </c>
      <c r="N77" s="444">
        <f t="shared" si="15"/>
        <v>0</v>
      </c>
      <c r="O77" s="485" t="str">
        <f t="shared" si="16"/>
        <v>-</v>
      </c>
      <c r="P77" s="444">
        <f t="shared" si="3"/>
        <v>0</v>
      </c>
      <c r="Q77" s="79"/>
      <c r="R77" s="444">
        <f t="shared" ref="R77:V86" si="21">(IF(R$8&lt;$I77,0,IF($O77&lt;=R$8-1,0,$N77)))</f>
        <v>0</v>
      </c>
      <c r="S77" s="444">
        <f t="shared" si="21"/>
        <v>0</v>
      </c>
      <c r="T77" s="444">
        <f t="shared" si="21"/>
        <v>0</v>
      </c>
      <c r="U77" s="444">
        <f t="shared" si="21"/>
        <v>0</v>
      </c>
      <c r="V77" s="444">
        <f t="shared" si="21"/>
        <v>0</v>
      </c>
      <c r="W77" s="79"/>
      <c r="X77" s="444">
        <f t="shared" si="18"/>
        <v>0</v>
      </c>
      <c r="Y77" s="444">
        <f t="shared" si="18"/>
        <v>0</v>
      </c>
      <c r="Z77" s="444">
        <f t="shared" si="18"/>
        <v>0</v>
      </c>
      <c r="AA77" s="444">
        <f t="shared" ref="AA77:AB85" si="22">IF(AA$8=$I77,($G77*$H77),0)</f>
        <v>0</v>
      </c>
      <c r="AB77" s="444">
        <f t="shared" si="22"/>
        <v>0</v>
      </c>
      <c r="AC77" s="80"/>
      <c r="AD77" s="50"/>
    </row>
    <row r="78" spans="2:30">
      <c r="B78" s="48"/>
      <c r="C78" s="77"/>
      <c r="D78" s="240"/>
      <c r="E78" s="240"/>
      <c r="F78" s="364"/>
      <c r="G78" s="363"/>
      <c r="H78" s="242"/>
      <c r="I78" s="363"/>
      <c r="J78" s="363"/>
      <c r="K78" s="79"/>
      <c r="L78" s="191">
        <f t="shared" si="20"/>
        <v>0</v>
      </c>
      <c r="M78" s="444">
        <f t="shared" si="14"/>
        <v>0</v>
      </c>
      <c r="N78" s="444">
        <f t="shared" si="15"/>
        <v>0</v>
      </c>
      <c r="O78" s="485" t="str">
        <f t="shared" si="16"/>
        <v>-</v>
      </c>
      <c r="P78" s="444">
        <f t="shared" ref="P78:P148" si="23">IF(J78="geen",IF(I78&lt;$R$8,G78*H78,0),IF(I78&gt;=$R$8,0,IF((H78*G78-(R$8-I78)*N78)&lt;0,0,H78*G78-(R$8-I78)*N78)))</f>
        <v>0</v>
      </c>
      <c r="Q78" s="79"/>
      <c r="R78" s="444">
        <f t="shared" si="21"/>
        <v>0</v>
      </c>
      <c r="S78" s="444">
        <f t="shared" si="21"/>
        <v>0</v>
      </c>
      <c r="T78" s="444">
        <f t="shared" si="21"/>
        <v>0</v>
      </c>
      <c r="U78" s="444">
        <f t="shared" si="21"/>
        <v>0</v>
      </c>
      <c r="V78" s="444">
        <f t="shared" si="21"/>
        <v>0</v>
      </c>
      <c r="W78" s="79"/>
      <c r="X78" s="444">
        <f t="shared" si="18"/>
        <v>0</v>
      </c>
      <c r="Y78" s="444">
        <f t="shared" si="18"/>
        <v>0</v>
      </c>
      <c r="Z78" s="444">
        <f t="shared" si="18"/>
        <v>0</v>
      </c>
      <c r="AA78" s="444">
        <f t="shared" si="22"/>
        <v>0</v>
      </c>
      <c r="AB78" s="444">
        <f t="shared" si="22"/>
        <v>0</v>
      </c>
      <c r="AC78" s="80"/>
      <c r="AD78" s="50"/>
    </row>
    <row r="79" spans="2:30">
      <c r="B79" s="48"/>
      <c r="C79" s="77"/>
      <c r="D79" s="240"/>
      <c r="E79" s="240"/>
      <c r="F79" s="364"/>
      <c r="G79" s="363"/>
      <c r="H79" s="242"/>
      <c r="I79" s="363"/>
      <c r="J79" s="363"/>
      <c r="K79" s="79"/>
      <c r="L79" s="191">
        <f t="shared" si="20"/>
        <v>0</v>
      </c>
      <c r="M79" s="444">
        <f t="shared" si="14"/>
        <v>0</v>
      </c>
      <c r="N79" s="444">
        <f t="shared" si="15"/>
        <v>0</v>
      </c>
      <c r="O79" s="485" t="str">
        <f t="shared" si="16"/>
        <v>-</v>
      </c>
      <c r="P79" s="444">
        <f t="shared" si="23"/>
        <v>0</v>
      </c>
      <c r="Q79" s="79"/>
      <c r="R79" s="444">
        <f t="shared" si="21"/>
        <v>0</v>
      </c>
      <c r="S79" s="444">
        <f t="shared" si="21"/>
        <v>0</v>
      </c>
      <c r="T79" s="444">
        <f t="shared" si="21"/>
        <v>0</v>
      </c>
      <c r="U79" s="444">
        <f t="shared" si="21"/>
        <v>0</v>
      </c>
      <c r="V79" s="444">
        <f t="shared" si="21"/>
        <v>0</v>
      </c>
      <c r="W79" s="79"/>
      <c r="X79" s="444">
        <f t="shared" si="18"/>
        <v>0</v>
      </c>
      <c r="Y79" s="444">
        <f t="shared" si="18"/>
        <v>0</v>
      </c>
      <c r="Z79" s="444">
        <f t="shared" si="18"/>
        <v>0</v>
      </c>
      <c r="AA79" s="444">
        <f t="shared" si="22"/>
        <v>0</v>
      </c>
      <c r="AB79" s="444">
        <f t="shared" si="22"/>
        <v>0</v>
      </c>
      <c r="AC79" s="80"/>
      <c r="AD79" s="50"/>
    </row>
    <row r="80" spans="2:30">
      <c r="B80" s="48"/>
      <c r="C80" s="77"/>
      <c r="D80" s="240"/>
      <c r="E80" s="240"/>
      <c r="F80" s="364"/>
      <c r="G80" s="363"/>
      <c r="H80" s="242"/>
      <c r="I80" s="363"/>
      <c r="J80" s="363"/>
      <c r="K80" s="79"/>
      <c r="L80" s="191">
        <f t="shared" si="20"/>
        <v>0</v>
      </c>
      <c r="M80" s="444">
        <f t="shared" si="14"/>
        <v>0</v>
      </c>
      <c r="N80" s="444">
        <f t="shared" si="15"/>
        <v>0</v>
      </c>
      <c r="O80" s="485" t="str">
        <f t="shared" si="16"/>
        <v>-</v>
      </c>
      <c r="P80" s="444">
        <f t="shared" si="23"/>
        <v>0</v>
      </c>
      <c r="Q80" s="79"/>
      <c r="R80" s="444">
        <f t="shared" si="21"/>
        <v>0</v>
      </c>
      <c r="S80" s="444">
        <f t="shared" si="21"/>
        <v>0</v>
      </c>
      <c r="T80" s="444">
        <f t="shared" si="21"/>
        <v>0</v>
      </c>
      <c r="U80" s="444">
        <f t="shared" si="21"/>
        <v>0</v>
      </c>
      <c r="V80" s="444">
        <f t="shared" si="21"/>
        <v>0</v>
      </c>
      <c r="W80" s="79"/>
      <c r="X80" s="444">
        <f t="shared" si="18"/>
        <v>0</v>
      </c>
      <c r="Y80" s="444">
        <f t="shared" si="18"/>
        <v>0</v>
      </c>
      <c r="Z80" s="444">
        <f t="shared" si="18"/>
        <v>0</v>
      </c>
      <c r="AA80" s="444">
        <f t="shared" si="22"/>
        <v>0</v>
      </c>
      <c r="AB80" s="444">
        <f t="shared" si="22"/>
        <v>0</v>
      </c>
      <c r="AC80" s="80"/>
      <c r="AD80" s="50"/>
    </row>
    <row r="81" spans="2:30">
      <c r="B81" s="48"/>
      <c r="C81" s="77"/>
      <c r="D81" s="240"/>
      <c r="E81" s="240"/>
      <c r="F81" s="364"/>
      <c r="G81" s="363"/>
      <c r="H81" s="242"/>
      <c r="I81" s="363"/>
      <c r="J81" s="363"/>
      <c r="K81" s="79"/>
      <c r="L81" s="191">
        <f t="shared" si="20"/>
        <v>0</v>
      </c>
      <c r="M81" s="444">
        <f t="shared" si="14"/>
        <v>0</v>
      </c>
      <c r="N81" s="444">
        <f t="shared" si="15"/>
        <v>0</v>
      </c>
      <c r="O81" s="485" t="str">
        <f t="shared" si="16"/>
        <v>-</v>
      </c>
      <c r="P81" s="444">
        <f t="shared" si="23"/>
        <v>0</v>
      </c>
      <c r="Q81" s="79"/>
      <c r="R81" s="444">
        <f t="shared" si="21"/>
        <v>0</v>
      </c>
      <c r="S81" s="444">
        <f t="shared" si="21"/>
        <v>0</v>
      </c>
      <c r="T81" s="444">
        <f t="shared" si="21"/>
        <v>0</v>
      </c>
      <c r="U81" s="444">
        <f t="shared" si="21"/>
        <v>0</v>
      </c>
      <c r="V81" s="444">
        <f t="shared" si="21"/>
        <v>0</v>
      </c>
      <c r="W81" s="79"/>
      <c r="X81" s="444">
        <f t="shared" si="18"/>
        <v>0</v>
      </c>
      <c r="Y81" s="444">
        <f t="shared" si="18"/>
        <v>0</v>
      </c>
      <c r="Z81" s="444">
        <f t="shared" si="18"/>
        <v>0</v>
      </c>
      <c r="AA81" s="444">
        <f t="shared" si="22"/>
        <v>0</v>
      </c>
      <c r="AB81" s="444">
        <f t="shared" si="22"/>
        <v>0</v>
      </c>
      <c r="AC81" s="80"/>
      <c r="AD81" s="50"/>
    </row>
    <row r="82" spans="2:30">
      <c r="B82" s="48"/>
      <c r="C82" s="77"/>
      <c r="D82" s="240"/>
      <c r="E82" s="240"/>
      <c r="F82" s="364"/>
      <c r="G82" s="363"/>
      <c r="H82" s="242"/>
      <c r="I82" s="363"/>
      <c r="J82" s="363"/>
      <c r="K82" s="79"/>
      <c r="L82" s="191">
        <f t="shared" si="20"/>
        <v>0</v>
      </c>
      <c r="M82" s="444">
        <f t="shared" si="14"/>
        <v>0</v>
      </c>
      <c r="N82" s="444">
        <f t="shared" si="15"/>
        <v>0</v>
      </c>
      <c r="O82" s="485" t="str">
        <f t="shared" si="16"/>
        <v>-</v>
      </c>
      <c r="P82" s="444">
        <f t="shared" si="23"/>
        <v>0</v>
      </c>
      <c r="Q82" s="79"/>
      <c r="R82" s="444">
        <f t="shared" si="21"/>
        <v>0</v>
      </c>
      <c r="S82" s="444">
        <f t="shared" si="21"/>
        <v>0</v>
      </c>
      <c r="T82" s="444">
        <f t="shared" si="21"/>
        <v>0</v>
      </c>
      <c r="U82" s="444">
        <f t="shared" si="21"/>
        <v>0</v>
      </c>
      <c r="V82" s="444">
        <f t="shared" si="21"/>
        <v>0</v>
      </c>
      <c r="W82" s="79"/>
      <c r="X82" s="444">
        <f t="shared" si="18"/>
        <v>0</v>
      </c>
      <c r="Y82" s="444">
        <f t="shared" si="18"/>
        <v>0</v>
      </c>
      <c r="Z82" s="444">
        <f t="shared" si="18"/>
        <v>0</v>
      </c>
      <c r="AA82" s="444">
        <f t="shared" si="22"/>
        <v>0</v>
      </c>
      <c r="AB82" s="444">
        <f t="shared" si="22"/>
        <v>0</v>
      </c>
      <c r="AC82" s="80"/>
      <c r="AD82" s="50"/>
    </row>
    <row r="83" spans="2:30">
      <c r="B83" s="48"/>
      <c r="C83" s="77"/>
      <c r="D83" s="240"/>
      <c r="E83" s="240"/>
      <c r="F83" s="364"/>
      <c r="G83" s="363"/>
      <c r="H83" s="242"/>
      <c r="I83" s="363"/>
      <c r="J83" s="363"/>
      <c r="K83" s="79"/>
      <c r="L83" s="191">
        <f t="shared" si="20"/>
        <v>0</v>
      </c>
      <c r="M83" s="444">
        <f t="shared" si="14"/>
        <v>0</v>
      </c>
      <c r="N83" s="444">
        <f t="shared" si="15"/>
        <v>0</v>
      </c>
      <c r="O83" s="485" t="str">
        <f t="shared" si="16"/>
        <v>-</v>
      </c>
      <c r="P83" s="444">
        <f t="shared" si="23"/>
        <v>0</v>
      </c>
      <c r="Q83" s="79"/>
      <c r="R83" s="444">
        <f t="shared" si="21"/>
        <v>0</v>
      </c>
      <c r="S83" s="444">
        <f t="shared" si="21"/>
        <v>0</v>
      </c>
      <c r="T83" s="444">
        <f t="shared" si="21"/>
        <v>0</v>
      </c>
      <c r="U83" s="444">
        <f t="shared" si="21"/>
        <v>0</v>
      </c>
      <c r="V83" s="444">
        <f t="shared" si="21"/>
        <v>0</v>
      </c>
      <c r="W83" s="79"/>
      <c r="X83" s="444">
        <f t="shared" si="18"/>
        <v>0</v>
      </c>
      <c r="Y83" s="444">
        <f t="shared" si="18"/>
        <v>0</v>
      </c>
      <c r="Z83" s="444">
        <f t="shared" si="18"/>
        <v>0</v>
      </c>
      <c r="AA83" s="444">
        <f t="shared" si="22"/>
        <v>0</v>
      </c>
      <c r="AB83" s="444">
        <f t="shared" si="22"/>
        <v>0</v>
      </c>
      <c r="AC83" s="80"/>
      <c r="AD83" s="50"/>
    </row>
    <row r="84" spans="2:30">
      <c r="B84" s="48"/>
      <c r="C84" s="77"/>
      <c r="D84" s="240"/>
      <c r="E84" s="240"/>
      <c r="F84" s="364"/>
      <c r="G84" s="363"/>
      <c r="H84" s="242"/>
      <c r="I84" s="363"/>
      <c r="J84" s="363"/>
      <c r="K84" s="79"/>
      <c r="L84" s="191">
        <f t="shared" si="20"/>
        <v>0</v>
      </c>
      <c r="M84" s="444">
        <f t="shared" si="14"/>
        <v>0</v>
      </c>
      <c r="N84" s="444">
        <f t="shared" si="15"/>
        <v>0</v>
      </c>
      <c r="O84" s="485" t="str">
        <f t="shared" si="16"/>
        <v>-</v>
      </c>
      <c r="P84" s="444">
        <f t="shared" si="23"/>
        <v>0</v>
      </c>
      <c r="Q84" s="79"/>
      <c r="R84" s="444">
        <f t="shared" si="21"/>
        <v>0</v>
      </c>
      <c r="S84" s="444">
        <f t="shared" si="21"/>
        <v>0</v>
      </c>
      <c r="T84" s="444">
        <f t="shared" si="21"/>
        <v>0</v>
      </c>
      <c r="U84" s="444">
        <f t="shared" si="21"/>
        <v>0</v>
      </c>
      <c r="V84" s="444">
        <f t="shared" si="21"/>
        <v>0</v>
      </c>
      <c r="W84" s="79"/>
      <c r="X84" s="444">
        <f t="shared" si="18"/>
        <v>0</v>
      </c>
      <c r="Y84" s="444">
        <f t="shared" si="18"/>
        <v>0</v>
      </c>
      <c r="Z84" s="444">
        <f t="shared" si="18"/>
        <v>0</v>
      </c>
      <c r="AA84" s="444">
        <f t="shared" si="22"/>
        <v>0</v>
      </c>
      <c r="AB84" s="444">
        <f t="shared" si="22"/>
        <v>0</v>
      </c>
      <c r="AC84" s="80"/>
      <c r="AD84" s="50"/>
    </row>
    <row r="85" spans="2:30">
      <c r="B85" s="48"/>
      <c r="C85" s="77"/>
      <c r="D85" s="240"/>
      <c r="E85" s="240"/>
      <c r="F85" s="364"/>
      <c r="G85" s="363"/>
      <c r="H85" s="242"/>
      <c r="I85" s="363"/>
      <c r="J85" s="363"/>
      <c r="K85" s="79"/>
      <c r="L85" s="191">
        <f t="shared" si="20"/>
        <v>0</v>
      </c>
      <c r="M85" s="444">
        <f t="shared" si="14"/>
        <v>0</v>
      </c>
      <c r="N85" s="444">
        <f t="shared" si="15"/>
        <v>0</v>
      </c>
      <c r="O85" s="485" t="str">
        <f t="shared" si="16"/>
        <v>-</v>
      </c>
      <c r="P85" s="444">
        <f t="shared" si="23"/>
        <v>0</v>
      </c>
      <c r="Q85" s="79"/>
      <c r="R85" s="444">
        <f t="shared" si="21"/>
        <v>0</v>
      </c>
      <c r="S85" s="444">
        <f t="shared" si="21"/>
        <v>0</v>
      </c>
      <c r="T85" s="444">
        <f t="shared" si="21"/>
        <v>0</v>
      </c>
      <c r="U85" s="444">
        <f t="shared" si="21"/>
        <v>0</v>
      </c>
      <c r="V85" s="444">
        <f t="shared" si="21"/>
        <v>0</v>
      </c>
      <c r="W85" s="79"/>
      <c r="X85" s="444">
        <f t="shared" si="18"/>
        <v>0</v>
      </c>
      <c r="Y85" s="444">
        <f t="shared" si="18"/>
        <v>0</v>
      </c>
      <c r="Z85" s="444">
        <f t="shared" si="18"/>
        <v>0</v>
      </c>
      <c r="AA85" s="444">
        <f t="shared" si="22"/>
        <v>0</v>
      </c>
      <c r="AB85" s="444">
        <f t="shared" si="22"/>
        <v>0</v>
      </c>
      <c r="AC85" s="80"/>
      <c r="AD85" s="50"/>
    </row>
    <row r="86" spans="2:30">
      <c r="B86" s="48"/>
      <c r="C86" s="77"/>
      <c r="D86" s="240"/>
      <c r="E86" s="240"/>
      <c r="F86" s="364"/>
      <c r="G86" s="363"/>
      <c r="H86" s="242"/>
      <c r="I86" s="363"/>
      <c r="J86" s="363"/>
      <c r="K86" s="79"/>
      <c r="L86" s="191">
        <f t="shared" si="20"/>
        <v>0</v>
      </c>
      <c r="M86" s="444">
        <f t="shared" si="14"/>
        <v>0</v>
      </c>
      <c r="N86" s="444">
        <f t="shared" si="15"/>
        <v>0</v>
      </c>
      <c r="O86" s="485" t="str">
        <f t="shared" si="16"/>
        <v>-</v>
      </c>
      <c r="P86" s="444">
        <f t="shared" si="23"/>
        <v>0</v>
      </c>
      <c r="Q86" s="79"/>
      <c r="R86" s="444">
        <f t="shared" si="21"/>
        <v>0</v>
      </c>
      <c r="S86" s="444">
        <f t="shared" si="21"/>
        <v>0</v>
      </c>
      <c r="T86" s="444">
        <f t="shared" si="21"/>
        <v>0</v>
      </c>
      <c r="U86" s="444">
        <f t="shared" si="21"/>
        <v>0</v>
      </c>
      <c r="V86" s="444">
        <f t="shared" si="21"/>
        <v>0</v>
      </c>
      <c r="W86" s="79"/>
      <c r="X86" s="444">
        <f t="shared" ref="X86:Z148" si="24">IF(X$8=$I86,($G86*$H86),0)</f>
        <v>0</v>
      </c>
      <c r="Y86" s="444">
        <f t="shared" si="24"/>
        <v>0</v>
      </c>
      <c r="Z86" s="444">
        <f t="shared" si="24"/>
        <v>0</v>
      </c>
      <c r="AA86" s="444">
        <f t="shared" ref="AA86:AB95" si="25">IF(AA$8=$I86,($G86*$H86),0)</f>
        <v>0</v>
      </c>
      <c r="AB86" s="444">
        <f t="shared" si="25"/>
        <v>0</v>
      </c>
      <c r="AC86" s="80"/>
      <c r="AD86" s="50"/>
    </row>
    <row r="87" spans="2:30">
      <c r="B87" s="48"/>
      <c r="C87" s="77"/>
      <c r="D87" s="240"/>
      <c r="E87" s="240"/>
      <c r="F87" s="364"/>
      <c r="G87" s="363"/>
      <c r="H87" s="242"/>
      <c r="I87" s="363"/>
      <c r="J87" s="363"/>
      <c r="K87" s="79"/>
      <c r="L87" s="191">
        <f t="shared" si="20"/>
        <v>0</v>
      </c>
      <c r="M87" s="444">
        <f t="shared" si="14"/>
        <v>0</v>
      </c>
      <c r="N87" s="444">
        <f t="shared" si="15"/>
        <v>0</v>
      </c>
      <c r="O87" s="485" t="str">
        <f t="shared" si="16"/>
        <v>-</v>
      </c>
      <c r="P87" s="444">
        <f t="shared" si="23"/>
        <v>0</v>
      </c>
      <c r="Q87" s="79"/>
      <c r="R87" s="444">
        <f t="shared" ref="R87:V98" si="26">(IF(R$8&lt;$I87,0,IF($O87&lt;=R$8-1,0,$N87)))</f>
        <v>0</v>
      </c>
      <c r="S87" s="444">
        <f t="shared" si="26"/>
        <v>0</v>
      </c>
      <c r="T87" s="444">
        <f t="shared" si="26"/>
        <v>0</v>
      </c>
      <c r="U87" s="444">
        <f t="shared" si="26"/>
        <v>0</v>
      </c>
      <c r="V87" s="444">
        <f t="shared" si="26"/>
        <v>0</v>
      </c>
      <c r="W87" s="79"/>
      <c r="X87" s="444">
        <f t="shared" si="24"/>
        <v>0</v>
      </c>
      <c r="Y87" s="444">
        <f t="shared" si="24"/>
        <v>0</v>
      </c>
      <c r="Z87" s="444">
        <f t="shared" si="24"/>
        <v>0</v>
      </c>
      <c r="AA87" s="444">
        <f t="shared" si="25"/>
        <v>0</v>
      </c>
      <c r="AB87" s="444">
        <f t="shared" si="25"/>
        <v>0</v>
      </c>
      <c r="AC87" s="80"/>
      <c r="AD87" s="50"/>
    </row>
    <row r="88" spans="2:30">
      <c r="B88" s="48"/>
      <c r="C88" s="77"/>
      <c r="D88" s="240"/>
      <c r="E88" s="240"/>
      <c r="F88" s="364"/>
      <c r="G88" s="363"/>
      <c r="H88" s="242"/>
      <c r="I88" s="363"/>
      <c r="J88" s="363"/>
      <c r="K88" s="79"/>
      <c r="L88" s="191">
        <f t="shared" si="20"/>
        <v>0</v>
      </c>
      <c r="M88" s="444">
        <f t="shared" si="14"/>
        <v>0</v>
      </c>
      <c r="N88" s="444">
        <f t="shared" si="15"/>
        <v>0</v>
      </c>
      <c r="O88" s="485" t="str">
        <f t="shared" si="16"/>
        <v>-</v>
      </c>
      <c r="P88" s="444">
        <f t="shared" si="23"/>
        <v>0</v>
      </c>
      <c r="Q88" s="79"/>
      <c r="R88" s="444">
        <f t="shared" si="26"/>
        <v>0</v>
      </c>
      <c r="S88" s="444">
        <f t="shared" si="26"/>
        <v>0</v>
      </c>
      <c r="T88" s="444">
        <f t="shared" si="26"/>
        <v>0</v>
      </c>
      <c r="U88" s="444">
        <f t="shared" si="26"/>
        <v>0</v>
      </c>
      <c r="V88" s="444">
        <f t="shared" si="26"/>
        <v>0</v>
      </c>
      <c r="W88" s="79"/>
      <c r="X88" s="444">
        <f t="shared" si="24"/>
        <v>0</v>
      </c>
      <c r="Y88" s="444">
        <f t="shared" si="24"/>
        <v>0</v>
      </c>
      <c r="Z88" s="444">
        <f t="shared" si="24"/>
        <v>0</v>
      </c>
      <c r="AA88" s="444">
        <f t="shared" si="25"/>
        <v>0</v>
      </c>
      <c r="AB88" s="444">
        <f t="shared" si="25"/>
        <v>0</v>
      </c>
      <c r="AC88" s="80"/>
      <c r="AD88" s="50"/>
    </row>
    <row r="89" spans="2:30">
      <c r="B89" s="48"/>
      <c r="C89" s="77"/>
      <c r="D89" s="240"/>
      <c r="E89" s="240"/>
      <c r="F89" s="364"/>
      <c r="G89" s="363"/>
      <c r="H89" s="242"/>
      <c r="I89" s="363"/>
      <c r="J89" s="363"/>
      <c r="K89" s="79"/>
      <c r="L89" s="191">
        <f>IF(J89="geen",9999999999,J89)</f>
        <v>0</v>
      </c>
      <c r="M89" s="444">
        <f>G89*H89</f>
        <v>0</v>
      </c>
      <c r="N89" s="444">
        <f>IF(G89=0,0,(G89*H89)/L89)</f>
        <v>0</v>
      </c>
      <c r="O89" s="485" t="str">
        <f>IF(L89=0,"-",(IF(L89&gt;3000,"-",I89+L89-1)))</f>
        <v>-</v>
      </c>
      <c r="P89" s="444">
        <f t="shared" si="23"/>
        <v>0</v>
      </c>
      <c r="Q89" s="79"/>
      <c r="R89" s="444">
        <f t="shared" si="26"/>
        <v>0</v>
      </c>
      <c r="S89" s="444">
        <f t="shared" si="26"/>
        <v>0</v>
      </c>
      <c r="T89" s="444">
        <f t="shared" si="26"/>
        <v>0</v>
      </c>
      <c r="U89" s="444">
        <f t="shared" si="26"/>
        <v>0</v>
      </c>
      <c r="V89" s="444">
        <f t="shared" si="26"/>
        <v>0</v>
      </c>
      <c r="W89" s="79"/>
      <c r="X89" s="444">
        <f t="shared" si="24"/>
        <v>0</v>
      </c>
      <c r="Y89" s="444">
        <f t="shared" si="24"/>
        <v>0</v>
      </c>
      <c r="Z89" s="444">
        <f t="shared" si="24"/>
        <v>0</v>
      </c>
      <c r="AA89" s="444">
        <f t="shared" si="25"/>
        <v>0</v>
      </c>
      <c r="AB89" s="444">
        <f t="shared" si="25"/>
        <v>0</v>
      </c>
      <c r="AC89" s="80"/>
      <c r="AD89" s="50"/>
    </row>
    <row r="90" spans="2:30">
      <c r="B90" s="48"/>
      <c r="C90" s="77"/>
      <c r="D90" s="240"/>
      <c r="E90" s="240"/>
      <c r="F90" s="364"/>
      <c r="G90" s="363"/>
      <c r="H90" s="242"/>
      <c r="I90" s="363"/>
      <c r="J90" s="363"/>
      <c r="K90" s="79"/>
      <c r="L90" s="191">
        <f>IF(J90="geen",9999999999,J90)</f>
        <v>0</v>
      </c>
      <c r="M90" s="444">
        <f>G90*H90</f>
        <v>0</v>
      </c>
      <c r="N90" s="444">
        <f>IF(G90=0,0,(G90*H90)/L90)</f>
        <v>0</v>
      </c>
      <c r="O90" s="485" t="str">
        <f>IF(L90=0,"-",(IF(L90&gt;3000,"-",I90+L90-1)))</f>
        <v>-</v>
      </c>
      <c r="P90" s="444">
        <f t="shared" si="23"/>
        <v>0</v>
      </c>
      <c r="Q90" s="79"/>
      <c r="R90" s="444">
        <f t="shared" si="26"/>
        <v>0</v>
      </c>
      <c r="S90" s="444">
        <f t="shared" si="26"/>
        <v>0</v>
      </c>
      <c r="T90" s="444">
        <f t="shared" si="26"/>
        <v>0</v>
      </c>
      <c r="U90" s="444">
        <f t="shared" si="26"/>
        <v>0</v>
      </c>
      <c r="V90" s="444">
        <f t="shared" si="26"/>
        <v>0</v>
      </c>
      <c r="W90" s="79"/>
      <c r="X90" s="444">
        <f t="shared" si="24"/>
        <v>0</v>
      </c>
      <c r="Y90" s="444">
        <f t="shared" si="24"/>
        <v>0</v>
      </c>
      <c r="Z90" s="444">
        <f t="shared" si="24"/>
        <v>0</v>
      </c>
      <c r="AA90" s="444">
        <f t="shared" si="25"/>
        <v>0</v>
      </c>
      <c r="AB90" s="444">
        <f t="shared" si="25"/>
        <v>0</v>
      </c>
      <c r="AC90" s="80"/>
      <c r="AD90" s="50"/>
    </row>
    <row r="91" spans="2:30">
      <c r="B91" s="48"/>
      <c r="C91" s="77"/>
      <c r="D91" s="240"/>
      <c r="E91" s="240"/>
      <c r="F91" s="364"/>
      <c r="G91" s="363"/>
      <c r="H91" s="242"/>
      <c r="I91" s="363"/>
      <c r="J91" s="363"/>
      <c r="K91" s="79"/>
      <c r="L91" s="191">
        <f t="shared" ref="L91:L148" si="27">IF(J91="geen",9999999999,J91)</f>
        <v>0</v>
      </c>
      <c r="M91" s="444">
        <f t="shared" ref="M91:M148" si="28">G91*H91</f>
        <v>0</v>
      </c>
      <c r="N91" s="444">
        <f t="shared" ref="N91:N148" si="29">IF(G91=0,0,(G91*H91)/L91)</f>
        <v>0</v>
      </c>
      <c r="O91" s="485" t="str">
        <f t="shared" ref="O91:O148" si="30">IF(L91=0,"-",(IF(L91&gt;3000,"-",I91+L91-1)))</f>
        <v>-</v>
      </c>
      <c r="P91" s="444">
        <f t="shared" si="23"/>
        <v>0</v>
      </c>
      <c r="Q91" s="79"/>
      <c r="R91" s="444">
        <f t="shared" si="26"/>
        <v>0</v>
      </c>
      <c r="S91" s="444">
        <f t="shared" si="26"/>
        <v>0</v>
      </c>
      <c r="T91" s="444">
        <f t="shared" si="26"/>
        <v>0</v>
      </c>
      <c r="U91" s="444">
        <f t="shared" si="26"/>
        <v>0</v>
      </c>
      <c r="V91" s="444">
        <f t="shared" si="26"/>
        <v>0</v>
      </c>
      <c r="W91" s="79"/>
      <c r="X91" s="444">
        <f t="shared" si="24"/>
        <v>0</v>
      </c>
      <c r="Y91" s="444">
        <f t="shared" si="24"/>
        <v>0</v>
      </c>
      <c r="Z91" s="444">
        <f t="shared" si="24"/>
        <v>0</v>
      </c>
      <c r="AA91" s="444">
        <f t="shared" si="25"/>
        <v>0</v>
      </c>
      <c r="AB91" s="444">
        <f t="shared" si="25"/>
        <v>0</v>
      </c>
      <c r="AC91" s="80"/>
      <c r="AD91" s="50"/>
    </row>
    <row r="92" spans="2:30">
      <c r="B92" s="48"/>
      <c r="C92" s="77"/>
      <c r="D92" s="240"/>
      <c r="E92" s="240"/>
      <c r="F92" s="364"/>
      <c r="G92" s="363"/>
      <c r="H92" s="242"/>
      <c r="I92" s="363"/>
      <c r="J92" s="363"/>
      <c r="K92" s="79"/>
      <c r="L92" s="191">
        <f t="shared" si="27"/>
        <v>0</v>
      </c>
      <c r="M92" s="444">
        <f t="shared" si="28"/>
        <v>0</v>
      </c>
      <c r="N92" s="444">
        <f t="shared" si="29"/>
        <v>0</v>
      </c>
      <c r="O92" s="485" t="str">
        <f t="shared" si="30"/>
        <v>-</v>
      </c>
      <c r="P92" s="444">
        <f t="shared" si="23"/>
        <v>0</v>
      </c>
      <c r="Q92" s="79"/>
      <c r="R92" s="444">
        <f t="shared" si="26"/>
        <v>0</v>
      </c>
      <c r="S92" s="444">
        <f t="shared" si="26"/>
        <v>0</v>
      </c>
      <c r="T92" s="444">
        <f t="shared" si="26"/>
        <v>0</v>
      </c>
      <c r="U92" s="444">
        <f t="shared" si="26"/>
        <v>0</v>
      </c>
      <c r="V92" s="444">
        <f t="shared" si="26"/>
        <v>0</v>
      </c>
      <c r="W92" s="79"/>
      <c r="X92" s="444">
        <f t="shared" si="24"/>
        <v>0</v>
      </c>
      <c r="Y92" s="444">
        <f t="shared" si="24"/>
        <v>0</v>
      </c>
      <c r="Z92" s="444">
        <f t="shared" si="24"/>
        <v>0</v>
      </c>
      <c r="AA92" s="444">
        <f t="shared" si="25"/>
        <v>0</v>
      </c>
      <c r="AB92" s="444">
        <f t="shared" si="25"/>
        <v>0</v>
      </c>
      <c r="AC92" s="80"/>
      <c r="AD92" s="50"/>
    </row>
    <row r="93" spans="2:30">
      <c r="B93" s="48"/>
      <c r="C93" s="77"/>
      <c r="D93" s="240"/>
      <c r="E93" s="240"/>
      <c r="F93" s="364"/>
      <c r="G93" s="363"/>
      <c r="H93" s="242"/>
      <c r="I93" s="363"/>
      <c r="J93" s="363"/>
      <c r="K93" s="79"/>
      <c r="L93" s="191">
        <f t="shared" si="27"/>
        <v>0</v>
      </c>
      <c r="M93" s="444">
        <f t="shared" si="28"/>
        <v>0</v>
      </c>
      <c r="N93" s="444">
        <f t="shared" si="29"/>
        <v>0</v>
      </c>
      <c r="O93" s="485" t="str">
        <f t="shared" si="30"/>
        <v>-</v>
      </c>
      <c r="P93" s="444">
        <f t="shared" si="23"/>
        <v>0</v>
      </c>
      <c r="Q93" s="79"/>
      <c r="R93" s="444">
        <f t="shared" si="26"/>
        <v>0</v>
      </c>
      <c r="S93" s="444">
        <f t="shared" si="26"/>
        <v>0</v>
      </c>
      <c r="T93" s="444">
        <f t="shared" si="26"/>
        <v>0</v>
      </c>
      <c r="U93" s="444">
        <f t="shared" si="26"/>
        <v>0</v>
      </c>
      <c r="V93" s="444">
        <f t="shared" si="26"/>
        <v>0</v>
      </c>
      <c r="W93" s="79"/>
      <c r="X93" s="444">
        <f t="shared" si="24"/>
        <v>0</v>
      </c>
      <c r="Y93" s="444">
        <f t="shared" si="24"/>
        <v>0</v>
      </c>
      <c r="Z93" s="444">
        <f t="shared" si="24"/>
        <v>0</v>
      </c>
      <c r="AA93" s="444">
        <f t="shared" si="25"/>
        <v>0</v>
      </c>
      <c r="AB93" s="444">
        <f t="shared" si="25"/>
        <v>0</v>
      </c>
      <c r="AC93" s="80"/>
      <c r="AD93" s="50"/>
    </row>
    <row r="94" spans="2:30">
      <c r="B94" s="48"/>
      <c r="C94" s="77"/>
      <c r="D94" s="240"/>
      <c r="E94" s="240"/>
      <c r="F94" s="364"/>
      <c r="G94" s="363"/>
      <c r="H94" s="242"/>
      <c r="I94" s="363"/>
      <c r="J94" s="363"/>
      <c r="K94" s="79"/>
      <c r="L94" s="191">
        <f t="shared" si="27"/>
        <v>0</v>
      </c>
      <c r="M94" s="444">
        <f t="shared" si="28"/>
        <v>0</v>
      </c>
      <c r="N94" s="444">
        <f t="shared" si="29"/>
        <v>0</v>
      </c>
      <c r="O94" s="485" t="str">
        <f t="shared" si="30"/>
        <v>-</v>
      </c>
      <c r="P94" s="444">
        <f t="shared" si="23"/>
        <v>0</v>
      </c>
      <c r="Q94" s="79"/>
      <c r="R94" s="444">
        <f t="shared" si="26"/>
        <v>0</v>
      </c>
      <c r="S94" s="444">
        <f t="shared" si="26"/>
        <v>0</v>
      </c>
      <c r="T94" s="444">
        <f t="shared" si="26"/>
        <v>0</v>
      </c>
      <c r="U94" s="444">
        <f t="shared" si="26"/>
        <v>0</v>
      </c>
      <c r="V94" s="444">
        <f t="shared" si="26"/>
        <v>0</v>
      </c>
      <c r="W94" s="79"/>
      <c r="X94" s="444">
        <f t="shared" si="24"/>
        <v>0</v>
      </c>
      <c r="Y94" s="444">
        <f t="shared" si="24"/>
        <v>0</v>
      </c>
      <c r="Z94" s="444">
        <f t="shared" si="24"/>
        <v>0</v>
      </c>
      <c r="AA94" s="444">
        <f t="shared" si="25"/>
        <v>0</v>
      </c>
      <c r="AB94" s="444">
        <f t="shared" si="25"/>
        <v>0</v>
      </c>
      <c r="AC94" s="80"/>
      <c r="AD94" s="50"/>
    </row>
    <row r="95" spans="2:30">
      <c r="B95" s="48"/>
      <c r="C95" s="77"/>
      <c r="D95" s="240"/>
      <c r="E95" s="240"/>
      <c r="F95" s="364"/>
      <c r="G95" s="363"/>
      <c r="H95" s="242"/>
      <c r="I95" s="363"/>
      <c r="J95" s="363"/>
      <c r="K95" s="79"/>
      <c r="L95" s="191">
        <f t="shared" si="27"/>
        <v>0</v>
      </c>
      <c r="M95" s="444">
        <f t="shared" si="28"/>
        <v>0</v>
      </c>
      <c r="N95" s="444">
        <f t="shared" si="29"/>
        <v>0</v>
      </c>
      <c r="O95" s="485" t="str">
        <f t="shared" si="30"/>
        <v>-</v>
      </c>
      <c r="P95" s="444">
        <f t="shared" si="23"/>
        <v>0</v>
      </c>
      <c r="Q95" s="79"/>
      <c r="R95" s="444">
        <f t="shared" si="26"/>
        <v>0</v>
      </c>
      <c r="S95" s="444">
        <f t="shared" si="26"/>
        <v>0</v>
      </c>
      <c r="T95" s="444">
        <f t="shared" si="26"/>
        <v>0</v>
      </c>
      <c r="U95" s="444">
        <f t="shared" si="26"/>
        <v>0</v>
      </c>
      <c r="V95" s="444">
        <f t="shared" si="26"/>
        <v>0</v>
      </c>
      <c r="W95" s="79"/>
      <c r="X95" s="444">
        <f t="shared" si="24"/>
        <v>0</v>
      </c>
      <c r="Y95" s="444">
        <f t="shared" si="24"/>
        <v>0</v>
      </c>
      <c r="Z95" s="444">
        <f t="shared" si="24"/>
        <v>0</v>
      </c>
      <c r="AA95" s="444">
        <f t="shared" si="25"/>
        <v>0</v>
      </c>
      <c r="AB95" s="444">
        <f t="shared" si="25"/>
        <v>0</v>
      </c>
      <c r="AC95" s="80"/>
      <c r="AD95" s="50"/>
    </row>
    <row r="96" spans="2:30">
      <c r="B96" s="48"/>
      <c r="C96" s="77"/>
      <c r="D96" s="240"/>
      <c r="E96" s="240"/>
      <c r="F96" s="364"/>
      <c r="G96" s="363"/>
      <c r="H96" s="242"/>
      <c r="I96" s="363"/>
      <c r="J96" s="363"/>
      <c r="K96" s="79"/>
      <c r="L96" s="191">
        <f t="shared" si="27"/>
        <v>0</v>
      </c>
      <c r="M96" s="444">
        <f t="shared" si="28"/>
        <v>0</v>
      </c>
      <c r="N96" s="444">
        <f t="shared" si="29"/>
        <v>0</v>
      </c>
      <c r="O96" s="485" t="str">
        <f t="shared" si="30"/>
        <v>-</v>
      </c>
      <c r="P96" s="444">
        <f t="shared" si="23"/>
        <v>0</v>
      </c>
      <c r="Q96" s="79"/>
      <c r="R96" s="444">
        <f t="shared" si="26"/>
        <v>0</v>
      </c>
      <c r="S96" s="444">
        <f t="shared" si="26"/>
        <v>0</v>
      </c>
      <c r="T96" s="444">
        <f t="shared" si="26"/>
        <v>0</v>
      </c>
      <c r="U96" s="444">
        <f t="shared" si="26"/>
        <v>0</v>
      </c>
      <c r="V96" s="444">
        <f t="shared" si="26"/>
        <v>0</v>
      </c>
      <c r="W96" s="79"/>
      <c r="X96" s="444">
        <f t="shared" si="24"/>
        <v>0</v>
      </c>
      <c r="Y96" s="444">
        <f t="shared" si="24"/>
        <v>0</v>
      </c>
      <c r="Z96" s="444">
        <f t="shared" si="24"/>
        <v>0</v>
      </c>
      <c r="AA96" s="444">
        <f t="shared" ref="AA96:AB105" si="31">IF(AA$8=$I96,($G96*$H96),0)</f>
        <v>0</v>
      </c>
      <c r="AB96" s="444">
        <f t="shared" si="31"/>
        <v>0</v>
      </c>
      <c r="AC96" s="80"/>
      <c r="AD96" s="50"/>
    </row>
    <row r="97" spans="2:30">
      <c r="B97" s="48"/>
      <c r="C97" s="77"/>
      <c r="D97" s="240"/>
      <c r="E97" s="240"/>
      <c r="F97" s="364"/>
      <c r="G97" s="363"/>
      <c r="H97" s="242"/>
      <c r="I97" s="363"/>
      <c r="J97" s="363"/>
      <c r="K97" s="79"/>
      <c r="L97" s="191">
        <f t="shared" si="27"/>
        <v>0</v>
      </c>
      <c r="M97" s="444">
        <f t="shared" si="28"/>
        <v>0</v>
      </c>
      <c r="N97" s="444">
        <f t="shared" si="29"/>
        <v>0</v>
      </c>
      <c r="O97" s="485" t="str">
        <f t="shared" si="30"/>
        <v>-</v>
      </c>
      <c r="P97" s="444">
        <f t="shared" si="23"/>
        <v>0</v>
      </c>
      <c r="Q97" s="79"/>
      <c r="R97" s="444">
        <f t="shared" si="26"/>
        <v>0</v>
      </c>
      <c r="S97" s="444">
        <f t="shared" si="26"/>
        <v>0</v>
      </c>
      <c r="T97" s="444">
        <f t="shared" si="26"/>
        <v>0</v>
      </c>
      <c r="U97" s="444">
        <f t="shared" si="26"/>
        <v>0</v>
      </c>
      <c r="V97" s="444">
        <f t="shared" si="26"/>
        <v>0</v>
      </c>
      <c r="W97" s="79"/>
      <c r="X97" s="444">
        <f t="shared" si="24"/>
        <v>0</v>
      </c>
      <c r="Y97" s="444">
        <f t="shared" si="24"/>
        <v>0</v>
      </c>
      <c r="Z97" s="444">
        <f t="shared" si="24"/>
        <v>0</v>
      </c>
      <c r="AA97" s="444">
        <f t="shared" si="31"/>
        <v>0</v>
      </c>
      <c r="AB97" s="444">
        <f t="shared" si="31"/>
        <v>0</v>
      </c>
      <c r="AC97" s="80"/>
      <c r="AD97" s="50"/>
    </row>
    <row r="98" spans="2:30">
      <c r="B98" s="48"/>
      <c r="C98" s="77"/>
      <c r="D98" s="240"/>
      <c r="E98" s="240"/>
      <c r="F98" s="364"/>
      <c r="G98" s="363"/>
      <c r="H98" s="242"/>
      <c r="I98" s="363"/>
      <c r="J98" s="363"/>
      <c r="K98" s="79"/>
      <c r="L98" s="191">
        <f t="shared" si="27"/>
        <v>0</v>
      </c>
      <c r="M98" s="444">
        <f t="shared" si="28"/>
        <v>0</v>
      </c>
      <c r="N98" s="444">
        <f t="shared" si="29"/>
        <v>0</v>
      </c>
      <c r="O98" s="485" t="str">
        <f t="shared" si="30"/>
        <v>-</v>
      </c>
      <c r="P98" s="444">
        <f t="shared" si="23"/>
        <v>0</v>
      </c>
      <c r="Q98" s="79"/>
      <c r="R98" s="444">
        <f t="shared" si="26"/>
        <v>0</v>
      </c>
      <c r="S98" s="444">
        <f t="shared" si="26"/>
        <v>0</v>
      </c>
      <c r="T98" s="444">
        <f t="shared" si="26"/>
        <v>0</v>
      </c>
      <c r="U98" s="444">
        <f t="shared" si="26"/>
        <v>0</v>
      </c>
      <c r="V98" s="444">
        <f t="shared" si="26"/>
        <v>0</v>
      </c>
      <c r="W98" s="79"/>
      <c r="X98" s="444">
        <f t="shared" si="24"/>
        <v>0</v>
      </c>
      <c r="Y98" s="444">
        <f t="shared" si="24"/>
        <v>0</v>
      </c>
      <c r="Z98" s="444">
        <f t="shared" si="24"/>
        <v>0</v>
      </c>
      <c r="AA98" s="444">
        <f t="shared" si="31"/>
        <v>0</v>
      </c>
      <c r="AB98" s="444">
        <f t="shared" si="31"/>
        <v>0</v>
      </c>
      <c r="AC98" s="80"/>
      <c r="AD98" s="50"/>
    </row>
    <row r="99" spans="2:30">
      <c r="B99" s="48"/>
      <c r="C99" s="77"/>
      <c r="D99" s="240"/>
      <c r="E99" s="240"/>
      <c r="F99" s="364"/>
      <c r="G99" s="363"/>
      <c r="H99" s="242"/>
      <c r="I99" s="363"/>
      <c r="J99" s="363"/>
      <c r="K99" s="79"/>
      <c r="L99" s="191">
        <f t="shared" si="27"/>
        <v>0</v>
      </c>
      <c r="M99" s="444">
        <f t="shared" si="28"/>
        <v>0</v>
      </c>
      <c r="N99" s="444">
        <f t="shared" si="29"/>
        <v>0</v>
      </c>
      <c r="O99" s="485" t="str">
        <f t="shared" si="30"/>
        <v>-</v>
      </c>
      <c r="P99" s="444">
        <f t="shared" si="23"/>
        <v>0</v>
      </c>
      <c r="Q99" s="79"/>
      <c r="R99" s="444">
        <f>(IF(R$8&lt;$I99,0,IF($O99&lt;=R$8-1,0,$N99)))</f>
        <v>0</v>
      </c>
      <c r="S99" s="444">
        <f>(IF(S$8&lt;$I99,0,IF($O99&lt;=S$8-1,0,$N99)))</f>
        <v>0</v>
      </c>
      <c r="T99" s="444">
        <f>(IF(T$8&lt;$I99,0,IF($O99&lt;=T$8-1,0,$N99)))</f>
        <v>0</v>
      </c>
      <c r="U99" s="444">
        <f>(IF(U$8&lt;$I99,0,IF($O99&lt;=U$8-1,0,$N99)))</f>
        <v>0</v>
      </c>
      <c r="V99" s="444">
        <f t="shared" ref="U99:V148" si="32">(IF(V$8&lt;$I99,0,IF($O99&lt;=V$8-1,0,$N99)))</f>
        <v>0</v>
      </c>
      <c r="W99" s="79"/>
      <c r="X99" s="444">
        <f t="shared" si="24"/>
        <v>0</v>
      </c>
      <c r="Y99" s="444">
        <f t="shared" si="24"/>
        <v>0</v>
      </c>
      <c r="Z99" s="444">
        <f t="shared" si="24"/>
        <v>0</v>
      </c>
      <c r="AA99" s="444">
        <f t="shared" si="31"/>
        <v>0</v>
      </c>
      <c r="AB99" s="444">
        <f t="shared" si="31"/>
        <v>0</v>
      </c>
      <c r="AC99" s="80"/>
      <c r="AD99" s="50"/>
    </row>
    <row r="100" spans="2:30">
      <c r="B100" s="48"/>
      <c r="C100" s="77"/>
      <c r="D100" s="240"/>
      <c r="E100" s="240"/>
      <c r="F100" s="364"/>
      <c r="G100" s="363"/>
      <c r="H100" s="242"/>
      <c r="I100" s="363"/>
      <c r="J100" s="363"/>
      <c r="K100" s="79"/>
      <c r="L100" s="191">
        <f t="shared" si="27"/>
        <v>0</v>
      </c>
      <c r="M100" s="444">
        <f t="shared" si="28"/>
        <v>0</v>
      </c>
      <c r="N100" s="444">
        <f t="shared" si="29"/>
        <v>0</v>
      </c>
      <c r="O100" s="485" t="str">
        <f t="shared" si="30"/>
        <v>-</v>
      </c>
      <c r="P100" s="444">
        <f t="shared" si="23"/>
        <v>0</v>
      </c>
      <c r="Q100" s="79"/>
      <c r="R100" s="444">
        <f t="shared" ref="R100:T119" si="33">(IF(R$8&lt;$I100,0,IF($O100&lt;=R$8-1,0,$N100)))</f>
        <v>0</v>
      </c>
      <c r="S100" s="444">
        <f t="shared" si="33"/>
        <v>0</v>
      </c>
      <c r="T100" s="444">
        <f t="shared" si="33"/>
        <v>0</v>
      </c>
      <c r="U100" s="444">
        <f t="shared" si="32"/>
        <v>0</v>
      </c>
      <c r="V100" s="444">
        <f t="shared" si="32"/>
        <v>0</v>
      </c>
      <c r="W100" s="79"/>
      <c r="X100" s="444">
        <f t="shared" si="24"/>
        <v>0</v>
      </c>
      <c r="Y100" s="444">
        <f t="shared" si="24"/>
        <v>0</v>
      </c>
      <c r="Z100" s="444">
        <f t="shared" si="24"/>
        <v>0</v>
      </c>
      <c r="AA100" s="444">
        <f t="shared" si="31"/>
        <v>0</v>
      </c>
      <c r="AB100" s="444">
        <f t="shared" si="31"/>
        <v>0</v>
      </c>
      <c r="AC100" s="80"/>
      <c r="AD100" s="50"/>
    </row>
    <row r="101" spans="2:30">
      <c r="B101" s="48"/>
      <c r="C101" s="77"/>
      <c r="D101" s="240"/>
      <c r="E101" s="240"/>
      <c r="F101" s="364"/>
      <c r="G101" s="363"/>
      <c r="H101" s="242"/>
      <c r="I101" s="363"/>
      <c r="J101" s="363"/>
      <c r="K101" s="79"/>
      <c r="L101" s="191">
        <f t="shared" si="27"/>
        <v>0</v>
      </c>
      <c r="M101" s="444">
        <f t="shared" si="28"/>
        <v>0</v>
      </c>
      <c r="N101" s="444">
        <f t="shared" si="29"/>
        <v>0</v>
      </c>
      <c r="O101" s="485" t="str">
        <f t="shared" si="30"/>
        <v>-</v>
      </c>
      <c r="P101" s="444">
        <f t="shared" si="23"/>
        <v>0</v>
      </c>
      <c r="Q101" s="79"/>
      <c r="R101" s="444">
        <f t="shared" si="33"/>
        <v>0</v>
      </c>
      <c r="S101" s="444">
        <f t="shared" si="33"/>
        <v>0</v>
      </c>
      <c r="T101" s="444">
        <f t="shared" si="33"/>
        <v>0</v>
      </c>
      <c r="U101" s="444">
        <f t="shared" si="32"/>
        <v>0</v>
      </c>
      <c r="V101" s="444">
        <f t="shared" si="32"/>
        <v>0</v>
      </c>
      <c r="W101" s="79"/>
      <c r="X101" s="444">
        <f t="shared" si="24"/>
        <v>0</v>
      </c>
      <c r="Y101" s="444">
        <f t="shared" si="24"/>
        <v>0</v>
      </c>
      <c r="Z101" s="444">
        <f t="shared" si="24"/>
        <v>0</v>
      </c>
      <c r="AA101" s="444">
        <f t="shared" si="31"/>
        <v>0</v>
      </c>
      <c r="AB101" s="444">
        <f t="shared" si="31"/>
        <v>0</v>
      </c>
      <c r="AC101" s="80"/>
      <c r="AD101" s="50"/>
    </row>
    <row r="102" spans="2:30">
      <c r="B102" s="48"/>
      <c r="C102" s="77"/>
      <c r="D102" s="240"/>
      <c r="E102" s="240"/>
      <c r="F102" s="364"/>
      <c r="G102" s="363"/>
      <c r="H102" s="242"/>
      <c r="I102" s="363"/>
      <c r="J102" s="363"/>
      <c r="K102" s="79"/>
      <c r="L102" s="191">
        <f t="shared" si="27"/>
        <v>0</v>
      </c>
      <c r="M102" s="444">
        <f t="shared" si="28"/>
        <v>0</v>
      </c>
      <c r="N102" s="444">
        <f t="shared" si="29"/>
        <v>0</v>
      </c>
      <c r="O102" s="485" t="str">
        <f t="shared" si="30"/>
        <v>-</v>
      </c>
      <c r="P102" s="444">
        <f t="shared" si="23"/>
        <v>0</v>
      </c>
      <c r="Q102" s="79"/>
      <c r="R102" s="444">
        <f t="shared" si="33"/>
        <v>0</v>
      </c>
      <c r="S102" s="444">
        <f t="shared" si="33"/>
        <v>0</v>
      </c>
      <c r="T102" s="444">
        <f t="shared" si="33"/>
        <v>0</v>
      </c>
      <c r="U102" s="444">
        <f t="shared" si="32"/>
        <v>0</v>
      </c>
      <c r="V102" s="444">
        <f t="shared" si="32"/>
        <v>0</v>
      </c>
      <c r="W102" s="79"/>
      <c r="X102" s="444">
        <f t="shared" si="24"/>
        <v>0</v>
      </c>
      <c r="Y102" s="444">
        <f t="shared" si="24"/>
        <v>0</v>
      </c>
      <c r="Z102" s="444">
        <f t="shared" si="24"/>
        <v>0</v>
      </c>
      <c r="AA102" s="444">
        <f t="shared" si="31"/>
        <v>0</v>
      </c>
      <c r="AB102" s="444">
        <f t="shared" si="31"/>
        <v>0</v>
      </c>
      <c r="AC102" s="80"/>
      <c r="AD102" s="50"/>
    </row>
    <row r="103" spans="2:30">
      <c r="B103" s="48"/>
      <c r="C103" s="77"/>
      <c r="D103" s="240"/>
      <c r="E103" s="240"/>
      <c r="F103" s="364"/>
      <c r="G103" s="363"/>
      <c r="H103" s="242"/>
      <c r="I103" s="363"/>
      <c r="J103" s="363"/>
      <c r="K103" s="79"/>
      <c r="L103" s="191">
        <f t="shared" si="27"/>
        <v>0</v>
      </c>
      <c r="M103" s="444">
        <f t="shared" si="28"/>
        <v>0</v>
      </c>
      <c r="N103" s="444">
        <f t="shared" si="29"/>
        <v>0</v>
      </c>
      <c r="O103" s="485" t="str">
        <f t="shared" si="30"/>
        <v>-</v>
      </c>
      <c r="P103" s="444">
        <f t="shared" si="23"/>
        <v>0</v>
      </c>
      <c r="Q103" s="79"/>
      <c r="R103" s="444">
        <f t="shared" si="33"/>
        <v>0</v>
      </c>
      <c r="S103" s="444">
        <f t="shared" si="33"/>
        <v>0</v>
      </c>
      <c r="T103" s="444">
        <f t="shared" si="33"/>
        <v>0</v>
      </c>
      <c r="U103" s="444">
        <f t="shared" si="32"/>
        <v>0</v>
      </c>
      <c r="V103" s="444">
        <f t="shared" si="32"/>
        <v>0</v>
      </c>
      <c r="W103" s="79"/>
      <c r="X103" s="444">
        <f t="shared" si="24"/>
        <v>0</v>
      </c>
      <c r="Y103" s="444">
        <f t="shared" si="24"/>
        <v>0</v>
      </c>
      <c r="Z103" s="444">
        <f t="shared" si="24"/>
        <v>0</v>
      </c>
      <c r="AA103" s="444">
        <f t="shared" si="31"/>
        <v>0</v>
      </c>
      <c r="AB103" s="444">
        <f t="shared" si="31"/>
        <v>0</v>
      </c>
      <c r="AC103" s="80"/>
      <c r="AD103" s="50"/>
    </row>
    <row r="104" spans="2:30">
      <c r="B104" s="48"/>
      <c r="C104" s="77"/>
      <c r="D104" s="240"/>
      <c r="E104" s="240"/>
      <c r="F104" s="364"/>
      <c r="G104" s="363"/>
      <c r="H104" s="242"/>
      <c r="I104" s="363"/>
      <c r="J104" s="363"/>
      <c r="K104" s="79"/>
      <c r="L104" s="191">
        <f t="shared" si="27"/>
        <v>0</v>
      </c>
      <c r="M104" s="444">
        <f t="shared" si="28"/>
        <v>0</v>
      </c>
      <c r="N104" s="444">
        <f t="shared" si="29"/>
        <v>0</v>
      </c>
      <c r="O104" s="485" t="str">
        <f t="shared" si="30"/>
        <v>-</v>
      </c>
      <c r="P104" s="444">
        <f t="shared" si="23"/>
        <v>0</v>
      </c>
      <c r="Q104" s="79"/>
      <c r="R104" s="444">
        <f t="shared" si="33"/>
        <v>0</v>
      </c>
      <c r="S104" s="444">
        <f t="shared" si="33"/>
        <v>0</v>
      </c>
      <c r="T104" s="444">
        <f t="shared" si="33"/>
        <v>0</v>
      </c>
      <c r="U104" s="444">
        <f t="shared" si="32"/>
        <v>0</v>
      </c>
      <c r="V104" s="444">
        <f t="shared" si="32"/>
        <v>0</v>
      </c>
      <c r="W104" s="79"/>
      <c r="X104" s="444">
        <f t="shared" si="24"/>
        <v>0</v>
      </c>
      <c r="Y104" s="444">
        <f t="shared" si="24"/>
        <v>0</v>
      </c>
      <c r="Z104" s="444">
        <f t="shared" si="24"/>
        <v>0</v>
      </c>
      <c r="AA104" s="444">
        <f t="shared" si="31"/>
        <v>0</v>
      </c>
      <c r="AB104" s="444">
        <f t="shared" si="31"/>
        <v>0</v>
      </c>
      <c r="AC104" s="80"/>
      <c r="AD104" s="50"/>
    </row>
    <row r="105" spans="2:30">
      <c r="B105" s="48"/>
      <c r="C105" s="77"/>
      <c r="D105" s="240"/>
      <c r="E105" s="240"/>
      <c r="F105" s="364"/>
      <c r="G105" s="363"/>
      <c r="H105" s="242"/>
      <c r="I105" s="363"/>
      <c r="J105" s="363"/>
      <c r="K105" s="79"/>
      <c r="L105" s="191">
        <f t="shared" si="27"/>
        <v>0</v>
      </c>
      <c r="M105" s="444">
        <f t="shared" si="28"/>
        <v>0</v>
      </c>
      <c r="N105" s="444">
        <f t="shared" si="29"/>
        <v>0</v>
      </c>
      <c r="O105" s="485" t="str">
        <f t="shared" si="30"/>
        <v>-</v>
      </c>
      <c r="P105" s="444">
        <f t="shared" si="23"/>
        <v>0</v>
      </c>
      <c r="Q105" s="79"/>
      <c r="R105" s="444">
        <f t="shared" si="33"/>
        <v>0</v>
      </c>
      <c r="S105" s="444">
        <f t="shared" si="33"/>
        <v>0</v>
      </c>
      <c r="T105" s="444">
        <f t="shared" si="33"/>
        <v>0</v>
      </c>
      <c r="U105" s="444">
        <f t="shared" si="32"/>
        <v>0</v>
      </c>
      <c r="V105" s="444">
        <f t="shared" si="32"/>
        <v>0</v>
      </c>
      <c r="W105" s="79"/>
      <c r="X105" s="444">
        <f t="shared" si="24"/>
        <v>0</v>
      </c>
      <c r="Y105" s="444">
        <f t="shared" si="24"/>
        <v>0</v>
      </c>
      <c r="Z105" s="444">
        <f t="shared" si="24"/>
        <v>0</v>
      </c>
      <c r="AA105" s="444">
        <f t="shared" si="31"/>
        <v>0</v>
      </c>
      <c r="AB105" s="444">
        <f t="shared" si="31"/>
        <v>0</v>
      </c>
      <c r="AC105" s="80"/>
      <c r="AD105" s="50"/>
    </row>
    <row r="106" spans="2:30">
      <c r="B106" s="48"/>
      <c r="C106" s="77"/>
      <c r="D106" s="240"/>
      <c r="E106" s="240"/>
      <c r="F106" s="364"/>
      <c r="G106" s="363"/>
      <c r="H106" s="242"/>
      <c r="I106" s="363"/>
      <c r="J106" s="363"/>
      <c r="K106" s="79"/>
      <c r="L106" s="191">
        <f t="shared" si="27"/>
        <v>0</v>
      </c>
      <c r="M106" s="444">
        <f t="shared" si="28"/>
        <v>0</v>
      </c>
      <c r="N106" s="444">
        <f t="shared" si="29"/>
        <v>0</v>
      </c>
      <c r="O106" s="485" t="str">
        <f t="shared" si="30"/>
        <v>-</v>
      </c>
      <c r="P106" s="444">
        <f t="shared" si="23"/>
        <v>0</v>
      </c>
      <c r="Q106" s="79"/>
      <c r="R106" s="444">
        <f t="shared" si="33"/>
        <v>0</v>
      </c>
      <c r="S106" s="444">
        <f t="shared" si="33"/>
        <v>0</v>
      </c>
      <c r="T106" s="444">
        <f t="shared" si="33"/>
        <v>0</v>
      </c>
      <c r="U106" s="444">
        <f t="shared" si="32"/>
        <v>0</v>
      </c>
      <c r="V106" s="444">
        <f t="shared" si="32"/>
        <v>0</v>
      </c>
      <c r="W106" s="79"/>
      <c r="X106" s="444">
        <f t="shared" si="24"/>
        <v>0</v>
      </c>
      <c r="Y106" s="444">
        <f t="shared" si="24"/>
        <v>0</v>
      </c>
      <c r="Z106" s="444">
        <f t="shared" si="24"/>
        <v>0</v>
      </c>
      <c r="AA106" s="444">
        <f t="shared" ref="AA106:AB118" si="34">IF(AA$8=$I106,($G106*$H106),0)</f>
        <v>0</v>
      </c>
      <c r="AB106" s="444">
        <f t="shared" si="34"/>
        <v>0</v>
      </c>
      <c r="AC106" s="80"/>
      <c r="AD106" s="50"/>
    </row>
    <row r="107" spans="2:30">
      <c r="B107" s="48"/>
      <c r="C107" s="77"/>
      <c r="D107" s="240"/>
      <c r="E107" s="240"/>
      <c r="F107" s="364"/>
      <c r="G107" s="363"/>
      <c r="H107" s="242"/>
      <c r="I107" s="363"/>
      <c r="J107" s="363"/>
      <c r="K107" s="79"/>
      <c r="L107" s="191">
        <f t="shared" si="27"/>
        <v>0</v>
      </c>
      <c r="M107" s="444">
        <f t="shared" si="28"/>
        <v>0</v>
      </c>
      <c r="N107" s="444">
        <f t="shared" si="29"/>
        <v>0</v>
      </c>
      <c r="O107" s="485" t="str">
        <f t="shared" si="30"/>
        <v>-</v>
      </c>
      <c r="P107" s="444">
        <f t="shared" si="23"/>
        <v>0</v>
      </c>
      <c r="Q107" s="79"/>
      <c r="R107" s="444">
        <f t="shared" si="33"/>
        <v>0</v>
      </c>
      <c r="S107" s="444">
        <f t="shared" si="33"/>
        <v>0</v>
      </c>
      <c r="T107" s="444">
        <f t="shared" si="33"/>
        <v>0</v>
      </c>
      <c r="U107" s="444">
        <f t="shared" si="32"/>
        <v>0</v>
      </c>
      <c r="V107" s="444">
        <f t="shared" si="32"/>
        <v>0</v>
      </c>
      <c r="W107" s="79"/>
      <c r="X107" s="444">
        <f t="shared" si="24"/>
        <v>0</v>
      </c>
      <c r="Y107" s="444">
        <f t="shared" si="24"/>
        <v>0</v>
      </c>
      <c r="Z107" s="444">
        <f t="shared" si="24"/>
        <v>0</v>
      </c>
      <c r="AA107" s="444">
        <f t="shared" si="34"/>
        <v>0</v>
      </c>
      <c r="AB107" s="444">
        <f t="shared" si="34"/>
        <v>0</v>
      </c>
      <c r="AC107" s="80"/>
      <c r="AD107" s="50"/>
    </row>
    <row r="108" spans="2:30">
      <c r="B108" s="48"/>
      <c r="C108" s="77"/>
      <c r="D108" s="240"/>
      <c r="E108" s="240"/>
      <c r="F108" s="364"/>
      <c r="G108" s="363"/>
      <c r="H108" s="242"/>
      <c r="I108" s="363"/>
      <c r="J108" s="363"/>
      <c r="K108" s="79"/>
      <c r="L108" s="191">
        <f t="shared" si="27"/>
        <v>0</v>
      </c>
      <c r="M108" s="444">
        <f t="shared" si="28"/>
        <v>0</v>
      </c>
      <c r="N108" s="444">
        <f t="shared" si="29"/>
        <v>0</v>
      </c>
      <c r="O108" s="485" t="str">
        <f t="shared" si="30"/>
        <v>-</v>
      </c>
      <c r="P108" s="444">
        <f t="shared" si="23"/>
        <v>0</v>
      </c>
      <c r="Q108" s="79"/>
      <c r="R108" s="444">
        <f t="shared" si="33"/>
        <v>0</v>
      </c>
      <c r="S108" s="444">
        <f t="shared" si="33"/>
        <v>0</v>
      </c>
      <c r="T108" s="444">
        <f t="shared" si="33"/>
        <v>0</v>
      </c>
      <c r="U108" s="444">
        <f t="shared" si="32"/>
        <v>0</v>
      </c>
      <c r="V108" s="444">
        <f t="shared" si="32"/>
        <v>0</v>
      </c>
      <c r="W108" s="79"/>
      <c r="X108" s="444">
        <f t="shared" si="24"/>
        <v>0</v>
      </c>
      <c r="Y108" s="444">
        <f t="shared" si="24"/>
        <v>0</v>
      </c>
      <c r="Z108" s="444">
        <f t="shared" si="24"/>
        <v>0</v>
      </c>
      <c r="AA108" s="444">
        <f t="shared" si="34"/>
        <v>0</v>
      </c>
      <c r="AB108" s="444">
        <f t="shared" si="34"/>
        <v>0</v>
      </c>
      <c r="AC108" s="80"/>
      <c r="AD108" s="50"/>
    </row>
    <row r="109" spans="2:30">
      <c r="B109" s="48"/>
      <c r="C109" s="77"/>
      <c r="D109" s="240"/>
      <c r="E109" s="240"/>
      <c r="F109" s="364"/>
      <c r="G109" s="363"/>
      <c r="H109" s="242"/>
      <c r="I109" s="363"/>
      <c r="J109" s="363"/>
      <c r="K109" s="79"/>
      <c r="L109" s="191">
        <f t="shared" si="27"/>
        <v>0</v>
      </c>
      <c r="M109" s="444">
        <f t="shared" si="28"/>
        <v>0</v>
      </c>
      <c r="N109" s="444">
        <f t="shared" si="29"/>
        <v>0</v>
      </c>
      <c r="O109" s="485" t="str">
        <f t="shared" si="30"/>
        <v>-</v>
      </c>
      <c r="P109" s="444">
        <f t="shared" si="23"/>
        <v>0</v>
      </c>
      <c r="Q109" s="79"/>
      <c r="R109" s="444">
        <f t="shared" si="33"/>
        <v>0</v>
      </c>
      <c r="S109" s="444">
        <f t="shared" si="33"/>
        <v>0</v>
      </c>
      <c r="T109" s="444">
        <f t="shared" si="33"/>
        <v>0</v>
      </c>
      <c r="U109" s="444">
        <f t="shared" si="32"/>
        <v>0</v>
      </c>
      <c r="V109" s="444">
        <f t="shared" si="32"/>
        <v>0</v>
      </c>
      <c r="W109" s="79"/>
      <c r="X109" s="444">
        <f t="shared" si="24"/>
        <v>0</v>
      </c>
      <c r="Y109" s="444">
        <f t="shared" si="24"/>
        <v>0</v>
      </c>
      <c r="Z109" s="444">
        <f t="shared" si="24"/>
        <v>0</v>
      </c>
      <c r="AA109" s="444">
        <f t="shared" si="34"/>
        <v>0</v>
      </c>
      <c r="AB109" s="444">
        <f t="shared" si="34"/>
        <v>0</v>
      </c>
      <c r="AC109" s="80"/>
      <c r="AD109" s="50"/>
    </row>
    <row r="110" spans="2:30">
      <c r="B110" s="48"/>
      <c r="C110" s="77"/>
      <c r="D110" s="240"/>
      <c r="E110" s="240"/>
      <c r="F110" s="364"/>
      <c r="G110" s="363"/>
      <c r="H110" s="242"/>
      <c r="I110" s="363"/>
      <c r="J110" s="363"/>
      <c r="K110" s="79"/>
      <c r="L110" s="191">
        <f t="shared" si="27"/>
        <v>0</v>
      </c>
      <c r="M110" s="444">
        <f t="shared" si="28"/>
        <v>0</v>
      </c>
      <c r="N110" s="444">
        <f t="shared" si="29"/>
        <v>0</v>
      </c>
      <c r="O110" s="485" t="str">
        <f t="shared" si="30"/>
        <v>-</v>
      </c>
      <c r="P110" s="444">
        <f t="shared" si="23"/>
        <v>0</v>
      </c>
      <c r="Q110" s="79"/>
      <c r="R110" s="444">
        <f t="shared" si="33"/>
        <v>0</v>
      </c>
      <c r="S110" s="444">
        <f t="shared" si="33"/>
        <v>0</v>
      </c>
      <c r="T110" s="444">
        <f t="shared" si="33"/>
        <v>0</v>
      </c>
      <c r="U110" s="444">
        <f t="shared" si="32"/>
        <v>0</v>
      </c>
      <c r="V110" s="444">
        <f t="shared" si="32"/>
        <v>0</v>
      </c>
      <c r="W110" s="79"/>
      <c r="X110" s="444">
        <f t="shared" si="24"/>
        <v>0</v>
      </c>
      <c r="Y110" s="444">
        <f t="shared" si="24"/>
        <v>0</v>
      </c>
      <c r="Z110" s="444">
        <f t="shared" si="24"/>
        <v>0</v>
      </c>
      <c r="AA110" s="444">
        <f t="shared" si="34"/>
        <v>0</v>
      </c>
      <c r="AB110" s="444">
        <f t="shared" si="34"/>
        <v>0</v>
      </c>
      <c r="AC110" s="80"/>
      <c r="AD110" s="50"/>
    </row>
    <row r="111" spans="2:30">
      <c r="B111" s="48"/>
      <c r="C111" s="77"/>
      <c r="D111" s="240"/>
      <c r="E111" s="240"/>
      <c r="F111" s="364"/>
      <c r="G111" s="363"/>
      <c r="H111" s="242"/>
      <c r="I111" s="363"/>
      <c r="J111" s="363"/>
      <c r="K111" s="79"/>
      <c r="L111" s="191">
        <f t="shared" si="27"/>
        <v>0</v>
      </c>
      <c r="M111" s="444">
        <f t="shared" si="28"/>
        <v>0</v>
      </c>
      <c r="N111" s="444">
        <f t="shared" si="29"/>
        <v>0</v>
      </c>
      <c r="O111" s="485" t="str">
        <f t="shared" si="30"/>
        <v>-</v>
      </c>
      <c r="P111" s="444">
        <f t="shared" si="23"/>
        <v>0</v>
      </c>
      <c r="Q111" s="79"/>
      <c r="R111" s="444">
        <f t="shared" si="33"/>
        <v>0</v>
      </c>
      <c r="S111" s="444">
        <f t="shared" si="33"/>
        <v>0</v>
      </c>
      <c r="T111" s="444">
        <f t="shared" si="33"/>
        <v>0</v>
      </c>
      <c r="U111" s="444">
        <f t="shared" si="32"/>
        <v>0</v>
      </c>
      <c r="V111" s="444">
        <f t="shared" si="32"/>
        <v>0</v>
      </c>
      <c r="W111" s="79"/>
      <c r="X111" s="444">
        <f t="shared" si="24"/>
        <v>0</v>
      </c>
      <c r="Y111" s="444">
        <f t="shared" si="24"/>
        <v>0</v>
      </c>
      <c r="Z111" s="444">
        <f t="shared" si="24"/>
        <v>0</v>
      </c>
      <c r="AA111" s="444">
        <f t="shared" si="34"/>
        <v>0</v>
      </c>
      <c r="AB111" s="444">
        <f t="shared" si="34"/>
        <v>0</v>
      </c>
      <c r="AC111" s="80"/>
      <c r="AD111" s="50"/>
    </row>
    <row r="112" spans="2:30">
      <c r="B112" s="48"/>
      <c r="C112" s="77"/>
      <c r="D112" s="240"/>
      <c r="E112" s="240"/>
      <c r="F112" s="364"/>
      <c r="G112" s="363"/>
      <c r="H112" s="242"/>
      <c r="I112" s="363"/>
      <c r="J112" s="363"/>
      <c r="K112" s="79"/>
      <c r="L112" s="191">
        <f t="shared" si="27"/>
        <v>0</v>
      </c>
      <c r="M112" s="444">
        <f t="shared" si="28"/>
        <v>0</v>
      </c>
      <c r="N112" s="444">
        <f t="shared" si="29"/>
        <v>0</v>
      </c>
      <c r="O112" s="485" t="str">
        <f t="shared" si="30"/>
        <v>-</v>
      </c>
      <c r="P112" s="444">
        <f t="shared" si="23"/>
        <v>0</v>
      </c>
      <c r="Q112" s="79"/>
      <c r="R112" s="444">
        <f t="shared" si="33"/>
        <v>0</v>
      </c>
      <c r="S112" s="444">
        <f t="shared" si="33"/>
        <v>0</v>
      </c>
      <c r="T112" s="444">
        <f t="shared" si="33"/>
        <v>0</v>
      </c>
      <c r="U112" s="444">
        <f t="shared" si="32"/>
        <v>0</v>
      </c>
      <c r="V112" s="444">
        <f t="shared" si="32"/>
        <v>0</v>
      </c>
      <c r="W112" s="79"/>
      <c r="X112" s="444">
        <f t="shared" si="24"/>
        <v>0</v>
      </c>
      <c r="Y112" s="444">
        <f t="shared" si="24"/>
        <v>0</v>
      </c>
      <c r="Z112" s="444">
        <f t="shared" si="24"/>
        <v>0</v>
      </c>
      <c r="AA112" s="444">
        <f t="shared" si="34"/>
        <v>0</v>
      </c>
      <c r="AB112" s="444">
        <f t="shared" si="34"/>
        <v>0</v>
      </c>
      <c r="AC112" s="80"/>
      <c r="AD112" s="50"/>
    </row>
    <row r="113" spans="2:30">
      <c r="B113" s="48"/>
      <c r="C113" s="77"/>
      <c r="D113" s="240"/>
      <c r="E113" s="240"/>
      <c r="F113" s="364"/>
      <c r="G113" s="363"/>
      <c r="H113" s="242"/>
      <c r="I113" s="363"/>
      <c r="J113" s="363"/>
      <c r="K113" s="79"/>
      <c r="L113" s="191">
        <f t="shared" si="27"/>
        <v>0</v>
      </c>
      <c r="M113" s="444">
        <f t="shared" si="28"/>
        <v>0</v>
      </c>
      <c r="N113" s="444">
        <f t="shared" si="29"/>
        <v>0</v>
      </c>
      <c r="O113" s="485" t="str">
        <f t="shared" si="30"/>
        <v>-</v>
      </c>
      <c r="P113" s="444">
        <f t="shared" si="23"/>
        <v>0</v>
      </c>
      <c r="Q113" s="79"/>
      <c r="R113" s="444">
        <f t="shared" si="33"/>
        <v>0</v>
      </c>
      <c r="S113" s="444">
        <f t="shared" si="33"/>
        <v>0</v>
      </c>
      <c r="T113" s="444">
        <f t="shared" si="33"/>
        <v>0</v>
      </c>
      <c r="U113" s="444">
        <f t="shared" si="32"/>
        <v>0</v>
      </c>
      <c r="V113" s="444">
        <f t="shared" si="32"/>
        <v>0</v>
      </c>
      <c r="W113" s="79"/>
      <c r="X113" s="444">
        <f t="shared" si="24"/>
        <v>0</v>
      </c>
      <c r="Y113" s="444">
        <f t="shared" si="24"/>
        <v>0</v>
      </c>
      <c r="Z113" s="444">
        <f t="shared" si="24"/>
        <v>0</v>
      </c>
      <c r="AA113" s="444">
        <f t="shared" si="34"/>
        <v>0</v>
      </c>
      <c r="AB113" s="444">
        <f t="shared" si="34"/>
        <v>0</v>
      </c>
      <c r="AC113" s="80"/>
      <c r="AD113" s="50"/>
    </row>
    <row r="114" spans="2:30">
      <c r="B114" s="48"/>
      <c r="C114" s="77"/>
      <c r="D114" s="240"/>
      <c r="E114" s="240"/>
      <c r="F114" s="364"/>
      <c r="G114" s="363"/>
      <c r="H114" s="242"/>
      <c r="I114" s="363"/>
      <c r="J114" s="363"/>
      <c r="K114" s="79"/>
      <c r="L114" s="191">
        <f t="shared" si="27"/>
        <v>0</v>
      </c>
      <c r="M114" s="444">
        <f t="shared" si="28"/>
        <v>0</v>
      </c>
      <c r="N114" s="444">
        <f t="shared" si="29"/>
        <v>0</v>
      </c>
      <c r="O114" s="485" t="str">
        <f t="shared" si="30"/>
        <v>-</v>
      </c>
      <c r="P114" s="444">
        <f t="shared" si="23"/>
        <v>0</v>
      </c>
      <c r="Q114" s="79"/>
      <c r="R114" s="444">
        <f t="shared" si="33"/>
        <v>0</v>
      </c>
      <c r="S114" s="444">
        <f t="shared" si="33"/>
        <v>0</v>
      </c>
      <c r="T114" s="444">
        <f t="shared" si="33"/>
        <v>0</v>
      </c>
      <c r="U114" s="444">
        <f t="shared" si="32"/>
        <v>0</v>
      </c>
      <c r="V114" s="444">
        <f t="shared" si="32"/>
        <v>0</v>
      </c>
      <c r="W114" s="79"/>
      <c r="X114" s="444">
        <f t="shared" si="24"/>
        <v>0</v>
      </c>
      <c r="Y114" s="444">
        <f t="shared" si="24"/>
        <v>0</v>
      </c>
      <c r="Z114" s="444">
        <f t="shared" si="24"/>
        <v>0</v>
      </c>
      <c r="AA114" s="444">
        <f t="shared" si="34"/>
        <v>0</v>
      </c>
      <c r="AB114" s="444">
        <f t="shared" si="34"/>
        <v>0</v>
      </c>
      <c r="AC114" s="80"/>
      <c r="AD114" s="50"/>
    </row>
    <row r="115" spans="2:30">
      <c r="B115" s="48"/>
      <c r="C115" s="77"/>
      <c r="D115" s="240"/>
      <c r="E115" s="240"/>
      <c r="F115" s="364"/>
      <c r="G115" s="363"/>
      <c r="H115" s="242"/>
      <c r="I115" s="363"/>
      <c r="J115" s="363"/>
      <c r="K115" s="79"/>
      <c r="L115" s="191">
        <f t="shared" si="27"/>
        <v>0</v>
      </c>
      <c r="M115" s="444">
        <f t="shared" si="28"/>
        <v>0</v>
      </c>
      <c r="N115" s="444">
        <f t="shared" si="29"/>
        <v>0</v>
      </c>
      <c r="O115" s="485" t="str">
        <f t="shared" si="30"/>
        <v>-</v>
      </c>
      <c r="P115" s="444">
        <f t="shared" si="23"/>
        <v>0</v>
      </c>
      <c r="Q115" s="79"/>
      <c r="R115" s="444">
        <f t="shared" si="33"/>
        <v>0</v>
      </c>
      <c r="S115" s="444">
        <f t="shared" si="33"/>
        <v>0</v>
      </c>
      <c r="T115" s="444">
        <f t="shared" si="33"/>
        <v>0</v>
      </c>
      <c r="U115" s="444">
        <f t="shared" si="32"/>
        <v>0</v>
      </c>
      <c r="V115" s="444">
        <f t="shared" si="32"/>
        <v>0</v>
      </c>
      <c r="W115" s="79"/>
      <c r="X115" s="444">
        <f t="shared" si="24"/>
        <v>0</v>
      </c>
      <c r="Y115" s="444">
        <f t="shared" si="24"/>
        <v>0</v>
      </c>
      <c r="Z115" s="444">
        <f t="shared" si="24"/>
        <v>0</v>
      </c>
      <c r="AA115" s="444">
        <f t="shared" si="34"/>
        <v>0</v>
      </c>
      <c r="AB115" s="444">
        <f t="shared" si="34"/>
        <v>0</v>
      </c>
      <c r="AC115" s="80"/>
      <c r="AD115" s="50"/>
    </row>
    <row r="116" spans="2:30">
      <c r="B116" s="48"/>
      <c r="C116" s="77"/>
      <c r="D116" s="240"/>
      <c r="E116" s="240"/>
      <c r="F116" s="364"/>
      <c r="G116" s="363"/>
      <c r="H116" s="242"/>
      <c r="I116" s="363"/>
      <c r="J116" s="363"/>
      <c r="K116" s="79"/>
      <c r="L116" s="191">
        <f t="shared" si="27"/>
        <v>0</v>
      </c>
      <c r="M116" s="444">
        <f t="shared" si="28"/>
        <v>0</v>
      </c>
      <c r="N116" s="444">
        <f t="shared" si="29"/>
        <v>0</v>
      </c>
      <c r="O116" s="485" t="str">
        <f t="shared" si="30"/>
        <v>-</v>
      </c>
      <c r="P116" s="444">
        <f t="shared" si="23"/>
        <v>0</v>
      </c>
      <c r="Q116" s="79"/>
      <c r="R116" s="444">
        <f t="shared" si="33"/>
        <v>0</v>
      </c>
      <c r="S116" s="444">
        <f t="shared" si="33"/>
        <v>0</v>
      </c>
      <c r="T116" s="444">
        <f t="shared" si="33"/>
        <v>0</v>
      </c>
      <c r="U116" s="444">
        <f t="shared" si="32"/>
        <v>0</v>
      </c>
      <c r="V116" s="444">
        <f t="shared" si="32"/>
        <v>0</v>
      </c>
      <c r="W116" s="79"/>
      <c r="X116" s="444">
        <f t="shared" si="24"/>
        <v>0</v>
      </c>
      <c r="Y116" s="444">
        <f t="shared" si="24"/>
        <v>0</v>
      </c>
      <c r="Z116" s="444">
        <f t="shared" si="24"/>
        <v>0</v>
      </c>
      <c r="AA116" s="444">
        <f t="shared" si="34"/>
        <v>0</v>
      </c>
      <c r="AB116" s="444">
        <f t="shared" si="34"/>
        <v>0</v>
      </c>
      <c r="AC116" s="80"/>
      <c r="AD116" s="50"/>
    </row>
    <row r="117" spans="2:30">
      <c r="B117" s="48"/>
      <c r="C117" s="77"/>
      <c r="D117" s="240"/>
      <c r="E117" s="240"/>
      <c r="F117" s="364"/>
      <c r="G117" s="363"/>
      <c r="H117" s="242"/>
      <c r="I117" s="363"/>
      <c r="J117" s="363"/>
      <c r="K117" s="79"/>
      <c r="L117" s="191">
        <f t="shared" si="27"/>
        <v>0</v>
      </c>
      <c r="M117" s="444">
        <f t="shared" si="28"/>
        <v>0</v>
      </c>
      <c r="N117" s="444">
        <f t="shared" si="29"/>
        <v>0</v>
      </c>
      <c r="O117" s="485" t="str">
        <f t="shared" si="30"/>
        <v>-</v>
      </c>
      <c r="P117" s="444">
        <f t="shared" si="23"/>
        <v>0</v>
      </c>
      <c r="Q117" s="79"/>
      <c r="R117" s="444">
        <f t="shared" si="33"/>
        <v>0</v>
      </c>
      <c r="S117" s="444">
        <f t="shared" si="33"/>
        <v>0</v>
      </c>
      <c r="T117" s="444">
        <f t="shared" si="33"/>
        <v>0</v>
      </c>
      <c r="U117" s="444">
        <f t="shared" si="32"/>
        <v>0</v>
      </c>
      <c r="V117" s="444">
        <f t="shared" si="32"/>
        <v>0</v>
      </c>
      <c r="W117" s="79"/>
      <c r="X117" s="444">
        <f t="shared" si="24"/>
        <v>0</v>
      </c>
      <c r="Y117" s="444">
        <f t="shared" si="24"/>
        <v>0</v>
      </c>
      <c r="Z117" s="444">
        <f t="shared" si="24"/>
        <v>0</v>
      </c>
      <c r="AA117" s="444">
        <f t="shared" si="34"/>
        <v>0</v>
      </c>
      <c r="AB117" s="444">
        <f t="shared" si="34"/>
        <v>0</v>
      </c>
      <c r="AC117" s="80"/>
      <c r="AD117" s="50"/>
    </row>
    <row r="118" spans="2:30">
      <c r="B118" s="48"/>
      <c r="C118" s="77"/>
      <c r="D118" s="240"/>
      <c r="E118" s="240"/>
      <c r="F118" s="364"/>
      <c r="G118" s="363"/>
      <c r="H118" s="242"/>
      <c r="I118" s="363"/>
      <c r="J118" s="363"/>
      <c r="K118" s="79"/>
      <c r="L118" s="191">
        <f t="shared" si="27"/>
        <v>0</v>
      </c>
      <c r="M118" s="444">
        <f t="shared" si="28"/>
        <v>0</v>
      </c>
      <c r="N118" s="444">
        <f t="shared" si="29"/>
        <v>0</v>
      </c>
      <c r="O118" s="485" t="str">
        <f t="shared" si="30"/>
        <v>-</v>
      </c>
      <c r="P118" s="444">
        <f t="shared" si="23"/>
        <v>0</v>
      </c>
      <c r="Q118" s="79"/>
      <c r="R118" s="444">
        <f t="shared" si="33"/>
        <v>0</v>
      </c>
      <c r="S118" s="444">
        <f t="shared" si="33"/>
        <v>0</v>
      </c>
      <c r="T118" s="444">
        <f t="shared" si="33"/>
        <v>0</v>
      </c>
      <c r="U118" s="444">
        <f t="shared" si="32"/>
        <v>0</v>
      </c>
      <c r="V118" s="444">
        <f t="shared" si="32"/>
        <v>0</v>
      </c>
      <c r="W118" s="79"/>
      <c r="X118" s="444">
        <f t="shared" si="24"/>
        <v>0</v>
      </c>
      <c r="Y118" s="444">
        <f t="shared" si="24"/>
        <v>0</v>
      </c>
      <c r="Z118" s="444">
        <f t="shared" si="24"/>
        <v>0</v>
      </c>
      <c r="AA118" s="444">
        <f t="shared" si="34"/>
        <v>0</v>
      </c>
      <c r="AB118" s="444">
        <f t="shared" si="34"/>
        <v>0</v>
      </c>
      <c r="AC118" s="80"/>
      <c r="AD118" s="50"/>
    </row>
    <row r="119" spans="2:30">
      <c r="B119" s="48"/>
      <c r="C119" s="77"/>
      <c r="D119" s="240"/>
      <c r="E119" s="240"/>
      <c r="F119" s="364"/>
      <c r="G119" s="363"/>
      <c r="H119" s="242"/>
      <c r="I119" s="363"/>
      <c r="J119" s="363"/>
      <c r="K119" s="79"/>
      <c r="L119" s="191">
        <f t="shared" si="27"/>
        <v>0</v>
      </c>
      <c r="M119" s="444">
        <f t="shared" si="28"/>
        <v>0</v>
      </c>
      <c r="N119" s="444">
        <f t="shared" si="29"/>
        <v>0</v>
      </c>
      <c r="O119" s="485" t="str">
        <f t="shared" si="30"/>
        <v>-</v>
      </c>
      <c r="P119" s="444">
        <f t="shared" si="23"/>
        <v>0</v>
      </c>
      <c r="Q119" s="79"/>
      <c r="R119" s="444">
        <f t="shared" si="33"/>
        <v>0</v>
      </c>
      <c r="S119" s="444">
        <f t="shared" si="33"/>
        <v>0</v>
      </c>
      <c r="T119" s="444">
        <f t="shared" si="33"/>
        <v>0</v>
      </c>
      <c r="U119" s="444">
        <f t="shared" si="32"/>
        <v>0</v>
      </c>
      <c r="V119" s="444">
        <f t="shared" si="32"/>
        <v>0</v>
      </c>
      <c r="W119" s="79"/>
      <c r="X119" s="444">
        <f t="shared" si="24"/>
        <v>0</v>
      </c>
      <c r="Y119" s="444">
        <f t="shared" si="24"/>
        <v>0</v>
      </c>
      <c r="Z119" s="444">
        <f t="shared" si="24"/>
        <v>0</v>
      </c>
      <c r="AA119" s="444">
        <f>IF(AA$8=$I119,($G119*$H119),0)</f>
        <v>0</v>
      </c>
      <c r="AB119" s="444">
        <f>IF(AB$8=$I119,($G119*$H119),0)</f>
        <v>0</v>
      </c>
      <c r="AC119" s="80"/>
      <c r="AD119" s="50"/>
    </row>
    <row r="120" spans="2:30">
      <c r="B120" s="48"/>
      <c r="C120" s="77"/>
      <c r="D120" s="240"/>
      <c r="E120" s="240"/>
      <c r="F120" s="364"/>
      <c r="G120" s="363"/>
      <c r="H120" s="242"/>
      <c r="I120" s="363"/>
      <c r="J120" s="363"/>
      <c r="K120" s="79"/>
      <c r="L120" s="191">
        <f t="shared" si="27"/>
        <v>0</v>
      </c>
      <c r="M120" s="444">
        <f t="shared" si="28"/>
        <v>0</v>
      </c>
      <c r="N120" s="444">
        <f t="shared" si="29"/>
        <v>0</v>
      </c>
      <c r="O120" s="485" t="str">
        <f t="shared" si="30"/>
        <v>-</v>
      </c>
      <c r="P120" s="444">
        <f t="shared" si="23"/>
        <v>0</v>
      </c>
      <c r="Q120" s="79"/>
      <c r="R120" s="444">
        <f t="shared" ref="R120:V140" si="35">(IF(R$8&lt;$I120,0,IF($O120&lt;=R$8-1,0,$N120)))</f>
        <v>0</v>
      </c>
      <c r="S120" s="444">
        <f t="shared" si="35"/>
        <v>0</v>
      </c>
      <c r="T120" s="444">
        <f t="shared" si="35"/>
        <v>0</v>
      </c>
      <c r="U120" s="444">
        <f t="shared" si="32"/>
        <v>0</v>
      </c>
      <c r="V120" s="444">
        <f t="shared" si="32"/>
        <v>0</v>
      </c>
      <c r="W120" s="79"/>
      <c r="X120" s="444">
        <f t="shared" si="24"/>
        <v>0</v>
      </c>
      <c r="Y120" s="444">
        <f t="shared" si="24"/>
        <v>0</v>
      </c>
      <c r="Z120" s="444">
        <f t="shared" si="24"/>
        <v>0</v>
      </c>
      <c r="AA120" s="444">
        <f t="shared" ref="AA120:AB148" si="36">IF(AA$8=$I120,($G120*$H120),0)</f>
        <v>0</v>
      </c>
      <c r="AB120" s="444">
        <f t="shared" si="36"/>
        <v>0</v>
      </c>
      <c r="AC120" s="80"/>
      <c r="AD120" s="50"/>
    </row>
    <row r="121" spans="2:30">
      <c r="B121" s="48"/>
      <c r="C121" s="77"/>
      <c r="D121" s="240"/>
      <c r="E121" s="240"/>
      <c r="F121" s="364"/>
      <c r="G121" s="363"/>
      <c r="H121" s="242"/>
      <c r="I121" s="363"/>
      <c r="J121" s="363"/>
      <c r="K121" s="79"/>
      <c r="L121" s="191">
        <f t="shared" si="27"/>
        <v>0</v>
      </c>
      <c r="M121" s="444">
        <f t="shared" si="28"/>
        <v>0</v>
      </c>
      <c r="N121" s="444">
        <f t="shared" si="29"/>
        <v>0</v>
      </c>
      <c r="O121" s="485" t="str">
        <f t="shared" si="30"/>
        <v>-</v>
      </c>
      <c r="P121" s="444">
        <f t="shared" si="23"/>
        <v>0</v>
      </c>
      <c r="Q121" s="79"/>
      <c r="R121" s="444">
        <f t="shared" si="35"/>
        <v>0</v>
      </c>
      <c r="S121" s="444">
        <f t="shared" si="35"/>
        <v>0</v>
      </c>
      <c r="T121" s="444">
        <f t="shared" si="35"/>
        <v>0</v>
      </c>
      <c r="U121" s="444">
        <f t="shared" si="32"/>
        <v>0</v>
      </c>
      <c r="V121" s="444">
        <f t="shared" si="32"/>
        <v>0</v>
      </c>
      <c r="W121" s="79"/>
      <c r="X121" s="444">
        <f t="shared" si="24"/>
        <v>0</v>
      </c>
      <c r="Y121" s="444">
        <f t="shared" si="24"/>
        <v>0</v>
      </c>
      <c r="Z121" s="444">
        <f t="shared" si="24"/>
        <v>0</v>
      </c>
      <c r="AA121" s="444">
        <f t="shared" si="36"/>
        <v>0</v>
      </c>
      <c r="AB121" s="444">
        <f t="shared" si="36"/>
        <v>0</v>
      </c>
      <c r="AC121" s="80"/>
      <c r="AD121" s="50"/>
    </row>
    <row r="122" spans="2:30">
      <c r="B122" s="48"/>
      <c r="C122" s="77"/>
      <c r="D122" s="240"/>
      <c r="E122" s="240"/>
      <c r="F122" s="364"/>
      <c r="G122" s="363"/>
      <c r="H122" s="242"/>
      <c r="I122" s="363"/>
      <c r="J122" s="363"/>
      <c r="K122" s="79"/>
      <c r="L122" s="191">
        <f t="shared" si="27"/>
        <v>0</v>
      </c>
      <c r="M122" s="444">
        <f t="shared" si="28"/>
        <v>0</v>
      </c>
      <c r="N122" s="444">
        <f t="shared" si="29"/>
        <v>0</v>
      </c>
      <c r="O122" s="485" t="str">
        <f t="shared" si="30"/>
        <v>-</v>
      </c>
      <c r="P122" s="444">
        <f t="shared" si="23"/>
        <v>0</v>
      </c>
      <c r="Q122" s="79"/>
      <c r="R122" s="444">
        <f t="shared" si="35"/>
        <v>0</v>
      </c>
      <c r="S122" s="444">
        <f t="shared" si="35"/>
        <v>0</v>
      </c>
      <c r="T122" s="444">
        <f t="shared" si="35"/>
        <v>0</v>
      </c>
      <c r="U122" s="444">
        <f t="shared" si="32"/>
        <v>0</v>
      </c>
      <c r="V122" s="444">
        <f t="shared" si="32"/>
        <v>0</v>
      </c>
      <c r="W122" s="79"/>
      <c r="X122" s="444">
        <f t="shared" si="24"/>
        <v>0</v>
      </c>
      <c r="Y122" s="444">
        <f t="shared" si="24"/>
        <v>0</v>
      </c>
      <c r="Z122" s="444">
        <f t="shared" si="24"/>
        <v>0</v>
      </c>
      <c r="AA122" s="444">
        <f t="shared" si="36"/>
        <v>0</v>
      </c>
      <c r="AB122" s="444">
        <f t="shared" si="36"/>
        <v>0</v>
      </c>
      <c r="AC122" s="80"/>
      <c r="AD122" s="50"/>
    </row>
    <row r="123" spans="2:30">
      <c r="B123" s="48"/>
      <c r="C123" s="77"/>
      <c r="D123" s="240"/>
      <c r="E123" s="240"/>
      <c r="F123" s="364"/>
      <c r="G123" s="363"/>
      <c r="H123" s="242"/>
      <c r="I123" s="363"/>
      <c r="J123" s="363"/>
      <c r="K123" s="79"/>
      <c r="L123" s="191">
        <f t="shared" si="27"/>
        <v>0</v>
      </c>
      <c r="M123" s="444">
        <f t="shared" si="28"/>
        <v>0</v>
      </c>
      <c r="N123" s="444">
        <f t="shared" si="29"/>
        <v>0</v>
      </c>
      <c r="O123" s="485" t="str">
        <f t="shared" si="30"/>
        <v>-</v>
      </c>
      <c r="P123" s="444">
        <f t="shared" si="23"/>
        <v>0</v>
      </c>
      <c r="Q123" s="79"/>
      <c r="R123" s="444">
        <f t="shared" si="35"/>
        <v>0</v>
      </c>
      <c r="S123" s="444">
        <f t="shared" si="35"/>
        <v>0</v>
      </c>
      <c r="T123" s="444">
        <f t="shared" si="35"/>
        <v>0</v>
      </c>
      <c r="U123" s="444">
        <f t="shared" si="32"/>
        <v>0</v>
      </c>
      <c r="V123" s="444">
        <f t="shared" si="32"/>
        <v>0</v>
      </c>
      <c r="W123" s="79"/>
      <c r="X123" s="444">
        <f t="shared" si="24"/>
        <v>0</v>
      </c>
      <c r="Y123" s="444">
        <f t="shared" si="24"/>
        <v>0</v>
      </c>
      <c r="Z123" s="444">
        <f t="shared" si="24"/>
        <v>0</v>
      </c>
      <c r="AA123" s="444">
        <f t="shared" si="36"/>
        <v>0</v>
      </c>
      <c r="AB123" s="444">
        <f t="shared" si="36"/>
        <v>0</v>
      </c>
      <c r="AC123" s="80"/>
      <c r="AD123" s="50"/>
    </row>
    <row r="124" spans="2:30">
      <c r="B124" s="48"/>
      <c r="C124" s="77"/>
      <c r="D124" s="240"/>
      <c r="E124" s="240"/>
      <c r="F124" s="364"/>
      <c r="G124" s="363"/>
      <c r="H124" s="242"/>
      <c r="I124" s="363"/>
      <c r="J124" s="363"/>
      <c r="K124" s="79"/>
      <c r="L124" s="191">
        <f t="shared" si="27"/>
        <v>0</v>
      </c>
      <c r="M124" s="444">
        <f t="shared" si="28"/>
        <v>0</v>
      </c>
      <c r="N124" s="444">
        <f t="shared" si="29"/>
        <v>0</v>
      </c>
      <c r="O124" s="485" t="str">
        <f t="shared" si="30"/>
        <v>-</v>
      </c>
      <c r="P124" s="444">
        <f t="shared" si="23"/>
        <v>0</v>
      </c>
      <c r="Q124" s="79"/>
      <c r="R124" s="444">
        <f t="shared" si="35"/>
        <v>0</v>
      </c>
      <c r="S124" s="444">
        <f t="shared" si="35"/>
        <v>0</v>
      </c>
      <c r="T124" s="444">
        <f t="shared" si="35"/>
        <v>0</v>
      </c>
      <c r="U124" s="444">
        <f t="shared" si="32"/>
        <v>0</v>
      </c>
      <c r="V124" s="444">
        <f t="shared" si="32"/>
        <v>0</v>
      </c>
      <c r="W124" s="79"/>
      <c r="X124" s="444">
        <f t="shared" si="24"/>
        <v>0</v>
      </c>
      <c r="Y124" s="444">
        <f t="shared" si="24"/>
        <v>0</v>
      </c>
      <c r="Z124" s="444">
        <f t="shared" si="24"/>
        <v>0</v>
      </c>
      <c r="AA124" s="444">
        <f t="shared" si="36"/>
        <v>0</v>
      </c>
      <c r="AB124" s="444">
        <f t="shared" si="36"/>
        <v>0</v>
      </c>
      <c r="AC124" s="80"/>
      <c r="AD124" s="50"/>
    </row>
    <row r="125" spans="2:30">
      <c r="B125" s="48"/>
      <c r="C125" s="77"/>
      <c r="D125" s="240"/>
      <c r="E125" s="240"/>
      <c r="F125" s="364"/>
      <c r="G125" s="363"/>
      <c r="H125" s="242"/>
      <c r="I125" s="363"/>
      <c r="J125" s="363"/>
      <c r="K125" s="79"/>
      <c r="L125" s="191">
        <f t="shared" si="27"/>
        <v>0</v>
      </c>
      <c r="M125" s="444">
        <f t="shared" si="28"/>
        <v>0</v>
      </c>
      <c r="N125" s="444">
        <f t="shared" si="29"/>
        <v>0</v>
      </c>
      <c r="O125" s="485" t="str">
        <f t="shared" si="30"/>
        <v>-</v>
      </c>
      <c r="P125" s="444">
        <f t="shared" si="23"/>
        <v>0</v>
      </c>
      <c r="Q125" s="79"/>
      <c r="R125" s="444">
        <f t="shared" si="35"/>
        <v>0</v>
      </c>
      <c r="S125" s="444">
        <f t="shared" si="35"/>
        <v>0</v>
      </c>
      <c r="T125" s="444">
        <f t="shared" si="35"/>
        <v>0</v>
      </c>
      <c r="U125" s="444">
        <f t="shared" si="32"/>
        <v>0</v>
      </c>
      <c r="V125" s="444">
        <f t="shared" si="32"/>
        <v>0</v>
      </c>
      <c r="W125" s="79"/>
      <c r="X125" s="444">
        <f t="shared" si="24"/>
        <v>0</v>
      </c>
      <c r="Y125" s="444">
        <f t="shared" si="24"/>
        <v>0</v>
      </c>
      <c r="Z125" s="444">
        <f t="shared" si="24"/>
        <v>0</v>
      </c>
      <c r="AA125" s="444">
        <f t="shared" si="36"/>
        <v>0</v>
      </c>
      <c r="AB125" s="444">
        <f t="shared" si="36"/>
        <v>0</v>
      </c>
      <c r="AC125" s="80"/>
      <c r="AD125" s="50"/>
    </row>
    <row r="126" spans="2:30">
      <c r="B126" s="48"/>
      <c r="C126" s="77"/>
      <c r="D126" s="240"/>
      <c r="E126" s="240"/>
      <c r="F126" s="364"/>
      <c r="G126" s="363"/>
      <c r="H126" s="242"/>
      <c r="I126" s="363"/>
      <c r="J126" s="363"/>
      <c r="K126" s="79"/>
      <c r="L126" s="191">
        <f t="shared" si="27"/>
        <v>0</v>
      </c>
      <c r="M126" s="444">
        <f t="shared" si="28"/>
        <v>0</v>
      </c>
      <c r="N126" s="444">
        <f t="shared" si="29"/>
        <v>0</v>
      </c>
      <c r="O126" s="485" t="str">
        <f t="shared" si="30"/>
        <v>-</v>
      </c>
      <c r="P126" s="444">
        <f t="shared" si="23"/>
        <v>0</v>
      </c>
      <c r="Q126" s="79"/>
      <c r="R126" s="444">
        <f t="shared" si="35"/>
        <v>0</v>
      </c>
      <c r="S126" s="444">
        <f t="shared" si="35"/>
        <v>0</v>
      </c>
      <c r="T126" s="444">
        <f t="shared" si="35"/>
        <v>0</v>
      </c>
      <c r="U126" s="444">
        <f t="shared" si="32"/>
        <v>0</v>
      </c>
      <c r="V126" s="444">
        <f t="shared" si="32"/>
        <v>0</v>
      </c>
      <c r="W126" s="79"/>
      <c r="X126" s="444">
        <f t="shared" si="24"/>
        <v>0</v>
      </c>
      <c r="Y126" s="444">
        <f t="shared" si="24"/>
        <v>0</v>
      </c>
      <c r="Z126" s="444">
        <f t="shared" si="24"/>
        <v>0</v>
      </c>
      <c r="AA126" s="444">
        <f t="shared" si="36"/>
        <v>0</v>
      </c>
      <c r="AB126" s="444">
        <f t="shared" si="36"/>
        <v>0</v>
      </c>
      <c r="AC126" s="80"/>
      <c r="AD126" s="50"/>
    </row>
    <row r="127" spans="2:30">
      <c r="B127" s="48"/>
      <c r="C127" s="77"/>
      <c r="D127" s="240"/>
      <c r="E127" s="240"/>
      <c r="F127" s="364"/>
      <c r="G127" s="363"/>
      <c r="H127" s="242"/>
      <c r="I127" s="363"/>
      <c r="J127" s="363"/>
      <c r="K127" s="79"/>
      <c r="L127" s="191">
        <f t="shared" si="27"/>
        <v>0</v>
      </c>
      <c r="M127" s="444">
        <f t="shared" si="28"/>
        <v>0</v>
      </c>
      <c r="N127" s="444">
        <f t="shared" si="29"/>
        <v>0</v>
      </c>
      <c r="O127" s="485" t="str">
        <f t="shared" si="30"/>
        <v>-</v>
      </c>
      <c r="P127" s="444">
        <f t="shared" si="23"/>
        <v>0</v>
      </c>
      <c r="Q127" s="79"/>
      <c r="R127" s="444">
        <f t="shared" si="35"/>
        <v>0</v>
      </c>
      <c r="S127" s="444">
        <f t="shared" si="35"/>
        <v>0</v>
      </c>
      <c r="T127" s="444">
        <f t="shared" si="35"/>
        <v>0</v>
      </c>
      <c r="U127" s="444">
        <f t="shared" si="32"/>
        <v>0</v>
      </c>
      <c r="V127" s="444">
        <f t="shared" si="32"/>
        <v>0</v>
      </c>
      <c r="W127" s="79"/>
      <c r="X127" s="444">
        <f t="shared" si="24"/>
        <v>0</v>
      </c>
      <c r="Y127" s="444">
        <f t="shared" si="24"/>
        <v>0</v>
      </c>
      <c r="Z127" s="444">
        <f t="shared" si="24"/>
        <v>0</v>
      </c>
      <c r="AA127" s="444">
        <f t="shared" si="36"/>
        <v>0</v>
      </c>
      <c r="AB127" s="444">
        <f t="shared" si="36"/>
        <v>0</v>
      </c>
      <c r="AC127" s="80"/>
      <c r="AD127" s="50"/>
    </row>
    <row r="128" spans="2:30">
      <c r="B128" s="48"/>
      <c r="C128" s="77"/>
      <c r="D128" s="240"/>
      <c r="E128" s="240"/>
      <c r="F128" s="364"/>
      <c r="G128" s="363"/>
      <c r="H128" s="242"/>
      <c r="I128" s="363"/>
      <c r="J128" s="363"/>
      <c r="K128" s="79"/>
      <c r="L128" s="191">
        <f t="shared" si="27"/>
        <v>0</v>
      </c>
      <c r="M128" s="444">
        <f t="shared" si="28"/>
        <v>0</v>
      </c>
      <c r="N128" s="444">
        <f t="shared" si="29"/>
        <v>0</v>
      </c>
      <c r="O128" s="485" t="str">
        <f t="shared" si="30"/>
        <v>-</v>
      </c>
      <c r="P128" s="444">
        <f t="shared" si="23"/>
        <v>0</v>
      </c>
      <c r="Q128" s="79"/>
      <c r="R128" s="444">
        <f t="shared" si="35"/>
        <v>0</v>
      </c>
      <c r="S128" s="444">
        <f t="shared" si="35"/>
        <v>0</v>
      </c>
      <c r="T128" s="444">
        <f t="shared" si="35"/>
        <v>0</v>
      </c>
      <c r="U128" s="444">
        <f t="shared" si="32"/>
        <v>0</v>
      </c>
      <c r="V128" s="444">
        <f t="shared" si="32"/>
        <v>0</v>
      </c>
      <c r="W128" s="79"/>
      <c r="X128" s="444">
        <f t="shared" si="24"/>
        <v>0</v>
      </c>
      <c r="Y128" s="444">
        <f t="shared" si="24"/>
        <v>0</v>
      </c>
      <c r="Z128" s="444">
        <f t="shared" si="24"/>
        <v>0</v>
      </c>
      <c r="AA128" s="444">
        <f t="shared" si="36"/>
        <v>0</v>
      </c>
      <c r="AB128" s="444">
        <f t="shared" si="36"/>
        <v>0</v>
      </c>
      <c r="AC128" s="80"/>
      <c r="AD128" s="50"/>
    </row>
    <row r="129" spans="2:30">
      <c r="B129" s="48"/>
      <c r="C129" s="77"/>
      <c r="D129" s="240"/>
      <c r="E129" s="240"/>
      <c r="F129" s="364"/>
      <c r="G129" s="363"/>
      <c r="H129" s="242"/>
      <c r="I129" s="363"/>
      <c r="J129" s="363"/>
      <c r="K129" s="79"/>
      <c r="L129" s="191">
        <f t="shared" si="27"/>
        <v>0</v>
      </c>
      <c r="M129" s="444">
        <f t="shared" si="28"/>
        <v>0</v>
      </c>
      <c r="N129" s="444">
        <f t="shared" si="29"/>
        <v>0</v>
      </c>
      <c r="O129" s="485" t="str">
        <f t="shared" si="30"/>
        <v>-</v>
      </c>
      <c r="P129" s="444">
        <f t="shared" si="23"/>
        <v>0</v>
      </c>
      <c r="Q129" s="79"/>
      <c r="R129" s="444">
        <f t="shared" si="35"/>
        <v>0</v>
      </c>
      <c r="S129" s="444">
        <f t="shared" si="35"/>
        <v>0</v>
      </c>
      <c r="T129" s="444">
        <f t="shared" si="35"/>
        <v>0</v>
      </c>
      <c r="U129" s="444">
        <f t="shared" si="32"/>
        <v>0</v>
      </c>
      <c r="V129" s="444">
        <f t="shared" si="32"/>
        <v>0</v>
      </c>
      <c r="W129" s="79"/>
      <c r="X129" s="444">
        <f t="shared" si="24"/>
        <v>0</v>
      </c>
      <c r="Y129" s="444">
        <f t="shared" si="24"/>
        <v>0</v>
      </c>
      <c r="Z129" s="444">
        <f t="shared" si="24"/>
        <v>0</v>
      </c>
      <c r="AA129" s="444">
        <f t="shared" si="36"/>
        <v>0</v>
      </c>
      <c r="AB129" s="444">
        <f t="shared" si="36"/>
        <v>0</v>
      </c>
      <c r="AC129" s="80"/>
      <c r="AD129" s="50"/>
    </row>
    <row r="130" spans="2:30">
      <c r="B130" s="48"/>
      <c r="C130" s="77"/>
      <c r="D130" s="240"/>
      <c r="E130" s="240"/>
      <c r="F130" s="364"/>
      <c r="G130" s="363"/>
      <c r="H130" s="242"/>
      <c r="I130" s="363"/>
      <c r="J130" s="363"/>
      <c r="K130" s="79"/>
      <c r="L130" s="191">
        <f t="shared" si="27"/>
        <v>0</v>
      </c>
      <c r="M130" s="444">
        <f t="shared" si="28"/>
        <v>0</v>
      </c>
      <c r="N130" s="444">
        <f t="shared" si="29"/>
        <v>0</v>
      </c>
      <c r="O130" s="485" t="str">
        <f t="shared" si="30"/>
        <v>-</v>
      </c>
      <c r="P130" s="444">
        <f t="shared" si="23"/>
        <v>0</v>
      </c>
      <c r="Q130" s="79"/>
      <c r="R130" s="444">
        <f t="shared" si="35"/>
        <v>0</v>
      </c>
      <c r="S130" s="444">
        <f t="shared" si="35"/>
        <v>0</v>
      </c>
      <c r="T130" s="444">
        <f t="shared" si="35"/>
        <v>0</v>
      </c>
      <c r="U130" s="444">
        <f t="shared" si="32"/>
        <v>0</v>
      </c>
      <c r="V130" s="444">
        <f t="shared" si="32"/>
        <v>0</v>
      </c>
      <c r="W130" s="79"/>
      <c r="X130" s="444">
        <f t="shared" si="24"/>
        <v>0</v>
      </c>
      <c r="Y130" s="444">
        <f t="shared" si="24"/>
        <v>0</v>
      </c>
      <c r="Z130" s="444">
        <f t="shared" si="24"/>
        <v>0</v>
      </c>
      <c r="AA130" s="444">
        <f t="shared" si="36"/>
        <v>0</v>
      </c>
      <c r="AB130" s="444">
        <f t="shared" si="36"/>
        <v>0</v>
      </c>
      <c r="AC130" s="80"/>
      <c r="AD130" s="50"/>
    </row>
    <row r="131" spans="2:30">
      <c r="B131" s="48"/>
      <c r="C131" s="77"/>
      <c r="D131" s="240"/>
      <c r="E131" s="240"/>
      <c r="F131" s="364"/>
      <c r="G131" s="363"/>
      <c r="H131" s="242"/>
      <c r="I131" s="363"/>
      <c r="J131" s="363"/>
      <c r="K131" s="79"/>
      <c r="L131" s="191">
        <f t="shared" si="27"/>
        <v>0</v>
      </c>
      <c r="M131" s="444">
        <f t="shared" si="28"/>
        <v>0</v>
      </c>
      <c r="N131" s="444">
        <f t="shared" si="29"/>
        <v>0</v>
      </c>
      <c r="O131" s="485" t="str">
        <f t="shared" si="30"/>
        <v>-</v>
      </c>
      <c r="P131" s="444">
        <f t="shared" si="23"/>
        <v>0</v>
      </c>
      <c r="Q131" s="79"/>
      <c r="R131" s="444">
        <f t="shared" si="35"/>
        <v>0</v>
      </c>
      <c r="S131" s="444">
        <f t="shared" si="35"/>
        <v>0</v>
      </c>
      <c r="T131" s="444">
        <f t="shared" si="35"/>
        <v>0</v>
      </c>
      <c r="U131" s="444">
        <f t="shared" si="32"/>
        <v>0</v>
      </c>
      <c r="V131" s="444">
        <f t="shared" si="32"/>
        <v>0</v>
      </c>
      <c r="W131" s="79"/>
      <c r="X131" s="444">
        <f t="shared" si="24"/>
        <v>0</v>
      </c>
      <c r="Y131" s="444">
        <f t="shared" si="24"/>
        <v>0</v>
      </c>
      <c r="Z131" s="444">
        <f t="shared" si="24"/>
        <v>0</v>
      </c>
      <c r="AA131" s="444">
        <f t="shared" si="36"/>
        <v>0</v>
      </c>
      <c r="AB131" s="444">
        <f t="shared" si="36"/>
        <v>0</v>
      </c>
      <c r="AC131" s="80"/>
      <c r="AD131" s="50"/>
    </row>
    <row r="132" spans="2:30">
      <c r="B132" s="48"/>
      <c r="C132" s="77"/>
      <c r="D132" s="240"/>
      <c r="E132" s="240"/>
      <c r="F132" s="364"/>
      <c r="G132" s="363"/>
      <c r="H132" s="242"/>
      <c r="I132" s="363"/>
      <c r="J132" s="363"/>
      <c r="K132" s="79"/>
      <c r="L132" s="191">
        <f t="shared" si="27"/>
        <v>0</v>
      </c>
      <c r="M132" s="444">
        <f t="shared" si="28"/>
        <v>0</v>
      </c>
      <c r="N132" s="444">
        <f t="shared" si="29"/>
        <v>0</v>
      </c>
      <c r="O132" s="485" t="str">
        <f t="shared" si="30"/>
        <v>-</v>
      </c>
      <c r="P132" s="444">
        <f t="shared" si="23"/>
        <v>0</v>
      </c>
      <c r="Q132" s="79"/>
      <c r="R132" s="444">
        <f t="shared" si="35"/>
        <v>0</v>
      </c>
      <c r="S132" s="444">
        <f t="shared" si="35"/>
        <v>0</v>
      </c>
      <c r="T132" s="444">
        <f t="shared" si="35"/>
        <v>0</v>
      </c>
      <c r="U132" s="444">
        <f t="shared" si="32"/>
        <v>0</v>
      </c>
      <c r="V132" s="444">
        <f t="shared" si="32"/>
        <v>0</v>
      </c>
      <c r="W132" s="79"/>
      <c r="X132" s="444">
        <f t="shared" si="24"/>
        <v>0</v>
      </c>
      <c r="Y132" s="444">
        <f t="shared" si="24"/>
        <v>0</v>
      </c>
      <c r="Z132" s="444">
        <f t="shared" si="24"/>
        <v>0</v>
      </c>
      <c r="AA132" s="444">
        <f t="shared" si="36"/>
        <v>0</v>
      </c>
      <c r="AB132" s="444">
        <f t="shared" si="36"/>
        <v>0</v>
      </c>
      <c r="AC132" s="80"/>
      <c r="AD132" s="50"/>
    </row>
    <row r="133" spans="2:30">
      <c r="B133" s="48"/>
      <c r="C133" s="77"/>
      <c r="D133" s="240"/>
      <c r="E133" s="240"/>
      <c r="F133" s="364"/>
      <c r="G133" s="363"/>
      <c r="H133" s="242"/>
      <c r="I133" s="363"/>
      <c r="J133" s="363"/>
      <c r="K133" s="79"/>
      <c r="L133" s="191">
        <f t="shared" si="27"/>
        <v>0</v>
      </c>
      <c r="M133" s="444">
        <f t="shared" si="28"/>
        <v>0</v>
      </c>
      <c r="N133" s="444">
        <f t="shared" si="29"/>
        <v>0</v>
      </c>
      <c r="O133" s="485" t="str">
        <f t="shared" si="30"/>
        <v>-</v>
      </c>
      <c r="P133" s="444">
        <f t="shared" si="23"/>
        <v>0</v>
      </c>
      <c r="Q133" s="79"/>
      <c r="R133" s="444">
        <f t="shared" si="35"/>
        <v>0</v>
      </c>
      <c r="S133" s="444">
        <f t="shared" si="35"/>
        <v>0</v>
      </c>
      <c r="T133" s="444">
        <f t="shared" si="35"/>
        <v>0</v>
      </c>
      <c r="U133" s="444">
        <f t="shared" si="32"/>
        <v>0</v>
      </c>
      <c r="V133" s="444">
        <f t="shared" si="32"/>
        <v>0</v>
      </c>
      <c r="W133" s="79"/>
      <c r="X133" s="444">
        <f t="shared" si="24"/>
        <v>0</v>
      </c>
      <c r="Y133" s="444">
        <f t="shared" si="24"/>
        <v>0</v>
      </c>
      <c r="Z133" s="444">
        <f t="shared" si="24"/>
        <v>0</v>
      </c>
      <c r="AA133" s="444">
        <f t="shared" si="36"/>
        <v>0</v>
      </c>
      <c r="AB133" s="444">
        <f t="shared" si="36"/>
        <v>0</v>
      </c>
      <c r="AC133" s="80"/>
      <c r="AD133" s="50"/>
    </row>
    <row r="134" spans="2:30">
      <c r="B134" s="48"/>
      <c r="C134" s="77"/>
      <c r="D134" s="240"/>
      <c r="E134" s="240"/>
      <c r="F134" s="364"/>
      <c r="G134" s="363"/>
      <c r="H134" s="242"/>
      <c r="I134" s="363"/>
      <c r="J134" s="363"/>
      <c r="K134" s="79"/>
      <c r="L134" s="191">
        <f t="shared" si="27"/>
        <v>0</v>
      </c>
      <c r="M134" s="444">
        <f t="shared" si="28"/>
        <v>0</v>
      </c>
      <c r="N134" s="444">
        <f t="shared" si="29"/>
        <v>0</v>
      </c>
      <c r="O134" s="485" t="str">
        <f t="shared" si="30"/>
        <v>-</v>
      </c>
      <c r="P134" s="444">
        <f t="shared" si="23"/>
        <v>0</v>
      </c>
      <c r="Q134" s="79"/>
      <c r="R134" s="444">
        <f t="shared" si="35"/>
        <v>0</v>
      </c>
      <c r="S134" s="444">
        <f t="shared" si="35"/>
        <v>0</v>
      </c>
      <c r="T134" s="444">
        <f t="shared" si="35"/>
        <v>0</v>
      </c>
      <c r="U134" s="444">
        <f t="shared" si="32"/>
        <v>0</v>
      </c>
      <c r="V134" s="444">
        <f t="shared" si="32"/>
        <v>0</v>
      </c>
      <c r="W134" s="79"/>
      <c r="X134" s="444">
        <f t="shared" si="24"/>
        <v>0</v>
      </c>
      <c r="Y134" s="444">
        <f t="shared" si="24"/>
        <v>0</v>
      </c>
      <c r="Z134" s="444">
        <f t="shared" si="24"/>
        <v>0</v>
      </c>
      <c r="AA134" s="444">
        <f t="shared" si="36"/>
        <v>0</v>
      </c>
      <c r="AB134" s="444">
        <f t="shared" si="36"/>
        <v>0</v>
      </c>
      <c r="AC134" s="80"/>
      <c r="AD134" s="50"/>
    </row>
    <row r="135" spans="2:30">
      <c r="B135" s="48"/>
      <c r="C135" s="77"/>
      <c r="D135" s="240"/>
      <c r="E135" s="240"/>
      <c r="F135" s="364"/>
      <c r="G135" s="363"/>
      <c r="H135" s="242"/>
      <c r="I135" s="363"/>
      <c r="J135" s="363"/>
      <c r="K135" s="79"/>
      <c r="L135" s="191">
        <f t="shared" si="27"/>
        <v>0</v>
      </c>
      <c r="M135" s="444">
        <f t="shared" si="28"/>
        <v>0</v>
      </c>
      <c r="N135" s="444">
        <f t="shared" si="29"/>
        <v>0</v>
      </c>
      <c r="O135" s="485" t="str">
        <f t="shared" si="30"/>
        <v>-</v>
      </c>
      <c r="P135" s="444">
        <f t="shared" si="23"/>
        <v>0</v>
      </c>
      <c r="Q135" s="79"/>
      <c r="R135" s="444">
        <f t="shared" si="35"/>
        <v>0</v>
      </c>
      <c r="S135" s="444">
        <f t="shared" si="35"/>
        <v>0</v>
      </c>
      <c r="T135" s="444">
        <f t="shared" si="35"/>
        <v>0</v>
      </c>
      <c r="U135" s="444">
        <f t="shared" si="32"/>
        <v>0</v>
      </c>
      <c r="V135" s="444">
        <f t="shared" si="32"/>
        <v>0</v>
      </c>
      <c r="W135" s="79"/>
      <c r="X135" s="444">
        <f t="shared" si="24"/>
        <v>0</v>
      </c>
      <c r="Y135" s="444">
        <f t="shared" si="24"/>
        <v>0</v>
      </c>
      <c r="Z135" s="444">
        <f t="shared" si="24"/>
        <v>0</v>
      </c>
      <c r="AA135" s="444">
        <f t="shared" si="36"/>
        <v>0</v>
      </c>
      <c r="AB135" s="444">
        <f t="shared" si="36"/>
        <v>0</v>
      </c>
      <c r="AC135" s="80"/>
      <c r="AD135" s="50"/>
    </row>
    <row r="136" spans="2:30">
      <c r="B136" s="48"/>
      <c r="C136" s="77"/>
      <c r="D136" s="240"/>
      <c r="E136" s="240"/>
      <c r="F136" s="364"/>
      <c r="G136" s="363"/>
      <c r="H136" s="242"/>
      <c r="I136" s="363"/>
      <c r="J136" s="363"/>
      <c r="K136" s="79"/>
      <c r="L136" s="191">
        <f t="shared" si="27"/>
        <v>0</v>
      </c>
      <c r="M136" s="444">
        <f t="shared" si="28"/>
        <v>0</v>
      </c>
      <c r="N136" s="444">
        <f t="shared" si="29"/>
        <v>0</v>
      </c>
      <c r="O136" s="485" t="str">
        <f t="shared" si="30"/>
        <v>-</v>
      </c>
      <c r="P136" s="444">
        <f t="shared" si="23"/>
        <v>0</v>
      </c>
      <c r="Q136" s="79"/>
      <c r="R136" s="444">
        <f t="shared" si="35"/>
        <v>0</v>
      </c>
      <c r="S136" s="444">
        <f t="shared" si="35"/>
        <v>0</v>
      </c>
      <c r="T136" s="444">
        <f t="shared" si="35"/>
        <v>0</v>
      </c>
      <c r="U136" s="444">
        <f t="shared" si="32"/>
        <v>0</v>
      </c>
      <c r="V136" s="444">
        <f t="shared" si="32"/>
        <v>0</v>
      </c>
      <c r="W136" s="79"/>
      <c r="X136" s="444">
        <f t="shared" si="24"/>
        <v>0</v>
      </c>
      <c r="Y136" s="444">
        <f t="shared" si="24"/>
        <v>0</v>
      </c>
      <c r="Z136" s="444">
        <f t="shared" si="24"/>
        <v>0</v>
      </c>
      <c r="AA136" s="444">
        <f t="shared" si="36"/>
        <v>0</v>
      </c>
      <c r="AB136" s="444">
        <f t="shared" si="36"/>
        <v>0</v>
      </c>
      <c r="AC136" s="80"/>
      <c r="AD136" s="50"/>
    </row>
    <row r="137" spans="2:30">
      <c r="B137" s="48"/>
      <c r="C137" s="77"/>
      <c r="D137" s="240"/>
      <c r="E137" s="240"/>
      <c r="F137" s="364"/>
      <c r="G137" s="363"/>
      <c r="H137" s="242"/>
      <c r="I137" s="363"/>
      <c r="J137" s="363"/>
      <c r="K137" s="79"/>
      <c r="L137" s="191">
        <f t="shared" si="27"/>
        <v>0</v>
      </c>
      <c r="M137" s="444">
        <f t="shared" si="28"/>
        <v>0</v>
      </c>
      <c r="N137" s="444">
        <f t="shared" si="29"/>
        <v>0</v>
      </c>
      <c r="O137" s="485" t="str">
        <f t="shared" si="30"/>
        <v>-</v>
      </c>
      <c r="P137" s="444">
        <f t="shared" si="23"/>
        <v>0</v>
      </c>
      <c r="Q137" s="79"/>
      <c r="R137" s="444">
        <f t="shared" si="35"/>
        <v>0</v>
      </c>
      <c r="S137" s="444">
        <f t="shared" si="35"/>
        <v>0</v>
      </c>
      <c r="T137" s="444">
        <f t="shared" si="35"/>
        <v>0</v>
      </c>
      <c r="U137" s="444">
        <f t="shared" si="32"/>
        <v>0</v>
      </c>
      <c r="V137" s="444">
        <f t="shared" si="32"/>
        <v>0</v>
      </c>
      <c r="W137" s="79"/>
      <c r="X137" s="444">
        <f t="shared" si="24"/>
        <v>0</v>
      </c>
      <c r="Y137" s="444">
        <f t="shared" si="24"/>
        <v>0</v>
      </c>
      <c r="Z137" s="444">
        <f t="shared" si="24"/>
        <v>0</v>
      </c>
      <c r="AA137" s="444">
        <f t="shared" si="36"/>
        <v>0</v>
      </c>
      <c r="AB137" s="444">
        <f t="shared" si="36"/>
        <v>0</v>
      </c>
      <c r="AC137" s="80"/>
      <c r="AD137" s="50"/>
    </row>
    <row r="138" spans="2:30">
      <c r="B138" s="48"/>
      <c r="C138" s="77"/>
      <c r="D138" s="240"/>
      <c r="E138" s="240"/>
      <c r="F138" s="364"/>
      <c r="G138" s="363"/>
      <c r="H138" s="242"/>
      <c r="I138" s="363"/>
      <c r="J138" s="363"/>
      <c r="K138" s="79"/>
      <c r="L138" s="191">
        <f t="shared" si="27"/>
        <v>0</v>
      </c>
      <c r="M138" s="444">
        <f t="shared" si="28"/>
        <v>0</v>
      </c>
      <c r="N138" s="444">
        <f t="shared" si="29"/>
        <v>0</v>
      </c>
      <c r="O138" s="485" t="str">
        <f t="shared" si="30"/>
        <v>-</v>
      </c>
      <c r="P138" s="444">
        <f t="shared" si="23"/>
        <v>0</v>
      </c>
      <c r="Q138" s="79"/>
      <c r="R138" s="444">
        <f t="shared" si="35"/>
        <v>0</v>
      </c>
      <c r="S138" s="444">
        <f t="shared" si="35"/>
        <v>0</v>
      </c>
      <c r="T138" s="444">
        <f t="shared" si="35"/>
        <v>0</v>
      </c>
      <c r="U138" s="444">
        <f t="shared" si="32"/>
        <v>0</v>
      </c>
      <c r="V138" s="444">
        <f t="shared" si="32"/>
        <v>0</v>
      </c>
      <c r="W138" s="79"/>
      <c r="X138" s="444">
        <f t="shared" si="24"/>
        <v>0</v>
      </c>
      <c r="Y138" s="444">
        <f t="shared" si="24"/>
        <v>0</v>
      </c>
      <c r="Z138" s="444">
        <f t="shared" si="24"/>
        <v>0</v>
      </c>
      <c r="AA138" s="444">
        <f t="shared" si="36"/>
        <v>0</v>
      </c>
      <c r="AB138" s="444">
        <f t="shared" si="36"/>
        <v>0</v>
      </c>
      <c r="AC138" s="80"/>
      <c r="AD138" s="50"/>
    </row>
    <row r="139" spans="2:30">
      <c r="B139" s="48"/>
      <c r="C139" s="77"/>
      <c r="D139" s="240"/>
      <c r="E139" s="240"/>
      <c r="F139" s="364"/>
      <c r="G139" s="363"/>
      <c r="H139" s="242"/>
      <c r="I139" s="363"/>
      <c r="J139" s="363"/>
      <c r="K139" s="79"/>
      <c r="L139" s="191">
        <f t="shared" si="27"/>
        <v>0</v>
      </c>
      <c r="M139" s="444">
        <f t="shared" si="28"/>
        <v>0</v>
      </c>
      <c r="N139" s="444">
        <f t="shared" si="29"/>
        <v>0</v>
      </c>
      <c r="O139" s="485" t="str">
        <f t="shared" si="30"/>
        <v>-</v>
      </c>
      <c r="P139" s="444">
        <f t="shared" si="23"/>
        <v>0</v>
      </c>
      <c r="Q139" s="79"/>
      <c r="R139" s="444">
        <f t="shared" si="35"/>
        <v>0</v>
      </c>
      <c r="S139" s="444">
        <f t="shared" si="35"/>
        <v>0</v>
      </c>
      <c r="T139" s="444">
        <f t="shared" si="35"/>
        <v>0</v>
      </c>
      <c r="U139" s="444">
        <f t="shared" si="32"/>
        <v>0</v>
      </c>
      <c r="V139" s="444">
        <f t="shared" si="32"/>
        <v>0</v>
      </c>
      <c r="W139" s="79"/>
      <c r="X139" s="444">
        <f t="shared" si="24"/>
        <v>0</v>
      </c>
      <c r="Y139" s="444">
        <f t="shared" si="24"/>
        <v>0</v>
      </c>
      <c r="Z139" s="444">
        <f t="shared" si="24"/>
        <v>0</v>
      </c>
      <c r="AA139" s="444">
        <f t="shared" si="36"/>
        <v>0</v>
      </c>
      <c r="AB139" s="444">
        <f t="shared" si="36"/>
        <v>0</v>
      </c>
      <c r="AC139" s="80"/>
      <c r="AD139" s="50"/>
    </row>
    <row r="140" spans="2:30">
      <c r="B140" s="48"/>
      <c r="C140" s="77"/>
      <c r="D140" s="240"/>
      <c r="E140" s="240"/>
      <c r="F140" s="364"/>
      <c r="G140" s="363"/>
      <c r="H140" s="242"/>
      <c r="I140" s="363"/>
      <c r="J140" s="363"/>
      <c r="K140" s="79"/>
      <c r="L140" s="191">
        <f t="shared" ref="L140:L146" si="37">IF(J140="geen",9999999999,J140)</f>
        <v>0</v>
      </c>
      <c r="M140" s="444">
        <f t="shared" ref="M140:M146" si="38">G140*H140</f>
        <v>0</v>
      </c>
      <c r="N140" s="444">
        <f t="shared" ref="N140:N146" si="39">IF(G140=0,0,(G140*H140)/L140)</f>
        <v>0</v>
      </c>
      <c r="O140" s="485" t="str">
        <f t="shared" ref="O140:O146" si="40">IF(L140=0,"-",(IF(L140&gt;3000,"-",I140+L140-1)))</f>
        <v>-</v>
      </c>
      <c r="P140" s="444">
        <f t="shared" ref="P140:P146" si="41">IF(J140="geen",IF(I140&lt;$R$8,G140*H140,0),IF(I140&gt;=$R$8,0,IF((H140*G140-(R$8-I140)*N140)&lt;0,0,H140*G140-(R$8-I140)*N140)))</f>
        <v>0</v>
      </c>
      <c r="Q140" s="79"/>
      <c r="R140" s="444">
        <f t="shared" si="35"/>
        <v>0</v>
      </c>
      <c r="S140" s="444">
        <f t="shared" si="35"/>
        <v>0</v>
      </c>
      <c r="T140" s="444">
        <f t="shared" si="35"/>
        <v>0</v>
      </c>
      <c r="U140" s="444">
        <f t="shared" si="35"/>
        <v>0</v>
      </c>
      <c r="V140" s="444">
        <f t="shared" si="35"/>
        <v>0</v>
      </c>
      <c r="W140" s="79"/>
      <c r="X140" s="444">
        <f t="shared" ref="X140:AB146" si="42">IF(X$8=$I140,($G140*$H140),0)</f>
        <v>0</v>
      </c>
      <c r="Y140" s="444">
        <f t="shared" si="42"/>
        <v>0</v>
      </c>
      <c r="Z140" s="444">
        <f t="shared" si="42"/>
        <v>0</v>
      </c>
      <c r="AA140" s="444">
        <f t="shared" si="42"/>
        <v>0</v>
      </c>
      <c r="AB140" s="444">
        <f t="shared" si="42"/>
        <v>0</v>
      </c>
      <c r="AC140" s="80"/>
      <c r="AD140" s="50"/>
    </row>
    <row r="141" spans="2:30">
      <c r="B141" s="48"/>
      <c r="C141" s="77"/>
      <c r="D141" s="240"/>
      <c r="E141" s="240"/>
      <c r="F141" s="364"/>
      <c r="G141" s="363"/>
      <c r="H141" s="242"/>
      <c r="I141" s="363"/>
      <c r="J141" s="363"/>
      <c r="K141" s="79"/>
      <c r="L141" s="191">
        <f t="shared" si="37"/>
        <v>0</v>
      </c>
      <c r="M141" s="444">
        <f t="shared" si="38"/>
        <v>0</v>
      </c>
      <c r="N141" s="444">
        <f t="shared" si="39"/>
        <v>0</v>
      </c>
      <c r="O141" s="485" t="str">
        <f t="shared" si="40"/>
        <v>-</v>
      </c>
      <c r="P141" s="444">
        <f t="shared" si="41"/>
        <v>0</v>
      </c>
      <c r="Q141" s="79"/>
      <c r="R141" s="444">
        <f t="shared" ref="R141:V146" si="43">(IF(R$8&lt;$I141,0,IF($O141&lt;=R$8-1,0,$N141)))</f>
        <v>0</v>
      </c>
      <c r="S141" s="444">
        <f t="shared" si="43"/>
        <v>0</v>
      </c>
      <c r="T141" s="444">
        <f t="shared" si="43"/>
        <v>0</v>
      </c>
      <c r="U141" s="444">
        <f t="shared" si="43"/>
        <v>0</v>
      </c>
      <c r="V141" s="444">
        <f t="shared" si="43"/>
        <v>0</v>
      </c>
      <c r="W141" s="79"/>
      <c r="X141" s="444">
        <f t="shared" si="42"/>
        <v>0</v>
      </c>
      <c r="Y141" s="444">
        <f t="shared" si="42"/>
        <v>0</v>
      </c>
      <c r="Z141" s="444">
        <f t="shared" si="42"/>
        <v>0</v>
      </c>
      <c r="AA141" s="444">
        <f t="shared" si="42"/>
        <v>0</v>
      </c>
      <c r="AB141" s="444">
        <f t="shared" si="42"/>
        <v>0</v>
      </c>
      <c r="AC141" s="80"/>
      <c r="AD141" s="50"/>
    </row>
    <row r="142" spans="2:30">
      <c r="B142" s="48"/>
      <c r="C142" s="77"/>
      <c r="D142" s="240"/>
      <c r="E142" s="240"/>
      <c r="F142" s="364"/>
      <c r="G142" s="363"/>
      <c r="H142" s="242"/>
      <c r="I142" s="363"/>
      <c r="J142" s="363"/>
      <c r="K142" s="79"/>
      <c r="L142" s="191">
        <f t="shared" si="37"/>
        <v>0</v>
      </c>
      <c r="M142" s="444">
        <f t="shared" si="38"/>
        <v>0</v>
      </c>
      <c r="N142" s="444">
        <f t="shared" si="39"/>
        <v>0</v>
      </c>
      <c r="O142" s="485" t="str">
        <f t="shared" si="40"/>
        <v>-</v>
      </c>
      <c r="P142" s="444">
        <f t="shared" si="41"/>
        <v>0</v>
      </c>
      <c r="Q142" s="79"/>
      <c r="R142" s="444">
        <f t="shared" si="43"/>
        <v>0</v>
      </c>
      <c r="S142" s="444">
        <f t="shared" si="43"/>
        <v>0</v>
      </c>
      <c r="T142" s="444">
        <f t="shared" si="43"/>
        <v>0</v>
      </c>
      <c r="U142" s="444">
        <f t="shared" si="43"/>
        <v>0</v>
      </c>
      <c r="V142" s="444">
        <f t="shared" si="43"/>
        <v>0</v>
      </c>
      <c r="W142" s="79"/>
      <c r="X142" s="444">
        <f t="shared" si="42"/>
        <v>0</v>
      </c>
      <c r="Y142" s="444">
        <f t="shared" si="42"/>
        <v>0</v>
      </c>
      <c r="Z142" s="444">
        <f t="shared" si="42"/>
        <v>0</v>
      </c>
      <c r="AA142" s="444">
        <f t="shared" si="42"/>
        <v>0</v>
      </c>
      <c r="AB142" s="444">
        <f t="shared" si="42"/>
        <v>0</v>
      </c>
      <c r="AC142" s="80"/>
      <c r="AD142" s="50"/>
    </row>
    <row r="143" spans="2:30">
      <c r="B143" s="48"/>
      <c r="C143" s="77"/>
      <c r="D143" s="240"/>
      <c r="E143" s="240"/>
      <c r="F143" s="364"/>
      <c r="G143" s="363"/>
      <c r="H143" s="242"/>
      <c r="I143" s="363"/>
      <c r="J143" s="363"/>
      <c r="K143" s="79"/>
      <c r="L143" s="191">
        <f t="shared" si="37"/>
        <v>0</v>
      </c>
      <c r="M143" s="444">
        <f t="shared" si="38"/>
        <v>0</v>
      </c>
      <c r="N143" s="444">
        <f t="shared" si="39"/>
        <v>0</v>
      </c>
      <c r="O143" s="485" t="str">
        <f t="shared" si="40"/>
        <v>-</v>
      </c>
      <c r="P143" s="444">
        <f t="shared" si="41"/>
        <v>0</v>
      </c>
      <c r="Q143" s="79"/>
      <c r="R143" s="444">
        <f t="shared" si="43"/>
        <v>0</v>
      </c>
      <c r="S143" s="444">
        <f t="shared" si="43"/>
        <v>0</v>
      </c>
      <c r="T143" s="444">
        <f t="shared" si="43"/>
        <v>0</v>
      </c>
      <c r="U143" s="444">
        <f t="shared" si="43"/>
        <v>0</v>
      </c>
      <c r="V143" s="444">
        <f t="shared" si="43"/>
        <v>0</v>
      </c>
      <c r="W143" s="79"/>
      <c r="X143" s="444">
        <f t="shared" si="42"/>
        <v>0</v>
      </c>
      <c r="Y143" s="444">
        <f t="shared" si="42"/>
        <v>0</v>
      </c>
      <c r="Z143" s="444">
        <f t="shared" si="42"/>
        <v>0</v>
      </c>
      <c r="AA143" s="444">
        <f t="shared" si="42"/>
        <v>0</v>
      </c>
      <c r="AB143" s="444">
        <f t="shared" si="42"/>
        <v>0</v>
      </c>
      <c r="AC143" s="80"/>
      <c r="AD143" s="50"/>
    </row>
    <row r="144" spans="2:30">
      <c r="B144" s="48"/>
      <c r="C144" s="77"/>
      <c r="D144" s="240"/>
      <c r="E144" s="240"/>
      <c r="F144" s="364"/>
      <c r="G144" s="363"/>
      <c r="H144" s="242"/>
      <c r="I144" s="363"/>
      <c r="J144" s="363"/>
      <c r="K144" s="79"/>
      <c r="L144" s="191">
        <f t="shared" si="37"/>
        <v>0</v>
      </c>
      <c r="M144" s="444">
        <f t="shared" si="38"/>
        <v>0</v>
      </c>
      <c r="N144" s="444">
        <f t="shared" si="39"/>
        <v>0</v>
      </c>
      <c r="O144" s="485" t="str">
        <f t="shared" si="40"/>
        <v>-</v>
      </c>
      <c r="P144" s="444">
        <f t="shared" si="41"/>
        <v>0</v>
      </c>
      <c r="Q144" s="79"/>
      <c r="R144" s="444">
        <f t="shared" si="43"/>
        <v>0</v>
      </c>
      <c r="S144" s="444">
        <f t="shared" si="43"/>
        <v>0</v>
      </c>
      <c r="T144" s="444">
        <f t="shared" si="43"/>
        <v>0</v>
      </c>
      <c r="U144" s="444">
        <f t="shared" si="43"/>
        <v>0</v>
      </c>
      <c r="V144" s="444">
        <f t="shared" si="43"/>
        <v>0</v>
      </c>
      <c r="W144" s="79"/>
      <c r="X144" s="444">
        <f t="shared" si="42"/>
        <v>0</v>
      </c>
      <c r="Y144" s="444">
        <f t="shared" si="42"/>
        <v>0</v>
      </c>
      <c r="Z144" s="444">
        <f t="shared" si="42"/>
        <v>0</v>
      </c>
      <c r="AA144" s="444">
        <f t="shared" si="42"/>
        <v>0</v>
      </c>
      <c r="AB144" s="444">
        <f t="shared" si="42"/>
        <v>0</v>
      </c>
      <c r="AC144" s="80"/>
      <c r="AD144" s="50"/>
    </row>
    <row r="145" spans="2:30">
      <c r="B145" s="48"/>
      <c r="C145" s="77"/>
      <c r="D145" s="240"/>
      <c r="E145" s="240"/>
      <c r="F145" s="364"/>
      <c r="G145" s="363"/>
      <c r="H145" s="242"/>
      <c r="I145" s="363"/>
      <c r="J145" s="363"/>
      <c r="K145" s="79"/>
      <c r="L145" s="191">
        <f t="shared" si="37"/>
        <v>0</v>
      </c>
      <c r="M145" s="444">
        <f t="shared" si="38"/>
        <v>0</v>
      </c>
      <c r="N145" s="444">
        <f t="shared" si="39"/>
        <v>0</v>
      </c>
      <c r="O145" s="485" t="str">
        <f t="shared" si="40"/>
        <v>-</v>
      </c>
      <c r="P145" s="444">
        <f t="shared" si="41"/>
        <v>0</v>
      </c>
      <c r="Q145" s="79"/>
      <c r="R145" s="444">
        <f t="shared" si="43"/>
        <v>0</v>
      </c>
      <c r="S145" s="444">
        <f t="shared" si="43"/>
        <v>0</v>
      </c>
      <c r="T145" s="444">
        <f t="shared" si="43"/>
        <v>0</v>
      </c>
      <c r="U145" s="444">
        <f t="shared" si="43"/>
        <v>0</v>
      </c>
      <c r="V145" s="444">
        <f t="shared" si="43"/>
        <v>0</v>
      </c>
      <c r="W145" s="79"/>
      <c r="X145" s="444">
        <f t="shared" si="42"/>
        <v>0</v>
      </c>
      <c r="Y145" s="444">
        <f t="shared" si="42"/>
        <v>0</v>
      </c>
      <c r="Z145" s="444">
        <f t="shared" si="42"/>
        <v>0</v>
      </c>
      <c r="AA145" s="444">
        <f t="shared" si="42"/>
        <v>0</v>
      </c>
      <c r="AB145" s="444">
        <f t="shared" si="42"/>
        <v>0</v>
      </c>
      <c r="AC145" s="80"/>
      <c r="AD145" s="50"/>
    </row>
    <row r="146" spans="2:30">
      <c r="B146" s="48"/>
      <c r="C146" s="77"/>
      <c r="D146" s="240"/>
      <c r="E146" s="240"/>
      <c r="F146" s="364"/>
      <c r="G146" s="363"/>
      <c r="H146" s="242"/>
      <c r="I146" s="363"/>
      <c r="J146" s="363"/>
      <c r="K146" s="79"/>
      <c r="L146" s="191">
        <f t="shared" si="37"/>
        <v>0</v>
      </c>
      <c r="M146" s="444">
        <f t="shared" si="38"/>
        <v>0</v>
      </c>
      <c r="N146" s="444">
        <f t="shared" si="39"/>
        <v>0</v>
      </c>
      <c r="O146" s="485" t="str">
        <f t="shared" si="40"/>
        <v>-</v>
      </c>
      <c r="P146" s="444">
        <f t="shared" si="41"/>
        <v>0</v>
      </c>
      <c r="Q146" s="79"/>
      <c r="R146" s="444">
        <f t="shared" si="43"/>
        <v>0</v>
      </c>
      <c r="S146" s="444">
        <f t="shared" si="43"/>
        <v>0</v>
      </c>
      <c r="T146" s="444">
        <f t="shared" si="43"/>
        <v>0</v>
      </c>
      <c r="U146" s="444">
        <f t="shared" si="43"/>
        <v>0</v>
      </c>
      <c r="V146" s="444">
        <f t="shared" si="43"/>
        <v>0</v>
      </c>
      <c r="W146" s="79"/>
      <c r="X146" s="444">
        <f t="shared" si="42"/>
        <v>0</v>
      </c>
      <c r="Y146" s="444">
        <f t="shared" si="42"/>
        <v>0</v>
      </c>
      <c r="Z146" s="444">
        <f t="shared" si="42"/>
        <v>0</v>
      </c>
      <c r="AA146" s="444">
        <f t="shared" si="42"/>
        <v>0</v>
      </c>
      <c r="AB146" s="444">
        <f t="shared" si="42"/>
        <v>0</v>
      </c>
      <c r="AC146" s="80"/>
      <c r="AD146" s="50"/>
    </row>
    <row r="147" spans="2:30">
      <c r="B147" s="48"/>
      <c r="C147" s="77"/>
      <c r="D147" s="240"/>
      <c r="E147" s="240"/>
      <c r="F147" s="364"/>
      <c r="G147" s="363"/>
      <c r="H147" s="242"/>
      <c r="I147" s="363"/>
      <c r="J147" s="363"/>
      <c r="K147" s="79"/>
      <c r="L147" s="191">
        <f t="shared" si="27"/>
        <v>0</v>
      </c>
      <c r="M147" s="444">
        <f t="shared" si="28"/>
        <v>0</v>
      </c>
      <c r="N147" s="444">
        <f t="shared" si="29"/>
        <v>0</v>
      </c>
      <c r="O147" s="485" t="str">
        <f t="shared" si="30"/>
        <v>-</v>
      </c>
      <c r="P147" s="444">
        <f t="shared" si="23"/>
        <v>0</v>
      </c>
      <c r="Q147" s="79"/>
      <c r="R147" s="444">
        <f t="shared" ref="R147:T148" si="44">(IF(R$8&lt;$I147,0,IF($O147&lt;=R$8-1,0,$N147)))</f>
        <v>0</v>
      </c>
      <c r="S147" s="444">
        <f t="shared" si="44"/>
        <v>0</v>
      </c>
      <c r="T147" s="444">
        <f t="shared" si="44"/>
        <v>0</v>
      </c>
      <c r="U147" s="444">
        <f t="shared" si="32"/>
        <v>0</v>
      </c>
      <c r="V147" s="444">
        <f t="shared" si="32"/>
        <v>0</v>
      </c>
      <c r="W147" s="79"/>
      <c r="X147" s="444">
        <f t="shared" si="24"/>
        <v>0</v>
      </c>
      <c r="Y147" s="444">
        <f t="shared" si="24"/>
        <v>0</v>
      </c>
      <c r="Z147" s="444">
        <f t="shared" si="24"/>
        <v>0</v>
      </c>
      <c r="AA147" s="444">
        <f t="shared" si="36"/>
        <v>0</v>
      </c>
      <c r="AB147" s="444">
        <f t="shared" si="36"/>
        <v>0</v>
      </c>
      <c r="AC147" s="80"/>
      <c r="AD147" s="50"/>
    </row>
    <row r="148" spans="2:30">
      <c r="B148" s="48"/>
      <c r="C148" s="77"/>
      <c r="D148" s="240"/>
      <c r="E148" s="240"/>
      <c r="F148" s="364"/>
      <c r="G148" s="363"/>
      <c r="H148" s="242"/>
      <c r="I148" s="363"/>
      <c r="J148" s="363"/>
      <c r="K148" s="79"/>
      <c r="L148" s="191">
        <f t="shared" si="27"/>
        <v>0</v>
      </c>
      <c r="M148" s="444">
        <f t="shared" si="28"/>
        <v>0</v>
      </c>
      <c r="N148" s="444">
        <f t="shared" si="29"/>
        <v>0</v>
      </c>
      <c r="O148" s="485" t="str">
        <f t="shared" si="30"/>
        <v>-</v>
      </c>
      <c r="P148" s="444">
        <f t="shared" si="23"/>
        <v>0</v>
      </c>
      <c r="Q148" s="79"/>
      <c r="R148" s="444">
        <f t="shared" si="44"/>
        <v>0</v>
      </c>
      <c r="S148" s="444">
        <f t="shared" si="44"/>
        <v>0</v>
      </c>
      <c r="T148" s="444">
        <f t="shared" si="44"/>
        <v>0</v>
      </c>
      <c r="U148" s="444">
        <f t="shared" si="32"/>
        <v>0</v>
      </c>
      <c r="V148" s="444">
        <f t="shared" si="32"/>
        <v>0</v>
      </c>
      <c r="W148" s="79"/>
      <c r="X148" s="444">
        <f t="shared" si="24"/>
        <v>0</v>
      </c>
      <c r="Y148" s="444">
        <f t="shared" si="24"/>
        <v>0</v>
      </c>
      <c r="Z148" s="444">
        <f t="shared" si="24"/>
        <v>0</v>
      </c>
      <c r="AA148" s="444">
        <f t="shared" si="36"/>
        <v>0</v>
      </c>
      <c r="AB148" s="444">
        <f t="shared" si="36"/>
        <v>0</v>
      </c>
      <c r="AC148" s="80"/>
      <c r="AD148" s="50"/>
    </row>
    <row r="149" spans="2:30">
      <c r="B149" s="48"/>
      <c r="C149" s="88"/>
      <c r="D149" s="341"/>
      <c r="E149" s="341"/>
      <c r="F149" s="236"/>
      <c r="G149" s="236"/>
      <c r="H149" s="236"/>
      <c r="I149" s="236"/>
      <c r="J149" s="236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91"/>
      <c r="AD149" s="50"/>
    </row>
    <row r="150" spans="2:30">
      <c r="B150" s="69"/>
      <c r="C150" s="70"/>
      <c r="D150" s="70"/>
      <c r="E150" s="70"/>
      <c r="F150" s="303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2"/>
    </row>
  </sheetData>
  <sheetProtection password="DFB1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zoomScale="85" zoomScaleNormal="8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" style="33" customWidth="1"/>
    <col min="2" max="3" width="2.7109375" style="33" customWidth="1"/>
    <col min="4" max="4" width="45.7109375" style="33" customWidth="1"/>
    <col min="5" max="5" width="2.7109375" style="33" customWidth="1"/>
    <col min="6" max="8" width="14.85546875" style="33" customWidth="1"/>
    <col min="9" max="9" width="14.85546875" style="41" customWidth="1"/>
    <col min="10" max="10" width="14.85546875" style="33" customWidth="1"/>
    <col min="11" max="12" width="2.7109375" style="33" customWidth="1"/>
    <col min="13" max="16384" width="9.140625" style="33"/>
  </cols>
  <sheetData>
    <row r="1" spans="2:12" ht="12.75" customHeight="1"/>
    <row r="2" spans="2:12">
      <c r="B2" s="43"/>
      <c r="C2" s="44"/>
      <c r="D2" s="44"/>
      <c r="E2" s="44"/>
      <c r="F2" s="44"/>
      <c r="G2" s="44"/>
      <c r="H2" s="178"/>
      <c r="I2" s="44"/>
      <c r="J2" s="44"/>
      <c r="K2" s="44"/>
      <c r="L2" s="47"/>
    </row>
    <row r="3" spans="2:12">
      <c r="B3" s="48"/>
      <c r="C3" s="49"/>
      <c r="D3" s="49"/>
      <c r="E3" s="49"/>
      <c r="F3" s="49"/>
      <c r="G3" s="49"/>
      <c r="H3" s="67"/>
      <c r="I3" s="49"/>
      <c r="J3" s="49"/>
      <c r="K3" s="49"/>
      <c r="L3" s="50"/>
    </row>
    <row r="4" spans="2:12" s="101" customFormat="1" ht="18.75">
      <c r="B4" s="157"/>
      <c r="C4" s="158" t="s">
        <v>187</v>
      </c>
      <c r="D4" s="159"/>
      <c r="E4" s="381"/>
      <c r="F4" s="381"/>
      <c r="G4" s="381"/>
      <c r="H4" s="381"/>
      <c r="I4" s="381"/>
      <c r="J4" s="381"/>
      <c r="K4" s="381"/>
      <c r="L4" s="382"/>
    </row>
    <row r="5" spans="2:12" s="567" customFormat="1" ht="15.75">
      <c r="B5" s="563"/>
      <c r="C5" s="458"/>
      <c r="D5" s="564"/>
      <c r="E5" s="565"/>
      <c r="F5" s="565"/>
      <c r="G5" s="565"/>
      <c r="H5" s="565"/>
      <c r="I5" s="565"/>
      <c r="J5" s="565"/>
      <c r="K5" s="565"/>
      <c r="L5" s="566"/>
    </row>
    <row r="6" spans="2:12" ht="12.75" customHeight="1">
      <c r="B6" s="431"/>
      <c r="C6" s="160"/>
      <c r="D6" s="432"/>
      <c r="E6" s="52"/>
      <c r="F6" s="52"/>
      <c r="G6" s="52"/>
      <c r="H6" s="52"/>
      <c r="I6" s="52"/>
      <c r="J6" s="52"/>
      <c r="K6" s="52"/>
      <c r="L6" s="161"/>
    </row>
    <row r="7" spans="2:12" ht="12.75" customHeight="1">
      <c r="B7" s="431"/>
      <c r="C7" s="160"/>
      <c r="D7" s="432"/>
      <c r="E7" s="52"/>
      <c r="F7" s="52"/>
      <c r="G7" s="52"/>
      <c r="H7" s="52"/>
      <c r="I7" s="52"/>
      <c r="J7" s="52"/>
      <c r="K7" s="52"/>
      <c r="L7" s="161"/>
    </row>
    <row r="8" spans="2:12" s="34" customFormat="1" ht="12.75" customHeight="1">
      <c r="B8" s="433"/>
      <c r="C8" s="434"/>
      <c r="D8" s="53"/>
      <c r="E8" s="422"/>
      <c r="F8" s="95">
        <f>+tab!D2</f>
        <v>2013</v>
      </c>
      <c r="G8" s="95">
        <f>F8+1</f>
        <v>2014</v>
      </c>
      <c r="H8" s="95">
        <f>G8+1</f>
        <v>2015</v>
      </c>
      <c r="I8" s="95">
        <f>H8+1</f>
        <v>2016</v>
      </c>
      <c r="J8" s="95">
        <f>I8+1</f>
        <v>2017</v>
      </c>
      <c r="K8" s="422"/>
      <c r="L8" s="435"/>
    </row>
    <row r="9" spans="2:12" ht="12" customHeight="1">
      <c r="B9" s="431"/>
      <c r="C9" s="160"/>
      <c r="D9" s="436"/>
      <c r="E9" s="52"/>
      <c r="F9" s="52"/>
      <c r="G9" s="52"/>
      <c r="H9" s="52"/>
      <c r="I9" s="52"/>
      <c r="J9" s="52"/>
      <c r="K9" s="52"/>
      <c r="L9" s="161"/>
    </row>
    <row r="10" spans="2:12" ht="12" customHeight="1">
      <c r="B10" s="437"/>
      <c r="C10" s="438"/>
      <c r="D10" s="439"/>
      <c r="E10" s="74"/>
      <c r="F10" s="74"/>
      <c r="G10" s="74"/>
      <c r="H10" s="74"/>
      <c r="I10" s="74"/>
      <c r="J10" s="74"/>
      <c r="K10" s="189"/>
      <c r="L10" s="50"/>
    </row>
    <row r="11" spans="2:12" ht="12" customHeight="1">
      <c r="B11" s="437"/>
      <c r="C11" s="440"/>
      <c r="D11" s="190" t="s">
        <v>78</v>
      </c>
      <c r="E11" s="79"/>
      <c r="F11" s="79"/>
      <c r="G11" s="79"/>
      <c r="H11" s="79"/>
      <c r="I11" s="79"/>
      <c r="J11" s="79"/>
      <c r="K11" s="80"/>
      <c r="L11" s="50"/>
    </row>
    <row r="12" spans="2:12" ht="12" customHeight="1">
      <c r="B12" s="437"/>
      <c r="C12" s="440"/>
      <c r="D12" s="78" t="s">
        <v>56</v>
      </c>
      <c r="E12" s="79"/>
      <c r="F12" s="242">
        <v>0</v>
      </c>
      <c r="G12" s="441">
        <f t="shared" ref="G12:J17" si="0">F55</f>
        <v>0</v>
      </c>
      <c r="H12" s="441">
        <f t="shared" si="0"/>
        <v>0</v>
      </c>
      <c r="I12" s="441">
        <f t="shared" si="0"/>
        <v>0</v>
      </c>
      <c r="J12" s="441">
        <f t="shared" si="0"/>
        <v>0</v>
      </c>
      <c r="K12" s="80"/>
      <c r="L12" s="50"/>
    </row>
    <row r="13" spans="2:12" ht="12" customHeight="1">
      <c r="B13" s="437"/>
      <c r="C13" s="440"/>
      <c r="D13" s="78" t="s">
        <v>57</v>
      </c>
      <c r="E13" s="79"/>
      <c r="F13" s="92">
        <v>0</v>
      </c>
      <c r="G13" s="441">
        <f t="shared" si="0"/>
        <v>0</v>
      </c>
      <c r="H13" s="441">
        <f t="shared" si="0"/>
        <v>0</v>
      </c>
      <c r="I13" s="441">
        <f t="shared" si="0"/>
        <v>0</v>
      </c>
      <c r="J13" s="441">
        <f t="shared" si="0"/>
        <v>0</v>
      </c>
      <c r="K13" s="80"/>
      <c r="L13" s="50"/>
    </row>
    <row r="14" spans="2:12" ht="12" customHeight="1">
      <c r="B14" s="437"/>
      <c r="C14" s="440"/>
      <c r="D14" s="216" t="s">
        <v>158</v>
      </c>
      <c r="E14" s="79"/>
      <c r="F14" s="92">
        <v>0</v>
      </c>
      <c r="G14" s="441">
        <f t="shared" si="0"/>
        <v>0</v>
      </c>
      <c r="H14" s="441">
        <f t="shared" si="0"/>
        <v>0</v>
      </c>
      <c r="I14" s="441">
        <f t="shared" si="0"/>
        <v>0</v>
      </c>
      <c r="J14" s="441">
        <f t="shared" si="0"/>
        <v>0</v>
      </c>
      <c r="K14" s="80"/>
      <c r="L14" s="50"/>
    </row>
    <row r="15" spans="2:12" ht="12" customHeight="1">
      <c r="B15" s="437"/>
      <c r="C15" s="440"/>
      <c r="D15" s="216" t="s">
        <v>159</v>
      </c>
      <c r="E15" s="79"/>
      <c r="F15" s="92">
        <v>0</v>
      </c>
      <c r="G15" s="441">
        <f t="shared" si="0"/>
        <v>0</v>
      </c>
      <c r="H15" s="441">
        <f t="shared" si="0"/>
        <v>0</v>
      </c>
      <c r="I15" s="441">
        <f t="shared" si="0"/>
        <v>0</v>
      </c>
      <c r="J15" s="441">
        <f t="shared" si="0"/>
        <v>0</v>
      </c>
      <c r="K15" s="80"/>
      <c r="L15" s="50"/>
    </row>
    <row r="16" spans="2:12" ht="12" customHeight="1">
      <c r="B16" s="437"/>
      <c r="C16" s="440"/>
      <c r="D16" s="78" t="s">
        <v>70</v>
      </c>
      <c r="E16" s="79"/>
      <c r="F16" s="92">
        <v>0</v>
      </c>
      <c r="G16" s="441">
        <f t="shared" si="0"/>
        <v>0</v>
      </c>
      <c r="H16" s="441">
        <f t="shared" si="0"/>
        <v>0</v>
      </c>
      <c r="I16" s="441">
        <f t="shared" si="0"/>
        <v>0</v>
      </c>
      <c r="J16" s="441">
        <f t="shared" si="0"/>
        <v>0</v>
      </c>
      <c r="K16" s="80"/>
      <c r="L16" s="50"/>
    </row>
    <row r="17" spans="2:12" ht="12" customHeight="1">
      <c r="B17" s="437"/>
      <c r="C17" s="440"/>
      <c r="D17" s="78" t="s">
        <v>58</v>
      </c>
      <c r="E17" s="79"/>
      <c r="F17" s="92">
        <v>0</v>
      </c>
      <c r="G17" s="441">
        <f t="shared" si="0"/>
        <v>0</v>
      </c>
      <c r="H17" s="441">
        <f t="shared" si="0"/>
        <v>0</v>
      </c>
      <c r="I17" s="441">
        <f t="shared" si="0"/>
        <v>0</v>
      </c>
      <c r="J17" s="441">
        <f t="shared" si="0"/>
        <v>0</v>
      </c>
      <c r="K17" s="80"/>
      <c r="L17" s="50"/>
    </row>
    <row r="18" spans="2:12" ht="12" customHeight="1">
      <c r="B18" s="437"/>
      <c r="C18" s="440"/>
      <c r="D18" s="442" t="s">
        <v>77</v>
      </c>
      <c r="E18" s="79"/>
      <c r="F18" s="250">
        <f>SUM(F12:F17)</f>
        <v>0</v>
      </c>
      <c r="G18" s="250">
        <f>SUM(G12:G17)</f>
        <v>0</v>
      </c>
      <c r="H18" s="250">
        <f>SUM(H12:H17)</f>
        <v>0</v>
      </c>
      <c r="I18" s="250">
        <f>SUM(I12:I17)</f>
        <v>0</v>
      </c>
      <c r="J18" s="250">
        <f>SUM(J12:J17)</f>
        <v>0</v>
      </c>
      <c r="K18" s="80"/>
      <c r="L18" s="50"/>
    </row>
    <row r="19" spans="2:12" ht="12" customHeight="1">
      <c r="B19" s="437"/>
      <c r="C19" s="443"/>
      <c r="D19" s="341"/>
      <c r="E19" s="89"/>
      <c r="F19" s="89"/>
      <c r="G19" s="89"/>
      <c r="H19" s="89"/>
      <c r="I19" s="89"/>
      <c r="J19" s="89"/>
      <c r="K19" s="91"/>
      <c r="L19" s="50"/>
    </row>
    <row r="20" spans="2:12" ht="12" customHeigh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2:12" ht="12" customHeight="1">
      <c r="B21" s="437"/>
      <c r="C21" s="438"/>
      <c r="D21" s="439"/>
      <c r="E21" s="74"/>
      <c r="F21" s="74"/>
      <c r="G21" s="74"/>
      <c r="H21" s="74"/>
      <c r="I21" s="74"/>
      <c r="J21" s="74"/>
      <c r="K21" s="189"/>
      <c r="L21" s="50"/>
    </row>
    <row r="22" spans="2:12" ht="12" customHeight="1">
      <c r="B22" s="437"/>
      <c r="C22" s="440"/>
      <c r="D22" s="190" t="s">
        <v>89</v>
      </c>
      <c r="E22" s="79"/>
      <c r="F22" s="442"/>
      <c r="G22" s="79"/>
      <c r="H22" s="79"/>
      <c r="I22" s="79"/>
      <c r="J22" s="79"/>
      <c r="K22" s="80"/>
      <c r="L22" s="50"/>
    </row>
    <row r="23" spans="2:12" ht="12" customHeight="1">
      <c r="B23" s="437"/>
      <c r="C23" s="440"/>
      <c r="D23" s="78" t="s">
        <v>56</v>
      </c>
      <c r="E23" s="79"/>
      <c r="F23" s="444">
        <f>SUMIF(mip!$D14:$D149,"gebouwen en terreinen",mip!X14:X149)</f>
        <v>0</v>
      </c>
      <c r="G23" s="444">
        <f>SUMIF(mip!$D14:$D149,"gebouwen en terreinen",mip!Y14:Y149)</f>
        <v>0</v>
      </c>
      <c r="H23" s="444">
        <f>SUMIF(mip!$D14:$D149,"gebouwen en terreinen",mip!Z14:Z149)</f>
        <v>0</v>
      </c>
      <c r="I23" s="444">
        <f>SUMIF(mip!$D14:$D149,"gebouwen en terreinen",mip!AA14:AA149)</f>
        <v>0</v>
      </c>
      <c r="J23" s="444">
        <f>SUMIF(mip!$D14:$D149,"gebouwen en terreinen",mip!AB14:AB149)</f>
        <v>0</v>
      </c>
      <c r="K23" s="80"/>
      <c r="L23" s="50"/>
    </row>
    <row r="24" spans="2:12" ht="12" customHeight="1">
      <c r="B24" s="437"/>
      <c r="C24" s="440"/>
      <c r="D24" s="78" t="s">
        <v>57</v>
      </c>
      <c r="E24" s="79"/>
      <c r="F24" s="401">
        <f>SUMIF(mip!$D14:$D149,"inventaris en apparatuur",mip!X14:X149)</f>
        <v>0</v>
      </c>
      <c r="G24" s="401">
        <f>SUMIF(mip!$D14:$D149,"inventaris en apparatuur",mip!Y14:Y149)</f>
        <v>0</v>
      </c>
      <c r="H24" s="401">
        <f>SUMIF(mip!$D14:$D149,"inventaris en apparatuur",mip!Z14:Z149)</f>
        <v>0</v>
      </c>
      <c r="I24" s="401">
        <f>SUMIF(mip!$D14:$D149,"inventaris en apparatuur",mip!AA14:AA149)</f>
        <v>0</v>
      </c>
      <c r="J24" s="401">
        <f>SUMIF(mip!$D14:$D149,"inventaris en apparatuur",mip!AB14:AB149)</f>
        <v>0</v>
      </c>
      <c r="K24" s="80"/>
      <c r="L24" s="50"/>
    </row>
    <row r="25" spans="2:12" ht="12" customHeight="1">
      <c r="B25" s="437"/>
      <c r="C25" s="440"/>
      <c r="D25" s="216" t="s">
        <v>158</v>
      </c>
      <c r="E25" s="79"/>
      <c r="F25" s="401">
        <f>SUMIF(mip!$D14:$D149,"meubilair",mip!X14:X149)</f>
        <v>0</v>
      </c>
      <c r="G25" s="401">
        <f>SUMIF(mip!$D14:$D149,"meubilair",mip!Y14:Y149)</f>
        <v>0</v>
      </c>
      <c r="H25" s="401">
        <f>SUMIF(mip!$D14:$D149,"meubilair",mip!Z14:Z149)</f>
        <v>0</v>
      </c>
      <c r="I25" s="401">
        <f>SUMIF(mip!$D14:$D149,"meubilair",mip!AA14:AA149)</f>
        <v>0</v>
      </c>
      <c r="J25" s="401">
        <f>SUMIF(mip!$D14:$D149,"meubilair",mip!AB14:AB149)</f>
        <v>0</v>
      </c>
      <c r="K25" s="80"/>
      <c r="L25" s="50"/>
    </row>
    <row r="26" spans="2:12" ht="12" customHeight="1">
      <c r="B26" s="437"/>
      <c r="C26" s="440"/>
      <c r="D26" s="216" t="s">
        <v>159</v>
      </c>
      <c r="E26" s="79"/>
      <c r="F26" s="401">
        <f>SUMIF(mip!$D14:$D149,"ICT",mip!X14:X149)</f>
        <v>0</v>
      </c>
      <c r="G26" s="401">
        <f>SUMIF(mip!$D14:$D149,"ICT",mip!Y14:Y149)</f>
        <v>0</v>
      </c>
      <c r="H26" s="401">
        <f>SUMIF(mip!$D14:$D149,"ICT",mip!Z14:Z149)</f>
        <v>0</v>
      </c>
      <c r="I26" s="401">
        <f>SUMIF(mip!$D14:$D149,"ICT",mip!AA14:AA149)</f>
        <v>0</v>
      </c>
      <c r="J26" s="401">
        <f>SUMIF(mip!$D14:$D149,"ICT",mip!AB14:AB149)</f>
        <v>0</v>
      </c>
      <c r="K26" s="80"/>
      <c r="L26" s="50"/>
    </row>
    <row r="27" spans="2:12" ht="12" customHeight="1">
      <c r="B27" s="437"/>
      <c r="C27" s="440"/>
      <c r="D27" s="78" t="s">
        <v>70</v>
      </c>
      <c r="E27" s="79"/>
      <c r="F27" s="401">
        <f>SUMIF(mip!$D14:$D149,"Leermiddelen PO",mip!X14:X149)</f>
        <v>0</v>
      </c>
      <c r="G27" s="401">
        <f>SUMIF(mip!$D14:$D149,"Leermiddelen PO",mip!Y14:Y149)</f>
        <v>0</v>
      </c>
      <c r="H27" s="401">
        <f>SUMIF(mip!$D14:$D149,"Leermiddelen PO",mip!Z14:Z149)</f>
        <v>0</v>
      </c>
      <c r="I27" s="401">
        <f>SUMIF(mip!$D14:$D149,"Leermiddelen PO",mip!AA14:AA149)</f>
        <v>0</v>
      </c>
      <c r="J27" s="401">
        <f>SUMIF(mip!$D14:$D149,"Leermiddelen PO",mip!AB14:AB149)</f>
        <v>0</v>
      </c>
      <c r="K27" s="80"/>
      <c r="L27" s="50"/>
    </row>
    <row r="28" spans="2:12" ht="12" customHeight="1">
      <c r="B28" s="437"/>
      <c r="C28" s="440"/>
      <c r="D28" s="78" t="s">
        <v>58</v>
      </c>
      <c r="E28" s="79"/>
      <c r="F28" s="401">
        <f>SUMIF(mip!$D14:$D149,"overige materiële vaste activa",mip!X14:X149)</f>
        <v>0</v>
      </c>
      <c r="G28" s="401">
        <f>SUMIF(mip!$D14:$D149,"overige materiële vaste activa",mip!Y14:Y149)</f>
        <v>0</v>
      </c>
      <c r="H28" s="401">
        <f>SUMIF(mip!$D14:$D149,"overige materiële vaste activa",mip!Z14:Z149)</f>
        <v>0</v>
      </c>
      <c r="I28" s="401">
        <f>SUMIF(mip!$D14:$D149,"overige materiële vaste activa",mip!AA14:AA149)</f>
        <v>0</v>
      </c>
      <c r="J28" s="401">
        <f>SUMIF(mip!$D14:$D149,"overige materiële vaste activa",mip!AB14:AB149)</f>
        <v>0</v>
      </c>
      <c r="K28" s="80"/>
      <c r="L28" s="50"/>
    </row>
    <row r="29" spans="2:12" ht="12" customHeight="1">
      <c r="B29" s="437"/>
      <c r="C29" s="440"/>
      <c r="D29" s="442" t="s">
        <v>77</v>
      </c>
      <c r="E29" s="79"/>
      <c r="F29" s="250">
        <f>SUM(F23:F28)</f>
        <v>0</v>
      </c>
      <c r="G29" s="250">
        <f>SUM(G23:G28)</f>
        <v>0</v>
      </c>
      <c r="H29" s="250">
        <f>SUM(H23:H28)</f>
        <v>0</v>
      </c>
      <c r="I29" s="250">
        <f>SUM(I23:I28)</f>
        <v>0</v>
      </c>
      <c r="J29" s="250">
        <f>SUM(J23:J28)</f>
        <v>0</v>
      </c>
      <c r="K29" s="80"/>
      <c r="L29" s="50"/>
    </row>
    <row r="30" spans="2:12" ht="12" customHeight="1">
      <c r="B30" s="437"/>
      <c r="C30" s="443"/>
      <c r="D30" s="341"/>
      <c r="E30" s="89"/>
      <c r="F30" s="89"/>
      <c r="G30" s="89"/>
      <c r="H30" s="89"/>
      <c r="I30" s="89"/>
      <c r="J30" s="89"/>
      <c r="K30" s="91"/>
      <c r="L30" s="50"/>
    </row>
    <row r="31" spans="2:12" ht="12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50"/>
    </row>
    <row r="32" spans="2:12" ht="12" customHeight="1">
      <c r="B32" s="48"/>
      <c r="C32" s="73"/>
      <c r="D32" s="313"/>
      <c r="E32" s="74"/>
      <c r="F32" s="74"/>
      <c r="G32" s="74"/>
      <c r="H32" s="445"/>
      <c r="I32" s="74"/>
      <c r="J32" s="74"/>
      <c r="K32" s="189"/>
      <c r="L32" s="50"/>
    </row>
    <row r="33" spans="2:12" ht="12" customHeight="1">
      <c r="B33" s="437"/>
      <c r="C33" s="440"/>
      <c r="D33" s="190" t="s">
        <v>68</v>
      </c>
      <c r="E33" s="79"/>
      <c r="F33" s="79"/>
      <c r="G33" s="79"/>
      <c r="H33" s="79"/>
      <c r="I33" s="79"/>
      <c r="J33" s="79"/>
      <c r="K33" s="80"/>
      <c r="L33" s="50"/>
    </row>
    <row r="34" spans="2:12" ht="12" customHeight="1">
      <c r="B34" s="437"/>
      <c r="C34" s="440"/>
      <c r="D34" s="78" t="s">
        <v>56</v>
      </c>
      <c r="E34" s="79"/>
      <c r="F34" s="444">
        <f>SUMIF(mip!$D14:$D149,"gebouwen en terreinen",mip!R14:R149)</f>
        <v>0</v>
      </c>
      <c r="G34" s="441">
        <f>SUMIF(mip!$D14:$D149,"gebouwen en terreinen",mip!S14:S149)</f>
        <v>0</v>
      </c>
      <c r="H34" s="441">
        <f>SUMIF(mip!$D14:$D149,"gebouwen en terreinen",mip!T14:T149)</f>
        <v>0</v>
      </c>
      <c r="I34" s="441">
        <f>SUMIF(mip!$D14:$D149,"gebouwen en terreinen",mip!U14:U149)</f>
        <v>0</v>
      </c>
      <c r="J34" s="441">
        <f>SUMIF(mip!$D14:$D149,"gebouwen en terreinen",mip!V14:V149)</f>
        <v>0</v>
      </c>
      <c r="K34" s="80"/>
      <c r="L34" s="50"/>
    </row>
    <row r="35" spans="2:12" ht="12" customHeight="1">
      <c r="B35" s="437"/>
      <c r="C35" s="440"/>
      <c r="D35" s="78" t="s">
        <v>57</v>
      </c>
      <c r="E35" s="79"/>
      <c r="F35" s="401">
        <f>SUMIF(mip!$D14:$D149,"inventaris en apparatuur",mip!R14:R149)</f>
        <v>0</v>
      </c>
      <c r="G35" s="441">
        <f>SUMIF(mip!$D14:$D149,"inventaris en apparatuur",mip!S14:S149)</f>
        <v>0</v>
      </c>
      <c r="H35" s="441">
        <f>SUMIF(mip!$D14:$D149,"inventaris en apparatuur",mip!T14:T149)</f>
        <v>0</v>
      </c>
      <c r="I35" s="441">
        <f>SUMIF(mip!$D14:$D149,"inventaris en apparatuur",mip!U14:U149)</f>
        <v>0</v>
      </c>
      <c r="J35" s="441">
        <f>SUMIF(mip!$D14:$D149,"inventaris en apparatuur",mip!V14:V149)</f>
        <v>0</v>
      </c>
      <c r="K35" s="80"/>
      <c r="L35" s="50"/>
    </row>
    <row r="36" spans="2:12" ht="12" customHeight="1">
      <c r="B36" s="437"/>
      <c r="C36" s="440"/>
      <c r="D36" s="216" t="s">
        <v>158</v>
      </c>
      <c r="E36" s="79"/>
      <c r="F36" s="401">
        <f>SUMIF(mip!$D14:$D149,"meubilair",mip!R14:R149)</f>
        <v>0</v>
      </c>
      <c r="G36" s="441">
        <f>SUMIF(mip!$D14:$D149,"meubilair",mip!S14:S149)</f>
        <v>0</v>
      </c>
      <c r="H36" s="441">
        <f>SUMIF(mip!$D14:$D149,"meubilair",mip!T14:T149)</f>
        <v>0</v>
      </c>
      <c r="I36" s="441">
        <f>SUMIF(mip!$D14:$D149,"meubilair",mip!U14:U149)</f>
        <v>0</v>
      </c>
      <c r="J36" s="441">
        <f>SUMIF(mip!$D14:$D149,"meubilair",mip!V14:V149)</f>
        <v>0</v>
      </c>
      <c r="K36" s="80"/>
      <c r="L36" s="50"/>
    </row>
    <row r="37" spans="2:12" ht="12" customHeight="1">
      <c r="B37" s="437"/>
      <c r="C37" s="440"/>
      <c r="D37" s="216" t="s">
        <v>159</v>
      </c>
      <c r="E37" s="79"/>
      <c r="F37" s="401">
        <f>SUMIF(mip!$D14:$D149,"ICT",mip!R14:R149)</f>
        <v>0</v>
      </c>
      <c r="G37" s="441">
        <f>SUMIF(mip!$D14:$D149,"ICT",mip!S14:S149)</f>
        <v>0</v>
      </c>
      <c r="H37" s="441">
        <f>SUMIF(mip!$D14:$D149,"ICT",mip!T14:T149)</f>
        <v>0</v>
      </c>
      <c r="I37" s="441">
        <f>SUMIF(mip!$D14:$D149,"ICT",mip!U14:U149)</f>
        <v>0</v>
      </c>
      <c r="J37" s="441">
        <f>SUMIF(mip!$D14:$D149,"ICT",mip!V14:V149)</f>
        <v>0</v>
      </c>
      <c r="K37" s="80"/>
      <c r="L37" s="50"/>
    </row>
    <row r="38" spans="2:12" ht="12" customHeight="1">
      <c r="B38" s="437"/>
      <c r="C38" s="440"/>
      <c r="D38" s="78" t="s">
        <v>70</v>
      </c>
      <c r="E38" s="79"/>
      <c r="F38" s="401">
        <f>SUMIF(mip!$D14:$D149,"Leermiddelen PO",mip!R14:R149)</f>
        <v>0</v>
      </c>
      <c r="G38" s="441">
        <f>SUMIF(mip!$D14:$D149,"Leermiddelen PO",mip!S14:S149)</f>
        <v>0</v>
      </c>
      <c r="H38" s="441">
        <f>SUMIF(mip!$D14:$D149,"Leermiddelen PO",mip!T14:T149)</f>
        <v>0</v>
      </c>
      <c r="I38" s="441">
        <f>SUMIF(mip!$D14:$D149,"Leermiddelen PO",mip!U14:U149)</f>
        <v>0</v>
      </c>
      <c r="J38" s="441">
        <f>SUMIF(mip!$D14:$D149,"Leermiddelen PO",mip!V14:V149)</f>
        <v>0</v>
      </c>
      <c r="K38" s="80"/>
      <c r="L38" s="50"/>
    </row>
    <row r="39" spans="2:12" ht="12" customHeight="1">
      <c r="B39" s="437"/>
      <c r="C39" s="440"/>
      <c r="D39" s="78" t="s">
        <v>58</v>
      </c>
      <c r="E39" s="79"/>
      <c r="F39" s="401">
        <f>SUMIF(mip!$D14:$D149,"overige materiële vaste activa",mip!R14:R149)</f>
        <v>0</v>
      </c>
      <c r="G39" s="441">
        <f>SUMIF(mip!$D14:$D149,"overige materiële vaste activa",mip!S14:S149)</f>
        <v>0</v>
      </c>
      <c r="H39" s="441">
        <f>SUMIF(mip!$D14:$D149,"overige materiële vaste activa",mip!T14:T149)</f>
        <v>0</v>
      </c>
      <c r="I39" s="441">
        <f>SUMIF(mip!$D14:$D149,"overige materiële vaste activa",mip!U14:U149)</f>
        <v>0</v>
      </c>
      <c r="J39" s="441">
        <f>SUMIF(mip!$D14:$D149,"overige materiële vaste activa",mip!V14:V149)</f>
        <v>0</v>
      </c>
      <c r="K39" s="80"/>
      <c r="L39" s="50"/>
    </row>
    <row r="40" spans="2:12" ht="12" customHeight="1">
      <c r="B40" s="396"/>
      <c r="C40" s="446"/>
      <c r="D40" s="447"/>
      <c r="E40" s="448"/>
      <c r="F40" s="449">
        <f>SUM(F34:F39)</f>
        <v>0</v>
      </c>
      <c r="G40" s="449">
        <f>SUM(G34:G39)</f>
        <v>0</v>
      </c>
      <c r="H40" s="449">
        <f>SUM(H34:H39)</f>
        <v>0</v>
      </c>
      <c r="I40" s="449">
        <f>SUM(I34:I39)</f>
        <v>0</v>
      </c>
      <c r="J40" s="449">
        <f>SUM(J34:J39)</f>
        <v>0</v>
      </c>
      <c r="K40" s="450"/>
      <c r="L40" s="416"/>
    </row>
    <row r="41" spans="2:12" ht="12" customHeight="1">
      <c r="B41" s="437"/>
      <c r="C41" s="440"/>
      <c r="D41" s="190" t="s">
        <v>262</v>
      </c>
      <c r="E41" s="79"/>
      <c r="F41" s="79"/>
      <c r="G41" s="79"/>
      <c r="H41" s="79"/>
      <c r="I41" s="79"/>
      <c r="J41" s="79"/>
      <c r="K41" s="80"/>
      <c r="L41" s="50"/>
    </row>
    <row r="42" spans="2:12" ht="12" customHeight="1">
      <c r="B42" s="437"/>
      <c r="C42" s="440"/>
      <c r="D42" s="78" t="s">
        <v>56</v>
      </c>
      <c r="E42" s="79"/>
      <c r="F42" s="242">
        <v>0</v>
      </c>
      <c r="G42" s="249">
        <v>0</v>
      </c>
      <c r="H42" s="249">
        <v>0</v>
      </c>
      <c r="I42" s="249">
        <v>0</v>
      </c>
      <c r="J42" s="249">
        <v>0</v>
      </c>
      <c r="K42" s="80"/>
      <c r="L42" s="50"/>
    </row>
    <row r="43" spans="2:12" ht="12" customHeight="1">
      <c r="B43" s="437"/>
      <c r="C43" s="440"/>
      <c r="D43" s="78" t="s">
        <v>57</v>
      </c>
      <c r="E43" s="79"/>
      <c r="F43" s="92">
        <v>0</v>
      </c>
      <c r="G43" s="249">
        <v>0</v>
      </c>
      <c r="H43" s="249">
        <v>0</v>
      </c>
      <c r="I43" s="249">
        <v>0</v>
      </c>
      <c r="J43" s="249">
        <v>0</v>
      </c>
      <c r="K43" s="80"/>
      <c r="L43" s="50"/>
    </row>
    <row r="44" spans="2:12" ht="12" customHeight="1">
      <c r="B44" s="437"/>
      <c r="C44" s="440"/>
      <c r="D44" s="216" t="s">
        <v>158</v>
      </c>
      <c r="E44" s="79"/>
      <c r="F44" s="92">
        <v>0</v>
      </c>
      <c r="G44" s="249">
        <v>0</v>
      </c>
      <c r="H44" s="249">
        <v>0</v>
      </c>
      <c r="I44" s="249">
        <v>0</v>
      </c>
      <c r="J44" s="249">
        <v>0</v>
      </c>
      <c r="K44" s="80"/>
      <c r="L44" s="50"/>
    </row>
    <row r="45" spans="2:12" ht="12" customHeight="1">
      <c r="B45" s="437"/>
      <c r="C45" s="440"/>
      <c r="D45" s="216" t="s">
        <v>159</v>
      </c>
      <c r="E45" s="79"/>
      <c r="F45" s="92">
        <v>0</v>
      </c>
      <c r="G45" s="249">
        <v>0</v>
      </c>
      <c r="H45" s="249">
        <v>0</v>
      </c>
      <c r="I45" s="249">
        <v>0</v>
      </c>
      <c r="J45" s="249">
        <v>0</v>
      </c>
      <c r="K45" s="80"/>
      <c r="L45" s="50"/>
    </row>
    <row r="46" spans="2:12" ht="12" customHeight="1">
      <c r="B46" s="437"/>
      <c r="C46" s="440"/>
      <c r="D46" s="78" t="s">
        <v>70</v>
      </c>
      <c r="E46" s="79"/>
      <c r="F46" s="92">
        <v>0</v>
      </c>
      <c r="G46" s="249">
        <v>0</v>
      </c>
      <c r="H46" s="249">
        <v>0</v>
      </c>
      <c r="I46" s="249">
        <v>0</v>
      </c>
      <c r="J46" s="249">
        <v>0</v>
      </c>
      <c r="K46" s="80"/>
      <c r="L46" s="50"/>
    </row>
    <row r="47" spans="2:12" ht="12" customHeight="1">
      <c r="B47" s="437"/>
      <c r="C47" s="440"/>
      <c r="D47" s="78" t="s">
        <v>58</v>
      </c>
      <c r="E47" s="79"/>
      <c r="F47" s="92">
        <v>0</v>
      </c>
      <c r="G47" s="249">
        <v>0</v>
      </c>
      <c r="H47" s="249">
        <v>0</v>
      </c>
      <c r="I47" s="249">
        <v>0</v>
      </c>
      <c r="J47" s="249">
        <v>0</v>
      </c>
      <c r="K47" s="80"/>
      <c r="L47" s="50"/>
    </row>
    <row r="48" spans="2:12" ht="12" customHeight="1">
      <c r="B48" s="396"/>
      <c r="C48" s="446"/>
      <c r="D48" s="447"/>
      <c r="E48" s="448"/>
      <c r="F48" s="449">
        <f>SUM(F42:F47)</f>
        <v>0</v>
      </c>
      <c r="G48" s="449">
        <f>SUM(G42:G47)</f>
        <v>0</v>
      </c>
      <c r="H48" s="449">
        <f>SUM(H42:H47)</f>
        <v>0</v>
      </c>
      <c r="I48" s="449">
        <f>SUM(I42:I47)</f>
        <v>0</v>
      </c>
      <c r="J48" s="449">
        <f>SUM(J42:J47)</f>
        <v>0</v>
      </c>
      <c r="K48" s="450"/>
      <c r="L48" s="416"/>
    </row>
    <row r="49" spans="2:12" ht="12" customHeight="1">
      <c r="B49" s="48"/>
      <c r="C49" s="77"/>
      <c r="D49" s="79"/>
      <c r="E49" s="79"/>
      <c r="F49" s="79"/>
      <c r="G49" s="79"/>
      <c r="H49" s="87"/>
      <c r="I49" s="79"/>
      <c r="J49" s="79"/>
      <c r="K49" s="80"/>
      <c r="L49" s="50"/>
    </row>
    <row r="50" spans="2:12" s="106" customFormat="1" ht="12" customHeight="1">
      <c r="B50" s="451"/>
      <c r="C50" s="452"/>
      <c r="D50" s="453" t="s">
        <v>79</v>
      </c>
      <c r="E50" s="453"/>
      <c r="F50" s="254">
        <f>F40+F48</f>
        <v>0</v>
      </c>
      <c r="G50" s="254">
        <f>G40+G48</f>
        <v>0</v>
      </c>
      <c r="H50" s="254">
        <f>H40+H48</f>
        <v>0</v>
      </c>
      <c r="I50" s="254">
        <f>I40+I48</f>
        <v>0</v>
      </c>
      <c r="J50" s="254">
        <f>J40+J48</f>
        <v>0</v>
      </c>
      <c r="K50" s="454"/>
      <c r="L50" s="455"/>
    </row>
    <row r="51" spans="2:12" ht="12" customHeight="1">
      <c r="B51" s="48"/>
      <c r="C51" s="88"/>
      <c r="D51" s="89"/>
      <c r="E51" s="89"/>
      <c r="F51" s="89"/>
      <c r="G51" s="89"/>
      <c r="H51" s="228"/>
      <c r="I51" s="89"/>
      <c r="J51" s="89"/>
      <c r="K51" s="91"/>
      <c r="L51" s="50"/>
    </row>
    <row r="52" spans="2:12" ht="12" customHeight="1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50"/>
    </row>
    <row r="53" spans="2:12" ht="12" customHeight="1">
      <c r="B53" s="437"/>
      <c r="C53" s="438"/>
      <c r="D53" s="439"/>
      <c r="E53" s="74"/>
      <c r="F53" s="74"/>
      <c r="G53" s="74"/>
      <c r="H53" s="74"/>
      <c r="I53" s="74"/>
      <c r="J53" s="74"/>
      <c r="K53" s="189"/>
      <c r="L53" s="50"/>
    </row>
    <row r="54" spans="2:12" ht="12" customHeight="1">
      <c r="B54" s="437"/>
      <c r="C54" s="440"/>
      <c r="D54" s="190" t="s">
        <v>73</v>
      </c>
      <c r="E54" s="79"/>
      <c r="F54" s="79"/>
      <c r="G54" s="79"/>
      <c r="H54" s="79"/>
      <c r="I54" s="79"/>
      <c r="J54" s="79"/>
      <c r="K54" s="80"/>
      <c r="L54" s="50"/>
    </row>
    <row r="55" spans="2:12" ht="12" customHeight="1">
      <c r="B55" s="437"/>
      <c r="C55" s="440"/>
      <c r="D55" s="78" t="s">
        <v>56</v>
      </c>
      <c r="E55" s="79"/>
      <c r="F55" s="441">
        <f t="shared" ref="F55:J60" si="1">F12+F23-F34-F42</f>
        <v>0</v>
      </c>
      <c r="G55" s="441">
        <f t="shared" si="1"/>
        <v>0</v>
      </c>
      <c r="H55" s="441">
        <f t="shared" si="1"/>
        <v>0</v>
      </c>
      <c r="I55" s="441">
        <f t="shared" si="1"/>
        <v>0</v>
      </c>
      <c r="J55" s="441">
        <f t="shared" si="1"/>
        <v>0</v>
      </c>
      <c r="K55" s="80"/>
      <c r="L55" s="50"/>
    </row>
    <row r="56" spans="2:12" ht="12" customHeight="1">
      <c r="B56" s="437"/>
      <c r="C56" s="440"/>
      <c r="D56" s="78" t="s">
        <v>57</v>
      </c>
      <c r="E56" s="79"/>
      <c r="F56" s="441">
        <f t="shared" si="1"/>
        <v>0</v>
      </c>
      <c r="G56" s="441">
        <f t="shared" si="1"/>
        <v>0</v>
      </c>
      <c r="H56" s="441">
        <f t="shared" si="1"/>
        <v>0</v>
      </c>
      <c r="I56" s="441">
        <f t="shared" si="1"/>
        <v>0</v>
      </c>
      <c r="J56" s="441">
        <f t="shared" si="1"/>
        <v>0</v>
      </c>
      <c r="K56" s="80"/>
      <c r="L56" s="50"/>
    </row>
    <row r="57" spans="2:12" ht="12" customHeight="1">
      <c r="B57" s="437"/>
      <c r="C57" s="440"/>
      <c r="D57" s="216" t="s">
        <v>158</v>
      </c>
      <c r="E57" s="79"/>
      <c r="F57" s="441">
        <f t="shared" si="1"/>
        <v>0</v>
      </c>
      <c r="G57" s="441">
        <f t="shared" si="1"/>
        <v>0</v>
      </c>
      <c r="H57" s="441">
        <f t="shared" si="1"/>
        <v>0</v>
      </c>
      <c r="I57" s="441">
        <f t="shared" si="1"/>
        <v>0</v>
      </c>
      <c r="J57" s="441">
        <f t="shared" si="1"/>
        <v>0</v>
      </c>
      <c r="K57" s="80"/>
      <c r="L57" s="50"/>
    </row>
    <row r="58" spans="2:12" ht="12" customHeight="1">
      <c r="B58" s="437"/>
      <c r="C58" s="440"/>
      <c r="D58" s="216" t="s">
        <v>159</v>
      </c>
      <c r="E58" s="79"/>
      <c r="F58" s="441">
        <f t="shared" si="1"/>
        <v>0</v>
      </c>
      <c r="G58" s="441">
        <f t="shared" si="1"/>
        <v>0</v>
      </c>
      <c r="H58" s="441">
        <f t="shared" si="1"/>
        <v>0</v>
      </c>
      <c r="I58" s="441">
        <f t="shared" si="1"/>
        <v>0</v>
      </c>
      <c r="J58" s="441">
        <f t="shared" si="1"/>
        <v>0</v>
      </c>
      <c r="K58" s="80"/>
      <c r="L58" s="50"/>
    </row>
    <row r="59" spans="2:12" ht="12" customHeight="1">
      <c r="B59" s="437"/>
      <c r="C59" s="440"/>
      <c r="D59" s="78" t="s">
        <v>70</v>
      </c>
      <c r="E59" s="79"/>
      <c r="F59" s="441">
        <f t="shared" si="1"/>
        <v>0</v>
      </c>
      <c r="G59" s="441">
        <f t="shared" si="1"/>
        <v>0</v>
      </c>
      <c r="H59" s="441">
        <f t="shared" si="1"/>
        <v>0</v>
      </c>
      <c r="I59" s="441">
        <f t="shared" si="1"/>
        <v>0</v>
      </c>
      <c r="J59" s="441">
        <f t="shared" si="1"/>
        <v>0</v>
      </c>
      <c r="K59" s="80"/>
      <c r="L59" s="50"/>
    </row>
    <row r="60" spans="2:12" ht="12" customHeight="1">
      <c r="B60" s="437"/>
      <c r="C60" s="440"/>
      <c r="D60" s="78" t="s">
        <v>58</v>
      </c>
      <c r="E60" s="79"/>
      <c r="F60" s="441">
        <f t="shared" si="1"/>
        <v>0</v>
      </c>
      <c r="G60" s="441">
        <f t="shared" si="1"/>
        <v>0</v>
      </c>
      <c r="H60" s="441">
        <f t="shared" si="1"/>
        <v>0</v>
      </c>
      <c r="I60" s="441">
        <f t="shared" si="1"/>
        <v>0</v>
      </c>
      <c r="J60" s="441">
        <f t="shared" si="1"/>
        <v>0</v>
      </c>
      <c r="K60" s="80"/>
      <c r="L60" s="50"/>
    </row>
    <row r="61" spans="2:12" ht="12" customHeight="1">
      <c r="B61" s="456"/>
      <c r="C61" s="457"/>
      <c r="D61" s="442" t="s">
        <v>77</v>
      </c>
      <c r="E61" s="453"/>
      <c r="F61" s="254">
        <f>SUM(F55:F60)</f>
        <v>0</v>
      </c>
      <c r="G61" s="254">
        <f>SUM(G55:G60)</f>
        <v>0</v>
      </c>
      <c r="H61" s="254">
        <f>SUM(H55:H60)</f>
        <v>0</v>
      </c>
      <c r="I61" s="254">
        <f>SUM(I55:I60)</f>
        <v>0</v>
      </c>
      <c r="J61" s="254">
        <f>SUM(J55:J60)</f>
        <v>0</v>
      </c>
      <c r="K61" s="454"/>
      <c r="L61" s="455"/>
    </row>
    <row r="62" spans="2:12" ht="12" customHeight="1">
      <c r="B62" s="48"/>
      <c r="C62" s="88"/>
      <c r="D62" s="89"/>
      <c r="E62" s="89"/>
      <c r="F62" s="89"/>
      <c r="G62" s="89"/>
      <c r="H62" s="89"/>
      <c r="I62" s="89"/>
      <c r="J62" s="89"/>
      <c r="K62" s="91"/>
      <c r="L62" s="50"/>
    </row>
    <row r="63" spans="2:12" ht="12" customHeight="1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2:12" ht="15">
      <c r="B64" s="69"/>
      <c r="C64" s="70"/>
      <c r="D64" s="70"/>
      <c r="E64" s="70"/>
      <c r="F64" s="70"/>
      <c r="G64" s="70"/>
      <c r="H64" s="70"/>
      <c r="I64" s="70"/>
      <c r="J64" s="70"/>
      <c r="K64" s="177" t="s">
        <v>280</v>
      </c>
      <c r="L64" s="72"/>
    </row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M63"/>
  <sheetViews>
    <sheetView showGridLines="0" zoomScale="85" zoomScaleNormal="85" zoomScaleSheetLayoutView="7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3" width="2.7109375" style="33" customWidth="1"/>
    <col min="4" max="4" width="40.7109375" style="33" customWidth="1"/>
    <col min="5" max="5" width="2.7109375" style="33" customWidth="1"/>
    <col min="6" max="11" width="14.85546875" style="33" customWidth="1"/>
    <col min="12" max="13" width="2.7109375" style="33" customWidth="1"/>
    <col min="14" max="16384" width="9.140625" style="33"/>
  </cols>
  <sheetData>
    <row r="1" spans="2:13" ht="12.75" customHeight="1"/>
    <row r="2" spans="2:13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7"/>
    </row>
    <row r="3" spans="2:13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ht="18.75">
      <c r="B4" s="383"/>
      <c r="C4" s="158" t="s">
        <v>218</v>
      </c>
      <c r="D4" s="158"/>
      <c r="E4" s="505"/>
      <c r="F4" s="506"/>
      <c r="G4" s="506"/>
      <c r="H4" s="506"/>
      <c r="I4" s="505"/>
      <c r="J4" s="505"/>
      <c r="K4" s="505"/>
      <c r="L4" s="49"/>
      <c r="M4" s="50"/>
    </row>
    <row r="5" spans="2:13">
      <c r="B5" s="48"/>
      <c r="C5" s="49"/>
      <c r="D5" s="505"/>
      <c r="E5" s="505"/>
      <c r="F5" s="505"/>
      <c r="G5" s="505"/>
      <c r="H5" s="505"/>
      <c r="I5" s="505"/>
      <c r="J5" s="505"/>
      <c r="K5" s="505"/>
      <c r="L5" s="49"/>
      <c r="M5" s="50"/>
    </row>
    <row r="6" spans="2:13">
      <c r="B6" s="48"/>
      <c r="C6" s="49"/>
      <c r="D6" s="505"/>
      <c r="E6" s="94"/>
      <c r="F6" s="95"/>
      <c r="G6" s="95"/>
      <c r="H6" s="95"/>
      <c r="I6" s="95"/>
      <c r="J6" s="95"/>
      <c r="K6" s="95"/>
      <c r="L6" s="59"/>
      <c r="M6" s="60"/>
    </row>
    <row r="7" spans="2:13">
      <c r="B7" s="48"/>
      <c r="C7" s="49"/>
      <c r="D7" s="505"/>
      <c r="E7" s="94"/>
      <c r="F7" s="95"/>
      <c r="G7" s="95"/>
      <c r="H7" s="95"/>
      <c r="I7" s="95"/>
      <c r="J7" s="95"/>
      <c r="K7" s="95"/>
      <c r="L7" s="59"/>
      <c r="M7" s="60"/>
    </row>
    <row r="8" spans="2:13" s="109" customFormat="1">
      <c r="B8" s="427"/>
      <c r="C8" s="428"/>
      <c r="D8" s="507"/>
      <c r="E8" s="94"/>
      <c r="F8" s="95">
        <f>tab!C2</f>
        <v>2012</v>
      </c>
      <c r="G8" s="95">
        <f>tab!D2</f>
        <v>2013</v>
      </c>
      <c r="H8" s="95">
        <f>tab!E2</f>
        <v>2014</v>
      </c>
      <c r="I8" s="95">
        <f>H8+1</f>
        <v>2015</v>
      </c>
      <c r="J8" s="95">
        <f>I8+1</f>
        <v>2016</v>
      </c>
      <c r="K8" s="95">
        <f>J8+1</f>
        <v>2017</v>
      </c>
      <c r="L8" s="429"/>
      <c r="M8" s="430"/>
    </row>
    <row r="9" spans="2:13">
      <c r="B9" s="48"/>
      <c r="C9" s="49"/>
      <c r="D9" s="49"/>
      <c r="E9" s="58"/>
      <c r="F9" s="49"/>
      <c r="G9" s="49"/>
      <c r="H9" s="49"/>
      <c r="I9" s="49"/>
      <c r="J9" s="49"/>
      <c r="K9" s="49"/>
      <c r="L9" s="59"/>
      <c r="M9" s="60"/>
    </row>
    <row r="10" spans="2:13">
      <c r="B10" s="48"/>
      <c r="C10" s="73"/>
      <c r="D10" s="74"/>
      <c r="E10" s="486"/>
      <c r="F10" s="74"/>
      <c r="G10" s="74"/>
      <c r="H10" s="74"/>
      <c r="I10" s="74"/>
      <c r="J10" s="74"/>
      <c r="K10" s="74"/>
      <c r="L10" s="487"/>
      <c r="M10" s="60"/>
    </row>
    <row r="11" spans="2:13">
      <c r="B11" s="48"/>
      <c r="C11" s="77"/>
      <c r="D11" s="196" t="s">
        <v>281</v>
      </c>
      <c r="E11" s="488"/>
      <c r="F11" s="79"/>
      <c r="G11" s="79"/>
      <c r="H11" s="79"/>
      <c r="I11" s="79"/>
      <c r="J11" s="79"/>
      <c r="K11" s="79"/>
      <c r="L11" s="489"/>
      <c r="M11" s="60"/>
    </row>
    <row r="12" spans="2:13">
      <c r="B12" s="48"/>
      <c r="C12" s="77"/>
      <c r="D12" s="79"/>
      <c r="E12" s="488"/>
      <c r="F12" s="79"/>
      <c r="G12" s="79"/>
      <c r="H12" s="79"/>
      <c r="I12" s="79"/>
      <c r="J12" s="79"/>
      <c r="K12" s="79"/>
      <c r="L12" s="489"/>
      <c r="M12" s="60"/>
    </row>
    <row r="13" spans="2:13">
      <c r="B13" s="48"/>
      <c r="C13" s="77"/>
      <c r="D13" s="490" t="s">
        <v>219</v>
      </c>
      <c r="E13" s="488"/>
      <c r="F13" s="79"/>
      <c r="G13" s="79"/>
      <c r="H13" s="79"/>
      <c r="I13" s="79"/>
      <c r="J13" s="79"/>
      <c r="K13" s="79"/>
      <c r="L13" s="489"/>
      <c r="M13" s="60"/>
    </row>
    <row r="14" spans="2:13">
      <c r="B14" s="48"/>
      <c r="C14" s="77"/>
      <c r="D14" s="78" t="s">
        <v>301</v>
      </c>
      <c r="E14" s="79"/>
      <c r="F14" s="503">
        <v>0</v>
      </c>
      <c r="G14" s="503">
        <v>0</v>
      </c>
      <c r="H14" s="257">
        <f>'begr(bk)'!H26+'1'!F11+'2'!F11+'3'!F11+'4'!F11+'5'!F11+'6'!F11+'7'!F11+'8'!F11+'9'!F11+'10'!F11+'11'!F11+'12'!F11+'13'!F11+'14'!F11+'15'!F11+'16'!F11+'17'!F11+'18'!F11+'19'!F11+'20'!F11</f>
        <v>0</v>
      </c>
      <c r="I14" s="257">
        <f>'begr(bk)'!I26+'1'!G11+'2'!G11+'3'!G11+'4'!G11+'5'!G11+'6'!G11+'7'!G11+'8'!G11+'9'!G11+'10'!G11+'11'!G11+'12'!G11+'13'!G11+'14'!G11+'15'!G11+'16'!G11+'17'!G11+'18'!G11+'19'!G11+'20'!G11</f>
        <v>0</v>
      </c>
      <c r="J14" s="257">
        <f>'begr(bk)'!J26+'1'!H11+'2'!H11+'3'!H11+'4'!H11+'5'!H11+'6'!H11+'7'!H11+'8'!H11+'9'!H11+'10'!H11+'11'!H11+'12'!H11+'13'!H11+'14'!H11+'15'!H11+'16'!H11+'17'!H11+'18'!H11+'19'!H11+'20'!H11</f>
        <v>0</v>
      </c>
      <c r="K14" s="257">
        <f>'begr(bk)'!K26+'1'!I11+'2'!I11+'3'!I11+'4'!I11+'5'!I11+'6'!I11+'7'!I11+'8'!I11+'9'!I11+'10'!I11+'11'!I11+'12'!I11+'13'!I11+'14'!I11+'15'!I11+'16'!I11+'17'!I11+'18'!I11+'19'!I11+'20'!I11</f>
        <v>0</v>
      </c>
      <c r="L14" s="80"/>
      <c r="M14" s="50"/>
    </row>
    <row r="15" spans="2:13">
      <c r="B15" s="48"/>
      <c r="C15" s="77"/>
      <c r="D15" s="78" t="s">
        <v>302</v>
      </c>
      <c r="E15" s="79"/>
      <c r="F15" s="503">
        <v>0</v>
      </c>
      <c r="G15" s="503">
        <v>0</v>
      </c>
      <c r="H15" s="260">
        <f>'begr(bk)'!H38+'1'!F12+'2'!F12+'3'!F12+'4'!F12+'5'!F12+'6'!F12+'7'!F12+'8'!F12+'9'!F12+'10'!F12+'11'!F12+'12'!F12+'13'!F12+'14'!F12+'15'!F12+'16'!F12+'17'!F12+'18'!F12+'19'!F12+'20'!F12</f>
        <v>0</v>
      </c>
      <c r="I15" s="260">
        <f>'begr(bk)'!I38+'1'!G12+'2'!G12+'3'!G12+'4'!G12+'5'!G12+'6'!G12+'7'!G12+'8'!G12+'9'!G12+'10'!G12+'11'!G12+'12'!G12+'13'!G12+'14'!G12+'15'!G12+'16'!G12+'17'!G12+'18'!G12+'19'!G12+'20'!G12</f>
        <v>0</v>
      </c>
      <c r="J15" s="260">
        <f>'begr(bk)'!J38+'1'!H12+'2'!H12+'3'!H12+'4'!H12+'5'!H12+'6'!H12+'7'!H12+'8'!H12+'9'!H12+'10'!H12+'11'!H12+'12'!H12+'13'!H12+'14'!H12+'15'!H12+'16'!H12+'17'!H12+'18'!H12+'19'!H12+'20'!H12</f>
        <v>0</v>
      </c>
      <c r="K15" s="260">
        <f>'begr(bk)'!K38+'1'!I12+'2'!I12+'3'!I12+'4'!I12+'5'!I12+'6'!I12+'7'!I12+'8'!I12+'9'!I12+'10'!I12+'11'!I12+'12'!I12+'13'!I12+'14'!I12+'15'!I12+'16'!I12+'17'!I12+'18'!I12+'19'!I12+'20'!I12</f>
        <v>0</v>
      </c>
      <c r="L15" s="80"/>
      <c r="M15" s="50"/>
    </row>
    <row r="16" spans="2:13">
      <c r="B16" s="48"/>
      <c r="C16" s="77"/>
      <c r="D16" s="78" t="s">
        <v>303</v>
      </c>
      <c r="E16" s="79"/>
      <c r="F16" s="503">
        <v>0</v>
      </c>
      <c r="G16" s="503">
        <v>0</v>
      </c>
      <c r="H16" s="257">
        <f>'begr(bk)'!H44+'1'!F13+'2'!F13+'3'!F13+'4'!F13+'5'!F13+'6'!F13+'7'!F13+'8'!F13+'9'!F13+'10'!F13+'11'!F13+'12'!F13+'13'!F13+'14'!F13+'15'!F13+'16'!F13+'17'!F13+'18'!F13+'19'!F13+'20'!F13</f>
        <v>0</v>
      </c>
      <c r="I16" s="257">
        <f>'begr(bk)'!I44+'1'!G13+'2'!G13+'3'!G13+'4'!G13+'5'!G13+'6'!G13+'7'!G13+'8'!G13+'9'!G13+'10'!G13+'11'!G13+'12'!G13+'13'!G13+'14'!G13+'15'!G13+'16'!G13+'17'!G13+'18'!G13+'19'!G13+'20'!G13</f>
        <v>0</v>
      </c>
      <c r="J16" s="257">
        <f>'begr(bk)'!J44+'1'!H13+'2'!H13+'3'!H13+'4'!H13+'5'!H13+'6'!H13+'7'!H13+'8'!H13+'9'!H13+'10'!H13+'11'!H13+'12'!H13+'13'!H13+'14'!H13+'15'!H13+'16'!H13+'17'!H13+'18'!H13+'19'!H13+'20'!H13</f>
        <v>0</v>
      </c>
      <c r="K16" s="257">
        <f>'begr(bk)'!K44+'1'!I13+'2'!I13+'3'!I13+'4'!I13+'5'!I13+'6'!I13+'7'!I13+'8'!I13+'9'!I13+'10'!I13+'11'!I13+'12'!I13+'13'!I13+'14'!I13+'15'!I13+'16'!I13+'17'!I13+'18'!I13+'19'!I13+'20'!I13</f>
        <v>0</v>
      </c>
      <c r="L16" s="80"/>
      <c r="M16" s="50"/>
    </row>
    <row r="17" spans="2:13">
      <c r="B17" s="48"/>
      <c r="C17" s="77"/>
      <c r="D17" s="78" t="s">
        <v>304</v>
      </c>
      <c r="E17" s="79"/>
      <c r="F17" s="503">
        <v>0</v>
      </c>
      <c r="G17" s="503">
        <v>0</v>
      </c>
      <c r="H17" s="257">
        <f>'begr(bk)'!H45+'1'!F14+'2'!F14+'3'!F14+'4'!F14+'5'!F14+'6'!F14+'7'!F14+'8'!F14+'9'!F14+'10'!F14+'11'!F14+'12'!F14+'13'!F14+'14'!F14+'15'!F14+'16'!F14+'17'!F14+'18'!F14+'19'!F14+'20'!F14</f>
        <v>0</v>
      </c>
      <c r="I17" s="257">
        <f>'begr(bk)'!I45+'1'!G14+'2'!G14+'3'!G14+'4'!G14+'5'!G14+'6'!G14+'7'!G14+'8'!G14+'9'!G14+'10'!G14+'11'!G14+'12'!G14+'13'!G14+'14'!G14+'15'!G14+'16'!G14+'17'!G14+'18'!G14+'19'!G14+'20'!G14</f>
        <v>0</v>
      </c>
      <c r="J17" s="257">
        <f>'begr(bk)'!J45+'1'!H14+'2'!H14+'3'!H14+'4'!H14+'5'!H14+'6'!H14+'7'!H14+'8'!H14+'9'!H14+'10'!H14+'11'!H14+'12'!H14+'13'!H14+'14'!H14+'15'!H14+'16'!H14+'17'!H14+'18'!H14+'19'!H14+'20'!H14</f>
        <v>0</v>
      </c>
      <c r="K17" s="257">
        <f>'begr(bk)'!K45+'1'!I14+'2'!I14+'3'!I14+'4'!I14+'5'!I14+'6'!I14+'7'!I14+'8'!I14+'9'!I14+'10'!I14+'11'!I14+'12'!I14+'13'!I14+'14'!I14+'15'!I14+'16'!I14+'17'!I14+'18'!I14+'19'!I14+'20'!I14</f>
        <v>0</v>
      </c>
      <c r="L17" s="80"/>
      <c r="M17" s="50"/>
    </row>
    <row r="18" spans="2:13" ht="12" customHeight="1">
      <c r="B18" s="48"/>
      <c r="C18" s="77"/>
      <c r="D18" s="78" t="s">
        <v>305</v>
      </c>
      <c r="E18" s="79"/>
      <c r="F18" s="503">
        <v>0</v>
      </c>
      <c r="G18" s="503">
        <v>0</v>
      </c>
      <c r="H18" s="257">
        <f>'begr(bk)'!H54-'begr(bk)'!H45+'1'!F15+'2'!F15+'3'!F15+'4'!F15+'5'!F15+'6'!F15+'7'!F15+'8'!F15+'9'!F15+'10'!F15+'11'!F15+'12'!F15+'13'!F15+'14'!F15+'15'!F15+'16'!F15+'17'!F15+'18'!F15+'19'!F15+'20'!F15</f>
        <v>0</v>
      </c>
      <c r="I18" s="257">
        <f>'begr(bk)'!I54-'begr(bk)'!I45+'1'!G15+'2'!G15+'3'!G15+'4'!G15+'5'!G15+'6'!G15+'7'!G15+'8'!G15+'9'!G15+'10'!G15+'11'!G15+'12'!G15+'13'!G15+'14'!G15+'15'!G15+'16'!G15+'17'!G15+'18'!G15+'19'!G15+'20'!G15</f>
        <v>0</v>
      </c>
      <c r="J18" s="257">
        <f>'begr(bk)'!J54-'begr(bk)'!J45+'1'!H15+'2'!H15+'3'!H15+'4'!H15+'5'!H15+'6'!H15+'7'!H15+'8'!H15+'9'!H15+'10'!H15+'11'!H15+'12'!H15+'13'!H15+'14'!H15+'15'!H15+'16'!H15+'17'!H15+'18'!H15+'19'!H15+'20'!H15</f>
        <v>0</v>
      </c>
      <c r="K18" s="257">
        <f>'begr(bk)'!K54-'begr(bk)'!K45+'1'!I15+'2'!I15+'3'!I15+'4'!I15+'5'!I15+'6'!I15+'7'!I15+'8'!I15+'9'!I15+'10'!I15+'11'!I15+'12'!I15+'13'!I15+'14'!I15+'15'!I15+'16'!I15+'17'!I15+'18'!I15+'19'!I15+'20'!I15</f>
        <v>0</v>
      </c>
      <c r="L18" s="80"/>
      <c r="M18" s="50"/>
    </row>
    <row r="19" spans="2:13" s="106" customFormat="1" ht="12" customHeight="1">
      <c r="B19" s="169"/>
      <c r="C19" s="77"/>
      <c r="D19" s="442"/>
      <c r="E19" s="453"/>
      <c r="F19" s="491">
        <f t="shared" ref="F19:K19" si="0">SUM(F14:F18)</f>
        <v>0</v>
      </c>
      <c r="G19" s="491">
        <f t="shared" si="0"/>
        <v>0</v>
      </c>
      <c r="H19" s="491">
        <f t="shared" si="0"/>
        <v>0</v>
      </c>
      <c r="I19" s="491">
        <f t="shared" si="0"/>
        <v>0</v>
      </c>
      <c r="J19" s="491">
        <f t="shared" si="0"/>
        <v>0</v>
      </c>
      <c r="K19" s="491">
        <f t="shared" si="0"/>
        <v>0</v>
      </c>
      <c r="L19" s="80"/>
      <c r="M19" s="170"/>
    </row>
    <row r="20" spans="2:13" ht="12" customHeight="1">
      <c r="B20" s="48"/>
      <c r="C20" s="492"/>
      <c r="D20" s="490" t="s">
        <v>220</v>
      </c>
      <c r="E20" s="453"/>
      <c r="F20" s="493"/>
      <c r="G20" s="493"/>
      <c r="H20" s="493"/>
      <c r="I20" s="493"/>
      <c r="J20" s="493"/>
      <c r="K20" s="493"/>
      <c r="L20" s="80"/>
      <c r="M20" s="50"/>
    </row>
    <row r="21" spans="2:13" ht="12" hidden="1" customHeight="1">
      <c r="B21" s="48"/>
      <c r="C21" s="77"/>
      <c r="D21" s="481" t="s">
        <v>93</v>
      </c>
      <c r="E21" s="448"/>
      <c r="F21" s="494" t="e">
        <f>'begr(bk)'!F66+'1'!D16+'2'!D16+'3'!D16+'4'!D16+'5'!D16+'6'!D16+'7'!D16+'8'!D16+'9'!D16+'10'!D16+'11'!D16+'12'!D16+'13'!D16+'14'!D16+'15'!D16+'16'!D16+'17'!D16+'18'!D16+'19'!D16+'20'!D16</f>
        <v>#VALUE!</v>
      </c>
      <c r="G21" s="494">
        <f>'begr(bk)'!G66+'1'!E16+'2'!E16+'3'!E16+'4'!E16+'5'!E16+'6'!E16+'7'!E16+'8'!E16+'9'!E16+'10'!E16+'11'!E16+'12'!E16+'13'!E16+'14'!E16+'15'!E16+'16'!E16+'17'!E16+'18'!E16+'19'!E16+'20'!E16</f>
        <v>0</v>
      </c>
      <c r="H21" s="494">
        <f>'begr(bk)'!H66+'1'!F16+'2'!F16+'3'!F16+'4'!F16+'5'!F16+'6'!F16+'7'!F16+'8'!F16+'9'!F16+'10'!F16+'11'!F16+'12'!F16+'13'!F16+'14'!F16+'15'!F16+'16'!F16+'17'!F16+'18'!F16+'19'!F16+'20'!F16</f>
        <v>0</v>
      </c>
      <c r="I21" s="494">
        <f>'begr(bk)'!I66+'1'!G16+'2'!G16+'3'!G16+'4'!G16+'5'!G16+'6'!G16+'7'!G16+'8'!G16+'9'!G16+'10'!G16+'11'!G16+'12'!G16+'13'!G16+'14'!G16+'15'!G16+'16'!G16+'17'!G16+'18'!G16+'19'!G16+'20'!G16</f>
        <v>0</v>
      </c>
      <c r="J21" s="494">
        <f>'begr(bk)'!J66+'1'!H16+'2'!H16+'3'!H16+'4'!H16+'5'!H16+'6'!H16+'7'!H16+'8'!H16+'9'!H16+'10'!H16+'11'!H16+'12'!H16+'13'!H16+'14'!H16+'15'!H16+'16'!H16+'17'!H16+'18'!H16+'19'!H16+'20'!H16</f>
        <v>0</v>
      </c>
      <c r="K21" s="494">
        <f>'begr(bk)'!K66+'1'!I16+'2'!I16+'3'!I16+'4'!I16+'5'!I16+'6'!I16+'7'!I16+'8'!I16+'9'!I16+'10'!I16+'11'!I16+'12'!I16+'13'!I16+'14'!I16+'15'!I16+'16'!I16+'17'!I16+'18'!I16+'19'!I16+'20'!I16</f>
        <v>0</v>
      </c>
      <c r="L21" s="80"/>
      <c r="M21" s="50"/>
    </row>
    <row r="22" spans="2:13" ht="12" hidden="1" customHeight="1">
      <c r="B22" s="48"/>
      <c r="C22" s="77"/>
      <c r="D22" s="495" t="s">
        <v>88</v>
      </c>
      <c r="E22" s="448"/>
      <c r="F22" s="494" t="e">
        <f>'begr(bk)'!F90+'1'!D17+'2'!D17+'3'!D17+'4'!D17+'5'!D17+'6'!D17+'7'!D17+'8'!D17+'9'!D17+'10'!D17+'11'!D17+'12'!D17+'13'!D17+'14'!D17+'15'!D17+'16'!D17+'17'!D17+'18'!D17+'19'!D17+'20'!D17</f>
        <v>#VALUE!</v>
      </c>
      <c r="G22" s="494">
        <f>'begr(bk)'!G90+'1'!E17+'2'!E17+'3'!E17+'4'!E17+'5'!E17+'6'!E17+'7'!E17+'8'!E17+'9'!E17+'10'!E17+'11'!E17+'12'!E17+'13'!E17+'14'!E17+'15'!E17+'16'!E17+'17'!E17+'18'!E17+'19'!E17+'20'!E17</f>
        <v>0</v>
      </c>
      <c r="H22" s="494">
        <f>'begr(bk)'!H90+'1'!F17+'2'!F17+'3'!F17+'4'!F17+'5'!F17+'6'!F17+'7'!F17+'8'!F17+'9'!F17+'10'!F17+'11'!F17+'12'!F17+'13'!F17+'14'!F17+'15'!F17+'16'!F17+'17'!F17+'18'!F17+'19'!F17+'20'!F17</f>
        <v>0</v>
      </c>
      <c r="I22" s="494">
        <f>'begr(bk)'!I90+'1'!G17+'2'!G17+'3'!G17+'4'!G17+'5'!G17+'6'!G17+'7'!G17+'8'!G17+'9'!G17+'10'!G17+'11'!G17+'12'!G17+'13'!G17+'14'!G17+'15'!G17+'16'!G17+'17'!G17+'18'!G17+'19'!G17+'20'!G17</f>
        <v>0</v>
      </c>
      <c r="J22" s="494">
        <f>'begr(bk)'!J90+'1'!H17+'2'!H17+'3'!H17+'4'!H17+'5'!H17+'6'!H17+'7'!H17+'8'!H17+'9'!H17+'10'!H17+'11'!H17+'12'!H17+'13'!H17+'14'!H17+'15'!H17+'16'!H17+'17'!H17+'18'!H17+'19'!H17+'20'!H17</f>
        <v>0</v>
      </c>
      <c r="K22" s="494">
        <f>'begr(bk)'!K90+'1'!I17+'2'!I17+'3'!I17+'4'!I17+'5'!I17+'6'!I17+'7'!I17+'8'!I17+'9'!I17+'10'!I17+'11'!I17+'12'!I17+'13'!I17+'14'!I17+'15'!I17+'16'!I17+'17'!I17+'18'!I17+'19'!I17+'20'!I17</f>
        <v>0</v>
      </c>
      <c r="L22" s="80"/>
      <c r="M22" s="50"/>
    </row>
    <row r="23" spans="2:13" ht="12" customHeight="1">
      <c r="B23" s="48"/>
      <c r="C23" s="77"/>
      <c r="D23" s="496" t="s">
        <v>306</v>
      </c>
      <c r="E23" s="448"/>
      <c r="F23" s="503">
        <v>0</v>
      </c>
      <c r="G23" s="503">
        <v>0</v>
      </c>
      <c r="H23" s="260">
        <f>H21+H22</f>
        <v>0</v>
      </c>
      <c r="I23" s="260">
        <f>I21+I22</f>
        <v>0</v>
      </c>
      <c r="J23" s="260">
        <f>J21+J22</f>
        <v>0</v>
      </c>
      <c r="K23" s="260">
        <f>K21+K22</f>
        <v>0</v>
      </c>
      <c r="L23" s="80"/>
      <c r="M23" s="50"/>
    </row>
    <row r="24" spans="2:13" ht="12" customHeight="1">
      <c r="B24" s="48"/>
      <c r="C24" s="77"/>
      <c r="D24" s="79" t="s">
        <v>307</v>
      </c>
      <c r="E24" s="79"/>
      <c r="F24" s="503">
        <v>0</v>
      </c>
      <c r="G24" s="503">
        <v>0</v>
      </c>
      <c r="H24" s="260">
        <f>'begr(bk)'!H108+'1'!F18+'2'!F18+'3'!F18+'4'!F18+'5'!F18+'6'!F18+'7'!F18+'8'!F18+'9'!F18+'10'!F18+'11'!F18+'12'!F18+'13'!F18+'14'!F18+'15'!F18+'16'!F18+'17'!F18+'18'!F18+'19'!F18+'20'!F18</f>
        <v>0</v>
      </c>
      <c r="I24" s="260">
        <f>'begr(bk)'!I108+'1'!G18+'2'!G18+'3'!G18+'4'!G18+'5'!G18+'6'!G18+'7'!G18+'8'!G18+'9'!G18+'10'!G18+'11'!G18+'12'!G18+'13'!G18+'14'!G18+'15'!G18+'16'!G18+'17'!G18+'18'!G18+'19'!G18+'20'!G18</f>
        <v>0</v>
      </c>
      <c r="J24" s="260">
        <f>'begr(bk)'!J108+'1'!H18+'2'!H18+'3'!H18+'4'!H18+'5'!H18+'6'!H18+'7'!H18+'8'!H18+'9'!H18+'10'!H18+'11'!H18+'12'!H18+'13'!H18+'14'!H18+'15'!H18+'16'!H18+'17'!H18+'18'!H18+'19'!H18+'20'!H18</f>
        <v>0</v>
      </c>
      <c r="K24" s="260">
        <f>'begr(bk)'!K108+'1'!I18+'2'!I18+'3'!I18+'4'!I18+'5'!I18+'6'!I18+'7'!I18+'8'!I18+'9'!I18+'10'!I18+'11'!I18+'12'!I18+'13'!I18+'14'!I18+'15'!I18+'16'!I18+'17'!I18+'18'!I18+'19'!I18+'20'!I18</f>
        <v>0</v>
      </c>
      <c r="L24" s="80"/>
      <c r="M24" s="50"/>
    </row>
    <row r="25" spans="2:13" ht="12" customHeight="1">
      <c r="B25" s="48"/>
      <c r="C25" s="77"/>
      <c r="D25" s="79" t="s">
        <v>308</v>
      </c>
      <c r="E25" s="79"/>
      <c r="F25" s="503">
        <v>0</v>
      </c>
      <c r="G25" s="503">
        <v>0</v>
      </c>
      <c r="H25" s="260">
        <f>'begr(bk)'!H125+'1'!F19+'2'!F19+'3'!F19+'4'!F19+'5'!F19+'6'!F19+'7'!F19+'8'!F19+'9'!F19+'10'!F19+'11'!F19+'12'!F19+'13'!F19+'14'!F19+'15'!F19+'16'!F19+'17'!F19+'18'!F19+'19'!F19+'20'!F19</f>
        <v>0</v>
      </c>
      <c r="I25" s="260">
        <f>'begr(bk)'!I125+'1'!G19+'2'!G19+'3'!G19+'4'!G19+'5'!G19+'6'!G19+'7'!G19+'8'!G19+'9'!G19+'10'!G19+'11'!G19+'12'!G19+'13'!G19+'14'!G19+'15'!G19+'16'!G19+'17'!G19+'18'!G19+'19'!G19+'20'!G19</f>
        <v>0</v>
      </c>
      <c r="J25" s="260">
        <f>'begr(bk)'!J125+'1'!H19+'2'!H19+'3'!H19+'4'!H19+'5'!H19+'6'!H19+'7'!H19+'8'!H19+'9'!H19+'10'!H19+'11'!H19+'12'!H19+'13'!H19+'14'!H19+'15'!H19+'16'!H19+'17'!H19+'18'!H19+'19'!H19+'20'!H19</f>
        <v>0</v>
      </c>
      <c r="K25" s="260">
        <f>'begr(bk)'!K125+'1'!I19+'2'!I19+'3'!I19+'4'!I19+'5'!I19+'6'!I19+'7'!I19+'8'!I19+'9'!I19+'10'!I19+'11'!I19+'12'!I19+'13'!I19+'14'!I19+'15'!I19+'16'!I19+'17'!I19+'18'!I19+'19'!I19+'20'!I19</f>
        <v>0</v>
      </c>
      <c r="L25" s="80"/>
      <c r="M25" s="50"/>
    </row>
    <row r="26" spans="2:13" ht="12" customHeight="1">
      <c r="B26" s="48"/>
      <c r="C26" s="77"/>
      <c r="D26" s="79" t="s">
        <v>309</v>
      </c>
      <c r="E26" s="79"/>
      <c r="F26" s="503">
        <v>0</v>
      </c>
      <c r="G26" s="503">
        <v>0</v>
      </c>
      <c r="H26" s="257">
        <f>'begr(bk)'!H156+'1'!F20+'2'!F20+'3'!F20+'4'!F20+'5'!F20+'6'!F20+'7'!F20+'8'!F20+'9'!F20+'10'!F20+'11'!F20+'12'!F20+'13'!F20+'14'!F20+'15'!F20+'16'!F20+'17'!F20+'18'!F20+'19'!F20+'20'!F20</f>
        <v>0</v>
      </c>
      <c r="I26" s="257">
        <f>'begr(bk)'!I156+'1'!G20+'2'!G20+'3'!G20+'4'!G20+'5'!G20+'6'!G20+'7'!G20+'8'!G20+'9'!G20+'10'!G20+'11'!G20+'12'!G20+'13'!G20+'14'!G20+'15'!G20+'16'!G20+'17'!G20+'18'!G20+'19'!G20+'20'!G20</f>
        <v>0</v>
      </c>
      <c r="J26" s="257">
        <f>'begr(bk)'!J156+'1'!H20+'2'!H20+'3'!H20+'4'!H20+'5'!H20+'6'!H20+'7'!H20+'8'!H20+'9'!H20+'10'!H20+'11'!H20+'12'!H20+'13'!H20+'14'!H20+'15'!H20+'16'!H20+'17'!H20+'18'!H20+'19'!H20+'20'!H20</f>
        <v>0</v>
      </c>
      <c r="K26" s="257">
        <f>'begr(bk)'!K156+'1'!I20+'2'!I20+'3'!I20+'4'!I20+'5'!I20+'6'!I20+'7'!I20+'8'!I20+'9'!I20+'10'!I20+'11'!I20+'12'!I20+'13'!I20+'14'!I20+'15'!I20+'16'!I20+'17'!I20+'18'!I20+'19'!I20+'20'!I20</f>
        <v>0</v>
      </c>
      <c r="L26" s="80"/>
      <c r="M26" s="50"/>
    </row>
    <row r="27" spans="2:13" ht="12" customHeight="1">
      <c r="B27" s="48"/>
      <c r="C27" s="77"/>
      <c r="D27" s="442"/>
      <c r="E27" s="79"/>
      <c r="F27" s="491">
        <f t="shared" ref="F27:K27" si="1">SUM(F23:F26)</f>
        <v>0</v>
      </c>
      <c r="G27" s="491">
        <f t="shared" si="1"/>
        <v>0</v>
      </c>
      <c r="H27" s="491">
        <f t="shared" si="1"/>
        <v>0</v>
      </c>
      <c r="I27" s="491">
        <f t="shared" si="1"/>
        <v>0</v>
      </c>
      <c r="J27" s="491">
        <f t="shared" si="1"/>
        <v>0</v>
      </c>
      <c r="K27" s="491">
        <f t="shared" si="1"/>
        <v>0</v>
      </c>
      <c r="L27" s="80"/>
      <c r="M27" s="50"/>
    </row>
    <row r="28" spans="2:13" ht="12" customHeight="1">
      <c r="B28" s="48"/>
      <c r="C28" s="77"/>
      <c r="D28" s="497"/>
      <c r="E28" s="448"/>
      <c r="F28" s="498"/>
      <c r="G28" s="498"/>
      <c r="H28" s="498"/>
      <c r="I28" s="498"/>
      <c r="J28" s="498"/>
      <c r="K28" s="498"/>
      <c r="L28" s="80"/>
      <c r="M28" s="50"/>
    </row>
    <row r="29" spans="2:13" ht="12" customHeight="1">
      <c r="B29" s="48"/>
      <c r="C29" s="452"/>
      <c r="D29" s="442" t="s">
        <v>310</v>
      </c>
      <c r="E29" s="448"/>
      <c r="F29" s="499">
        <f t="shared" ref="F29:K29" si="2">F19-F27</f>
        <v>0</v>
      </c>
      <c r="G29" s="499">
        <f t="shared" si="2"/>
        <v>0</v>
      </c>
      <c r="H29" s="499">
        <f t="shared" si="2"/>
        <v>0</v>
      </c>
      <c r="I29" s="499">
        <f t="shared" si="2"/>
        <v>0</v>
      </c>
      <c r="J29" s="499">
        <f t="shared" si="2"/>
        <v>0</v>
      </c>
      <c r="K29" s="499">
        <f t="shared" si="2"/>
        <v>0</v>
      </c>
      <c r="L29" s="80"/>
      <c r="M29" s="50"/>
    </row>
    <row r="30" spans="2:13" ht="12" customHeight="1">
      <c r="B30" s="48"/>
      <c r="C30" s="88"/>
      <c r="D30" s="500"/>
      <c r="E30" s="501"/>
      <c r="F30" s="237"/>
      <c r="G30" s="237"/>
      <c r="H30" s="237"/>
      <c r="I30" s="237"/>
      <c r="J30" s="237"/>
      <c r="K30" s="237"/>
      <c r="L30" s="91"/>
      <c r="M30" s="50"/>
    </row>
    <row r="31" spans="2:13" ht="12" customHeight="1">
      <c r="B31" s="48"/>
      <c r="C31" s="49"/>
      <c r="D31" s="62"/>
      <c r="E31" s="49"/>
      <c r="F31" s="182"/>
      <c r="G31" s="182"/>
      <c r="H31" s="182"/>
      <c r="I31" s="182"/>
      <c r="J31" s="182"/>
      <c r="K31" s="182"/>
      <c r="L31" s="49"/>
      <c r="M31" s="50"/>
    </row>
    <row r="32" spans="2:13" ht="12" customHeight="1">
      <c r="B32" s="48"/>
      <c r="C32" s="73"/>
      <c r="D32" s="471"/>
      <c r="E32" s="502"/>
      <c r="F32" s="239"/>
      <c r="G32" s="239"/>
      <c r="H32" s="239"/>
      <c r="I32" s="239"/>
      <c r="J32" s="239"/>
      <c r="K32" s="239"/>
      <c r="L32" s="189"/>
      <c r="M32" s="50"/>
    </row>
    <row r="33" spans="2:13" ht="12" customHeight="1">
      <c r="B33" s="48"/>
      <c r="C33" s="77"/>
      <c r="D33" s="190" t="s">
        <v>92</v>
      </c>
      <c r="E33" s="448"/>
      <c r="F33" s="192"/>
      <c r="G33" s="192"/>
      <c r="H33" s="192"/>
      <c r="I33" s="192"/>
      <c r="J33" s="192"/>
      <c r="K33" s="192"/>
      <c r="L33" s="80"/>
      <c r="M33" s="50"/>
    </row>
    <row r="34" spans="2:13" ht="12" customHeight="1">
      <c r="B34" s="48"/>
      <c r="C34" s="77"/>
      <c r="D34" s="481"/>
      <c r="E34" s="448"/>
      <c r="F34" s="192"/>
      <c r="G34" s="192"/>
      <c r="H34" s="192"/>
      <c r="I34" s="192"/>
      <c r="J34" s="192"/>
      <c r="K34" s="192"/>
      <c r="L34" s="80"/>
      <c r="M34" s="50"/>
    </row>
    <row r="35" spans="2:13" ht="12" customHeight="1">
      <c r="B35" s="48"/>
      <c r="C35" s="77"/>
      <c r="D35" s="78" t="s">
        <v>311</v>
      </c>
      <c r="E35" s="448"/>
      <c r="F35" s="503">
        <v>0</v>
      </c>
      <c r="G35" s="503">
        <v>0</v>
      </c>
      <c r="H35" s="593">
        <f>'begr(bk)'!H171+'1'!F21+'2'!F21+'3'!F21+'4'!F21+'5'!F21+'6'!F21+'7'!F21+'8'!F21+'9'!F21+'10'!F21+'11'!F21+'12'!F21+'13'!F21+'14'!F21+'15'!F21+'16'!F21+'17'!F21+'18'!F21+'19'!F21+'20'!F21</f>
        <v>0</v>
      </c>
      <c r="I35" s="593">
        <f>'begr(bk)'!I171+'1'!G21+'2'!G21+'3'!G21+'4'!G21+'5'!G21+'6'!G21+'7'!G21+'8'!G21+'9'!G21+'10'!G21+'11'!G21+'12'!G21+'13'!G21+'14'!G21+'15'!G21+'16'!G21+'17'!G21+'18'!G21+'19'!G21+'20'!G21</f>
        <v>0</v>
      </c>
      <c r="J35" s="593">
        <f>'begr(bk)'!J171+'1'!H21+'2'!H21+'3'!H21+'4'!H21+'5'!H21+'6'!H21+'7'!H21+'8'!H21+'9'!H21+'10'!H21+'11'!H21+'12'!H21+'13'!H21+'14'!H21+'15'!H21+'16'!H21+'17'!H21+'18'!H21+'19'!H21+'20'!H21</f>
        <v>0</v>
      </c>
      <c r="K35" s="593">
        <f>'begr(bk)'!K171+'1'!I21+'2'!I21+'3'!I21+'4'!I21+'5'!I21+'6'!I21+'7'!I21+'8'!I21+'9'!I21+'10'!I21+'11'!I21+'12'!I21+'13'!I21+'14'!I21+'15'!I21+'16'!I21+'17'!I21+'18'!I21+'19'!I21+'20'!I21</f>
        <v>0</v>
      </c>
      <c r="L35" s="80"/>
      <c r="M35" s="50"/>
    </row>
    <row r="36" spans="2:13" ht="12" customHeight="1">
      <c r="B36" s="48"/>
      <c r="C36" s="77"/>
      <c r="D36" s="78" t="s">
        <v>312</v>
      </c>
      <c r="E36" s="448"/>
      <c r="F36" s="503">
        <v>0</v>
      </c>
      <c r="G36" s="503">
        <v>0</v>
      </c>
      <c r="H36" s="593">
        <f>'begr(bk)'!H172+'1'!F22+'2'!F22+'3'!F22+'4'!F22+'5'!F22+'6'!F22+'7'!F22+'8'!F22+'9'!F22+'10'!F22+'11'!F22+'12'!F22+'13'!F22+'14'!F22+'15'!F22+'16'!F22+'17'!F22+'18'!F22+'19'!F22+'20'!F22</f>
        <v>0</v>
      </c>
      <c r="I36" s="593">
        <f>'begr(bk)'!I172+'1'!G22+'2'!G22+'3'!G22+'4'!G22+'5'!G22+'6'!G22+'7'!G22+'8'!G22+'9'!G22+'10'!G22+'11'!G22+'12'!G22+'13'!G22+'14'!G22+'15'!G22+'16'!G22+'17'!G22+'18'!G22+'19'!G22+'20'!G22</f>
        <v>0</v>
      </c>
      <c r="J36" s="593">
        <f>'begr(bk)'!J172+'1'!H22+'2'!H22+'3'!H22+'4'!H22+'5'!H22+'6'!H22+'7'!H22+'8'!H22+'9'!H22+'10'!H22+'11'!H22+'12'!H22+'13'!H22+'14'!H22+'15'!H22+'16'!H22+'17'!H22+'18'!H22+'19'!H22+'20'!H22</f>
        <v>0</v>
      </c>
      <c r="K36" s="593">
        <f>'begr(bk)'!K172+'1'!I22+'2'!I22+'3'!I22+'4'!I22+'5'!I22+'6'!I22+'7'!I22+'8'!I22+'9'!I22+'10'!I22+'11'!I22+'12'!I22+'13'!I22+'14'!I22+'15'!I22+'16'!I22+'17'!I22+'18'!I22+'19'!I22+'20'!I22</f>
        <v>0</v>
      </c>
      <c r="L36" s="80"/>
      <c r="M36" s="50"/>
    </row>
    <row r="37" spans="2:13" ht="12" customHeight="1">
      <c r="B37" s="48"/>
      <c r="C37" s="77"/>
      <c r="D37" s="78"/>
      <c r="E37" s="448"/>
      <c r="F37" s="192"/>
      <c r="G37" s="192"/>
      <c r="H37" s="192"/>
      <c r="I37" s="192"/>
      <c r="J37" s="192"/>
      <c r="K37" s="192"/>
      <c r="L37" s="80"/>
      <c r="M37" s="50"/>
    </row>
    <row r="38" spans="2:13" ht="12" customHeight="1">
      <c r="B38" s="48"/>
      <c r="C38" s="452"/>
      <c r="D38" s="442" t="s">
        <v>313</v>
      </c>
      <c r="E38" s="453"/>
      <c r="F38" s="499">
        <f t="shared" ref="F38:K38" si="3">F35-F36</f>
        <v>0</v>
      </c>
      <c r="G38" s="499">
        <f t="shared" si="3"/>
        <v>0</v>
      </c>
      <c r="H38" s="499">
        <f t="shared" si="3"/>
        <v>0</v>
      </c>
      <c r="I38" s="499">
        <f t="shared" si="3"/>
        <v>0</v>
      </c>
      <c r="J38" s="499">
        <f t="shared" si="3"/>
        <v>0</v>
      </c>
      <c r="K38" s="499">
        <f t="shared" si="3"/>
        <v>0</v>
      </c>
      <c r="L38" s="454"/>
      <c r="M38" s="50"/>
    </row>
    <row r="39" spans="2:13" ht="12" customHeight="1">
      <c r="B39" s="48"/>
      <c r="C39" s="77"/>
      <c r="D39" s="78"/>
      <c r="E39" s="448"/>
      <c r="F39" s="192"/>
      <c r="G39" s="192"/>
      <c r="H39" s="192"/>
      <c r="I39" s="192"/>
      <c r="J39" s="192"/>
      <c r="K39" s="192"/>
      <c r="L39" s="80"/>
      <c r="M39" s="50"/>
    </row>
    <row r="40" spans="2:13" ht="12" customHeight="1">
      <c r="B40" s="48"/>
      <c r="C40" s="49"/>
      <c r="D40" s="468"/>
      <c r="E40" s="504"/>
      <c r="F40" s="165"/>
      <c r="G40" s="165"/>
      <c r="H40" s="165"/>
      <c r="I40" s="165"/>
      <c r="J40" s="165"/>
      <c r="K40" s="165"/>
      <c r="L40" s="49"/>
      <c r="M40" s="50"/>
    </row>
    <row r="41" spans="2:13" ht="12" customHeight="1">
      <c r="B41" s="48"/>
      <c r="C41" s="77"/>
      <c r="D41" s="78"/>
      <c r="E41" s="448"/>
      <c r="F41" s="192"/>
      <c r="G41" s="192"/>
      <c r="H41" s="192"/>
      <c r="I41" s="192"/>
      <c r="J41" s="192"/>
      <c r="K41" s="192"/>
      <c r="L41" s="80"/>
      <c r="M41" s="50"/>
    </row>
    <row r="42" spans="2:13" ht="12" customHeight="1">
      <c r="B42" s="48"/>
      <c r="C42" s="452"/>
      <c r="D42" s="190" t="s">
        <v>216</v>
      </c>
      <c r="E42" s="453"/>
      <c r="F42" s="499">
        <f t="shared" ref="F42:K42" si="4">F29+F38</f>
        <v>0</v>
      </c>
      <c r="G42" s="499">
        <f t="shared" si="4"/>
        <v>0</v>
      </c>
      <c r="H42" s="499">
        <f t="shared" si="4"/>
        <v>0</v>
      </c>
      <c r="I42" s="499">
        <f t="shared" si="4"/>
        <v>0</v>
      </c>
      <c r="J42" s="499">
        <f t="shared" si="4"/>
        <v>0</v>
      </c>
      <c r="K42" s="499">
        <f t="shared" si="4"/>
        <v>0</v>
      </c>
      <c r="L42" s="454"/>
      <c r="M42" s="50"/>
    </row>
    <row r="43" spans="2:13" ht="12" customHeight="1">
      <c r="B43" s="48"/>
      <c r="C43" s="77"/>
      <c r="D43" s="78"/>
      <c r="E43" s="448"/>
      <c r="F43" s="192"/>
      <c r="G43" s="192"/>
      <c r="H43" s="192"/>
      <c r="I43" s="192"/>
      <c r="J43" s="192"/>
      <c r="K43" s="192"/>
      <c r="L43" s="80"/>
      <c r="M43" s="50"/>
    </row>
    <row r="44" spans="2:13" ht="12" customHeight="1">
      <c r="B44" s="48"/>
      <c r="C44" s="49"/>
      <c r="D44" s="61"/>
      <c r="E44" s="49"/>
      <c r="F44" s="182"/>
      <c r="G44" s="182"/>
      <c r="H44" s="182"/>
      <c r="I44" s="182"/>
      <c r="J44" s="182"/>
      <c r="K44" s="182"/>
      <c r="L44" s="49"/>
      <c r="M44" s="50"/>
    </row>
    <row r="45" spans="2:13" ht="15">
      <c r="B45" s="69"/>
      <c r="C45" s="70"/>
      <c r="D45" s="70"/>
      <c r="E45" s="70"/>
      <c r="F45" s="70"/>
      <c r="G45" s="70"/>
      <c r="H45" s="70"/>
      <c r="I45" s="70"/>
      <c r="J45" s="71"/>
      <c r="K45" s="70"/>
      <c r="L45" s="177" t="s">
        <v>280</v>
      </c>
      <c r="M45" s="72"/>
    </row>
    <row r="46" spans="2:13">
      <c r="J46" s="42"/>
    </row>
    <row r="47" spans="2:13">
      <c r="J47" s="42"/>
    </row>
    <row r="48" spans="2:13">
      <c r="J48" s="42"/>
    </row>
    <row r="49" spans="10:10">
      <c r="J49" s="42"/>
    </row>
    <row r="50" spans="10:10">
      <c r="J50" s="42"/>
    </row>
    <row r="51" spans="10:10">
      <c r="J51" s="42"/>
    </row>
    <row r="52" spans="10:10">
      <c r="J52" s="42"/>
    </row>
    <row r="53" spans="10:10">
      <c r="J53" s="42"/>
    </row>
    <row r="54" spans="10:10">
      <c r="J54" s="42"/>
    </row>
    <row r="55" spans="10:10">
      <c r="J55" s="42"/>
    </row>
    <row r="56" spans="10:10">
      <c r="J56" s="42"/>
    </row>
    <row r="57" spans="10:10">
      <c r="J57" s="42"/>
    </row>
    <row r="58" spans="10:10">
      <c r="J58" s="42"/>
    </row>
    <row r="59" spans="10:10">
      <c r="J59" s="42"/>
    </row>
    <row r="60" spans="10:10">
      <c r="J60" s="42"/>
    </row>
    <row r="61" spans="10:10">
      <c r="J61" s="42"/>
    </row>
    <row r="62" spans="10:10">
      <c r="J62" s="42"/>
    </row>
    <row r="63" spans="10:10">
      <c r="J63" s="42"/>
    </row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7"/>
  <sheetViews>
    <sheetView zoomScale="85" zoomScaleNormal="85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3" width="2.7109375" style="33" customWidth="1"/>
    <col min="4" max="4" width="45.7109375" style="33" customWidth="1"/>
    <col min="5" max="5" width="2.7109375" style="33" customWidth="1"/>
    <col min="6" max="9" width="16.85546875" style="97" customWidth="1"/>
    <col min="10" max="10" width="2.7109375" style="97" customWidth="1"/>
    <col min="11" max="11" width="2.7109375" style="33" customWidth="1"/>
    <col min="12" max="12" width="11.42578125" style="99" customWidth="1"/>
    <col min="13" max="13" width="33.7109375" style="33" customWidth="1"/>
    <col min="14" max="14" width="2.5703125" style="33" customWidth="1"/>
    <col min="15" max="19" width="10.7109375" style="33" customWidth="1"/>
    <col min="20" max="20" width="2.7109375" style="33" customWidth="1"/>
    <col min="21" max="16384" width="9.140625" style="33"/>
  </cols>
  <sheetData>
    <row r="1" spans="2:13" ht="12.75" customHeight="1"/>
    <row r="2" spans="2:13">
      <c r="B2" s="43"/>
      <c r="C2" s="44"/>
      <c r="D2" s="44"/>
      <c r="E2" s="44"/>
      <c r="F2" s="262"/>
      <c r="G2" s="262"/>
      <c r="H2" s="262"/>
      <c r="I2" s="262"/>
      <c r="J2" s="262"/>
      <c r="K2" s="47"/>
    </row>
    <row r="3" spans="2:13">
      <c r="B3" s="48"/>
      <c r="C3" s="49"/>
      <c r="D3" s="49"/>
      <c r="E3" s="49"/>
      <c r="F3" s="164"/>
      <c r="G3" s="164"/>
      <c r="H3" s="164"/>
      <c r="I3" s="164"/>
      <c r="J3" s="164"/>
      <c r="K3" s="50"/>
    </row>
    <row r="4" spans="2:13" s="34" customFormat="1" ht="18.75">
      <c r="B4" s="419"/>
      <c r="C4" s="158" t="s">
        <v>185</v>
      </c>
      <c r="D4" s="52"/>
      <c r="E4" s="52"/>
      <c r="F4" s="420"/>
      <c r="G4" s="420"/>
      <c r="H4" s="420"/>
      <c r="I4" s="420"/>
      <c r="J4" s="420"/>
      <c r="K4" s="161"/>
      <c r="L4" s="105"/>
    </row>
    <row r="5" spans="2:13">
      <c r="B5" s="421"/>
      <c r="C5" s="66"/>
      <c r="D5" s="49"/>
      <c r="E5" s="49"/>
      <c r="F5" s="164"/>
      <c r="G5" s="164"/>
      <c r="H5" s="164"/>
      <c r="I5" s="164"/>
      <c r="J5" s="164"/>
      <c r="K5" s="50"/>
    </row>
    <row r="6" spans="2:13">
      <c r="B6" s="63"/>
      <c r="C6" s="64"/>
      <c r="D6" s="49"/>
      <c r="E6" s="49"/>
      <c r="F6" s="164"/>
      <c r="G6" s="164"/>
      <c r="H6" s="164"/>
      <c r="I6" s="164"/>
      <c r="J6" s="164"/>
      <c r="K6" s="50"/>
    </row>
    <row r="7" spans="2:13">
      <c r="B7" s="63"/>
      <c r="C7" s="64"/>
      <c r="D7" s="49"/>
      <c r="E7" s="49"/>
      <c r="F7" s="164"/>
      <c r="G7" s="164"/>
      <c r="H7" s="164"/>
      <c r="I7" s="164"/>
      <c r="J7" s="164"/>
      <c r="K7" s="50"/>
    </row>
    <row r="8" spans="2:13" s="34" customFormat="1">
      <c r="B8" s="389"/>
      <c r="C8" s="390"/>
      <c r="D8" s="422"/>
      <c r="E8" s="52"/>
      <c r="F8" s="95">
        <f>'begr(tot)'!H8</f>
        <v>2014</v>
      </c>
      <c r="G8" s="95">
        <f>'begr(tot)'!I8</f>
        <v>2015</v>
      </c>
      <c r="H8" s="95">
        <f>'begr(tot)'!J8</f>
        <v>2016</v>
      </c>
      <c r="I8" s="95">
        <f>'begr(tot)'!K8</f>
        <v>2017</v>
      </c>
      <c r="J8" s="55"/>
      <c r="K8" s="161"/>
      <c r="L8" s="105"/>
    </row>
    <row r="9" spans="2:13">
      <c r="B9" s="169"/>
      <c r="C9" s="168"/>
      <c r="D9" s="66"/>
      <c r="E9" s="49"/>
      <c r="F9" s="162"/>
      <c r="G9" s="162"/>
      <c r="H9" s="162"/>
      <c r="I9" s="162"/>
      <c r="J9" s="162"/>
      <c r="K9" s="50"/>
    </row>
    <row r="10" spans="2:13">
      <c r="B10" s="169"/>
      <c r="C10" s="522"/>
      <c r="D10" s="523"/>
      <c r="E10" s="74"/>
      <c r="F10" s="524"/>
      <c r="G10" s="524"/>
      <c r="H10" s="524"/>
      <c r="I10" s="524"/>
      <c r="J10" s="525"/>
      <c r="K10" s="50"/>
    </row>
    <row r="11" spans="2:13">
      <c r="B11" s="169"/>
      <c r="C11" s="77"/>
      <c r="D11" s="196" t="s">
        <v>137</v>
      </c>
      <c r="E11" s="79"/>
      <c r="F11" s="223"/>
      <c r="G11" s="223"/>
      <c r="H11" s="223"/>
      <c r="I11" s="223"/>
      <c r="J11" s="526"/>
      <c r="K11" s="50"/>
    </row>
    <row r="12" spans="2:13">
      <c r="B12" s="169"/>
      <c r="C12" s="77"/>
      <c r="D12" s="79"/>
      <c r="E12" s="79"/>
      <c r="F12" s="79"/>
      <c r="G12" s="79"/>
      <c r="H12" s="79"/>
      <c r="I12" s="79"/>
      <c r="J12" s="80"/>
      <c r="K12" s="50"/>
    </row>
    <row r="13" spans="2:13">
      <c r="B13" s="169"/>
      <c r="C13" s="77"/>
      <c r="D13" s="195" t="s">
        <v>180</v>
      </c>
      <c r="E13" s="79"/>
      <c r="F13" s="79"/>
      <c r="G13" s="79"/>
      <c r="H13" s="79"/>
      <c r="I13" s="79"/>
      <c r="J13" s="80"/>
      <c r="K13" s="50"/>
    </row>
    <row r="14" spans="2:13">
      <c r="B14" s="169"/>
      <c r="C14" s="77"/>
      <c r="D14" s="79" t="s">
        <v>284</v>
      </c>
      <c r="E14" s="79"/>
      <c r="F14" s="444">
        <f>'1'!F25+'2'!F25+'3'!F25+'4'!F25+'5'!F25+'6'!F25+'7'!F25+'8'!F25+'9'!F25+'10'!F25+'11'!F25+'12'!F25+'13'!F25+'14'!F25+'15'!F25+'16'!F25+'17'!F25+'18'!F25+'19'!F25+'20'!F25</f>
        <v>0</v>
      </c>
      <c r="G14" s="444">
        <f>'1'!G25+'2'!G25+'3'!G25+'4'!G25+'5'!G25+'6'!G25+'7'!G25+'8'!G25+'9'!G25+'10'!G25+'11'!G25+'12'!G25+'13'!G25+'14'!G25+'15'!G25+'16'!G25+'17'!G25+'18'!G25+'19'!G25+'20'!G25</f>
        <v>0</v>
      </c>
      <c r="H14" s="444">
        <f>'1'!H25+'2'!H25+'3'!H25+'4'!H25+'5'!H25+'6'!H25+'7'!H25+'8'!H25+'9'!H25+'10'!H25+'11'!H25+'12'!H25+'13'!H25+'14'!H25+'15'!H25+'16'!H25+'17'!H25+'18'!H25+'19'!H25+'20'!H25</f>
        <v>0</v>
      </c>
      <c r="I14" s="444">
        <f>'1'!I25+'2'!I25+'3'!I25+'4'!I25+'5'!I25+'6'!I25+'7'!I25+'8'!I25+'9'!I25+'10'!I25+'11'!I25+'12'!I25+'13'!I25+'14'!I25+'15'!I25+'16'!I25+'17'!I25+'18'!I25+'19'!I25+'20'!I25</f>
        <v>0</v>
      </c>
      <c r="J14" s="527"/>
      <c r="K14" s="50"/>
      <c r="M14" s="99"/>
    </row>
    <row r="15" spans="2:13">
      <c r="B15" s="169"/>
      <c r="C15" s="77"/>
      <c r="D15" s="79" t="s">
        <v>201</v>
      </c>
      <c r="E15" s="79"/>
      <c r="F15" s="242">
        <v>0</v>
      </c>
      <c r="G15" s="242">
        <f>F15</f>
        <v>0</v>
      </c>
      <c r="H15" s="242">
        <f>G15</f>
        <v>0</v>
      </c>
      <c r="I15" s="242">
        <f>H15</f>
        <v>0</v>
      </c>
      <c r="J15" s="527"/>
      <c r="K15" s="50"/>
      <c r="M15" s="99"/>
    </row>
    <row r="16" spans="2:13">
      <c r="B16" s="169"/>
      <c r="C16" s="77"/>
      <c r="D16" s="79" t="s">
        <v>202</v>
      </c>
      <c r="E16" s="79"/>
      <c r="F16" s="444">
        <f>act!G61</f>
        <v>0</v>
      </c>
      <c r="G16" s="444">
        <f>act!H61</f>
        <v>0</v>
      </c>
      <c r="H16" s="444">
        <f>act!I61</f>
        <v>0</v>
      </c>
      <c r="I16" s="444">
        <f>act!J61</f>
        <v>0</v>
      </c>
      <c r="J16" s="516"/>
      <c r="K16" s="50"/>
      <c r="M16" s="99"/>
    </row>
    <row r="17" spans="2:13">
      <c r="B17" s="169"/>
      <c r="C17" s="77"/>
      <c r="D17" s="79" t="s">
        <v>203</v>
      </c>
      <c r="E17" s="79"/>
      <c r="F17" s="242">
        <v>0</v>
      </c>
      <c r="G17" s="242">
        <f>F17</f>
        <v>0</v>
      </c>
      <c r="H17" s="242">
        <f>G17</f>
        <v>0</v>
      </c>
      <c r="I17" s="242">
        <f>H17</f>
        <v>0</v>
      </c>
      <c r="J17" s="527"/>
      <c r="K17" s="50"/>
      <c r="M17" s="99"/>
    </row>
    <row r="18" spans="2:13" s="40" customFormat="1">
      <c r="B18" s="63"/>
      <c r="C18" s="528"/>
      <c r="D18" s="518"/>
      <c r="E18" s="85"/>
      <c r="F18" s="535">
        <f>SUM(F14:F17)</f>
        <v>0</v>
      </c>
      <c r="G18" s="535">
        <f>SUM(G14:G17)</f>
        <v>0</v>
      </c>
      <c r="H18" s="535">
        <f>SUM(H14:H17)</f>
        <v>0</v>
      </c>
      <c r="I18" s="535">
        <f>SUM(I14:I17)</f>
        <v>0</v>
      </c>
      <c r="J18" s="529"/>
      <c r="K18" s="423"/>
      <c r="L18" s="107"/>
      <c r="M18" s="107"/>
    </row>
    <row r="19" spans="2:13">
      <c r="B19" s="169"/>
      <c r="C19" s="77"/>
      <c r="D19" s="195" t="s">
        <v>181</v>
      </c>
      <c r="E19" s="79"/>
      <c r="F19" s="201"/>
      <c r="G19" s="201"/>
      <c r="H19" s="201"/>
      <c r="I19" s="201"/>
      <c r="J19" s="527"/>
      <c r="K19" s="50"/>
      <c r="M19" s="99"/>
    </row>
    <row r="20" spans="2:13">
      <c r="B20" s="169"/>
      <c r="C20" s="77"/>
      <c r="D20" s="79" t="s">
        <v>285</v>
      </c>
      <c r="E20" s="79"/>
      <c r="F20" s="444">
        <f>'1'!F26+'2'!F26+'3'!F26+'4'!F26+'5'!F26+'6'!F26+'7'!F26+'8'!F26+'9'!F26+'10'!F26+'11'!F26+'12'!F26+'13'!F26+'14'!F26+'15'!F26+'16'!F26+'17'!F26+'18'!F26+'19'!F26+'20'!F26</f>
        <v>0</v>
      </c>
      <c r="G20" s="444">
        <f>'1'!G26+'2'!G26+'3'!G26+'4'!G26+'5'!G26+'6'!G26+'7'!G26+'8'!G26+'9'!G26+'10'!G26+'11'!G26+'12'!G26+'13'!G26+'14'!G26+'15'!G26+'16'!G26+'17'!G26+'18'!G26+'19'!G26+'20'!G26</f>
        <v>0</v>
      </c>
      <c r="H20" s="444">
        <f>'1'!H26+'2'!H26+'3'!H26+'4'!H26+'5'!H26+'6'!H26+'7'!H26+'8'!H26+'9'!H26+'10'!H26+'11'!H26+'12'!H26+'13'!H26+'14'!H26+'15'!H26+'16'!H26+'17'!H26+'18'!H26+'19'!H26+'20'!H26</f>
        <v>0</v>
      </c>
      <c r="I20" s="444">
        <f>'1'!I26+'2'!I26+'3'!I26+'4'!I26+'5'!I26+'6'!I26+'7'!I26+'8'!I26+'9'!I26+'10'!I26+'11'!I26+'12'!I26+'13'!I26+'14'!I26+'15'!I26+'16'!I26+'17'!I26+'18'!I26+'19'!I26+'20'!I26</f>
        <v>0</v>
      </c>
      <c r="J20" s="527"/>
      <c r="K20" s="50"/>
      <c r="M20" s="99"/>
    </row>
    <row r="21" spans="2:13">
      <c r="B21" s="169"/>
      <c r="C21" s="77"/>
      <c r="D21" s="79" t="s">
        <v>204</v>
      </c>
      <c r="E21" s="79"/>
      <c r="F21" s="242">
        <v>0</v>
      </c>
      <c r="G21" s="242">
        <f t="shared" ref="G21:I23" si="0">F21</f>
        <v>0</v>
      </c>
      <c r="H21" s="242">
        <f t="shared" si="0"/>
        <v>0</v>
      </c>
      <c r="I21" s="242">
        <f t="shared" si="0"/>
        <v>0</v>
      </c>
      <c r="J21" s="527"/>
      <c r="K21" s="50"/>
      <c r="M21" s="99"/>
    </row>
    <row r="22" spans="2:13">
      <c r="B22" s="169"/>
      <c r="C22" s="77"/>
      <c r="D22" s="79" t="s">
        <v>205</v>
      </c>
      <c r="E22" s="79"/>
      <c r="F22" s="242">
        <v>0</v>
      </c>
      <c r="G22" s="242">
        <f t="shared" si="0"/>
        <v>0</v>
      </c>
      <c r="H22" s="242">
        <f t="shared" si="0"/>
        <v>0</v>
      </c>
      <c r="I22" s="242">
        <f t="shared" si="0"/>
        <v>0</v>
      </c>
      <c r="J22" s="527"/>
      <c r="K22" s="50"/>
      <c r="M22" s="99"/>
    </row>
    <row r="23" spans="2:13">
      <c r="B23" s="169"/>
      <c r="C23" s="77"/>
      <c r="D23" s="79" t="s">
        <v>206</v>
      </c>
      <c r="E23" s="79"/>
      <c r="F23" s="242">
        <v>0</v>
      </c>
      <c r="G23" s="242">
        <f t="shared" si="0"/>
        <v>0</v>
      </c>
      <c r="H23" s="242">
        <f t="shared" si="0"/>
        <v>0</v>
      </c>
      <c r="I23" s="242">
        <f t="shared" si="0"/>
        <v>0</v>
      </c>
      <c r="J23" s="527"/>
      <c r="K23" s="50"/>
      <c r="M23" s="99"/>
    </row>
    <row r="24" spans="2:13">
      <c r="B24" s="169"/>
      <c r="C24" s="77"/>
      <c r="D24" s="79" t="s">
        <v>207</v>
      </c>
      <c r="E24" s="79"/>
      <c r="F24" s="242">
        <v>0</v>
      </c>
      <c r="G24" s="444">
        <f>G63-(SUM(G18:G23))</f>
        <v>0</v>
      </c>
      <c r="H24" s="444">
        <f>H63-(SUM(H18:H23))</f>
        <v>0</v>
      </c>
      <c r="I24" s="444">
        <f>I63-(SUM(I18:I23))</f>
        <v>0</v>
      </c>
      <c r="J24" s="527"/>
      <c r="K24" s="50"/>
      <c r="M24" s="99"/>
    </row>
    <row r="25" spans="2:13" s="40" customFormat="1">
      <c r="B25" s="63"/>
      <c r="C25" s="528"/>
      <c r="D25" s="518"/>
      <c r="E25" s="85"/>
      <c r="F25" s="535">
        <f>SUM(F20:F24)</f>
        <v>0</v>
      </c>
      <c r="G25" s="535">
        <f>SUM(G20:G24)</f>
        <v>0</v>
      </c>
      <c r="H25" s="535">
        <f>SUM(H20:H24)</f>
        <v>0</v>
      </c>
      <c r="I25" s="535">
        <f>SUM(I20:I24)</f>
        <v>0</v>
      </c>
      <c r="J25" s="529"/>
      <c r="K25" s="423"/>
      <c r="L25" s="107"/>
      <c r="M25" s="107"/>
    </row>
    <row r="26" spans="2:13">
      <c r="B26" s="169"/>
      <c r="C26" s="77"/>
      <c r="D26" s="79"/>
      <c r="E26" s="79"/>
      <c r="F26" s="79"/>
      <c r="G26" s="79"/>
      <c r="H26" s="79"/>
      <c r="I26" s="79"/>
      <c r="J26" s="80"/>
      <c r="K26" s="50"/>
      <c r="M26" s="99"/>
    </row>
    <row r="27" spans="2:13">
      <c r="B27" s="169"/>
      <c r="C27" s="77"/>
      <c r="D27" s="193" t="s">
        <v>198</v>
      </c>
      <c r="E27" s="510"/>
      <c r="F27" s="250">
        <f>F18+F25</f>
        <v>0</v>
      </c>
      <c r="G27" s="250">
        <f>G18+G25</f>
        <v>0</v>
      </c>
      <c r="H27" s="250">
        <f>H18+H25</f>
        <v>0</v>
      </c>
      <c r="I27" s="250">
        <f>I18+I25</f>
        <v>0</v>
      </c>
      <c r="J27" s="517"/>
      <c r="K27" s="50"/>
      <c r="M27" s="99"/>
    </row>
    <row r="28" spans="2:13">
      <c r="B28" s="169"/>
      <c r="C28" s="88"/>
      <c r="D28" s="89"/>
      <c r="E28" s="513"/>
      <c r="F28" s="236"/>
      <c r="G28" s="236"/>
      <c r="H28" s="236"/>
      <c r="I28" s="236"/>
      <c r="J28" s="530"/>
      <c r="K28" s="50"/>
      <c r="M28" s="99"/>
    </row>
    <row r="29" spans="2:13">
      <c r="B29" s="169"/>
      <c r="C29" s="49"/>
      <c r="D29" s="49"/>
      <c r="E29" s="391"/>
      <c r="F29" s="164"/>
      <c r="G29" s="164"/>
      <c r="H29" s="164"/>
      <c r="I29" s="164"/>
      <c r="J29" s="164"/>
      <c r="K29" s="50"/>
      <c r="M29" s="99"/>
    </row>
    <row r="30" spans="2:13">
      <c r="B30" s="169"/>
      <c r="C30" s="73"/>
      <c r="D30" s="74"/>
      <c r="E30" s="508"/>
      <c r="F30" s="186"/>
      <c r="G30" s="186"/>
      <c r="H30" s="186"/>
      <c r="I30" s="186"/>
      <c r="J30" s="515"/>
      <c r="K30" s="50"/>
      <c r="M30" s="99"/>
    </row>
    <row r="31" spans="2:13">
      <c r="B31" s="169"/>
      <c r="C31" s="77"/>
      <c r="D31" s="196" t="s">
        <v>270</v>
      </c>
      <c r="E31" s="79"/>
      <c r="F31" s="191"/>
      <c r="G31" s="191"/>
      <c r="H31" s="191"/>
      <c r="I31" s="191"/>
      <c r="J31" s="516"/>
      <c r="K31" s="50"/>
    </row>
    <row r="32" spans="2:13">
      <c r="B32" s="169"/>
      <c r="C32" s="82"/>
      <c r="D32" s="79"/>
      <c r="E32" s="510"/>
      <c r="F32" s="191"/>
      <c r="G32" s="191"/>
      <c r="H32" s="191"/>
      <c r="I32" s="191"/>
      <c r="J32" s="516"/>
      <c r="K32" s="50"/>
    </row>
    <row r="33" spans="2:11">
      <c r="B33" s="169"/>
      <c r="C33" s="82"/>
      <c r="D33" s="195" t="s">
        <v>1</v>
      </c>
      <c r="E33" s="510"/>
      <c r="F33" s="191"/>
      <c r="G33" s="191"/>
      <c r="H33" s="191"/>
      <c r="I33" s="191"/>
      <c r="J33" s="516"/>
      <c r="K33" s="50"/>
    </row>
    <row r="34" spans="2:11">
      <c r="B34" s="169"/>
      <c r="C34" s="77"/>
      <c r="D34" s="79" t="s">
        <v>334</v>
      </c>
      <c r="E34" s="79"/>
      <c r="F34" s="444">
        <f>+F27-F46-F51-F61-SUM(F35:F38)</f>
        <v>0</v>
      </c>
      <c r="G34" s="444">
        <f>F39+'begr(tot)'!I42-SUM(G35:G38)</f>
        <v>0</v>
      </c>
      <c r="H34" s="444">
        <f>G39+'begr(tot)'!J42-SUM(H35:H38)</f>
        <v>0</v>
      </c>
      <c r="I34" s="444">
        <f>H39+'begr(tot)'!K42-SUM(I35:I38)</f>
        <v>0</v>
      </c>
      <c r="J34" s="517"/>
      <c r="K34" s="50"/>
    </row>
    <row r="35" spans="2:11">
      <c r="B35" s="169"/>
      <c r="C35" s="77"/>
      <c r="D35" s="78" t="s">
        <v>325</v>
      </c>
      <c r="E35" s="79"/>
      <c r="F35" s="444">
        <f>'1'!F27+'2'!F27+'3'!F27+'4'!F27+'5'!F27+'6'!F27+'7'!F27+'8'!F27+'9'!F27+'10'!F27+'11'!F27+'12'!F27+'13'!F27+'14'!F27+'15'!F27+'16'!F27+'17'!F27+'18'!F27+'19'!F27+'20'!F27</f>
        <v>0</v>
      </c>
      <c r="G35" s="444">
        <f>'1'!G27+'2'!G27+'3'!G27+'4'!G27+'5'!G27+'6'!G27+'7'!G27+'8'!G27+'9'!G27+'10'!G27+'11'!G27+'12'!G27+'13'!G27+'14'!G27+'15'!G27+'16'!G27+'17'!G27+'18'!G27+'19'!G27+'20'!G27</f>
        <v>0</v>
      </c>
      <c r="H35" s="444">
        <f>'1'!H27+'2'!H27+'3'!H27+'4'!H27+'5'!H27+'6'!H27+'7'!H27+'8'!H27+'9'!H27+'10'!H27+'11'!H27+'12'!H27+'13'!H27+'14'!H27+'15'!H27+'16'!H27+'17'!H27+'18'!H27+'19'!H27+'20'!H27</f>
        <v>0</v>
      </c>
      <c r="I35" s="444">
        <f>'1'!I27+'2'!I27+'3'!I27+'4'!I27+'5'!I27+'6'!I27+'7'!I27+'8'!I27+'9'!I27+'10'!I27+'11'!I27+'12'!I27+'13'!I27+'14'!I27+'15'!I27+'16'!I27+'17'!I27+'18'!I27+'19'!I27+'20'!I27</f>
        <v>0</v>
      </c>
      <c r="J35" s="517"/>
      <c r="K35" s="50"/>
    </row>
    <row r="36" spans="2:11">
      <c r="B36" s="169"/>
      <c r="C36" s="77"/>
      <c r="D36" s="78" t="s">
        <v>224</v>
      </c>
      <c r="E36" s="79"/>
      <c r="F36" s="242">
        <v>0</v>
      </c>
      <c r="G36" s="242">
        <f t="shared" ref="G36:I38" si="1">F36</f>
        <v>0</v>
      </c>
      <c r="H36" s="242">
        <f t="shared" si="1"/>
        <v>0</v>
      </c>
      <c r="I36" s="242">
        <f t="shared" si="1"/>
        <v>0</v>
      </c>
      <c r="J36" s="517"/>
      <c r="K36" s="50"/>
    </row>
    <row r="37" spans="2:11">
      <c r="B37" s="169"/>
      <c r="C37" s="77"/>
      <c r="D37" s="78" t="s">
        <v>226</v>
      </c>
      <c r="E37" s="79"/>
      <c r="F37" s="242">
        <v>0</v>
      </c>
      <c r="G37" s="242">
        <f t="shared" si="1"/>
        <v>0</v>
      </c>
      <c r="H37" s="242">
        <f t="shared" si="1"/>
        <v>0</v>
      </c>
      <c r="I37" s="242">
        <f t="shared" si="1"/>
        <v>0</v>
      </c>
      <c r="J37" s="517"/>
      <c r="K37" s="50"/>
    </row>
    <row r="38" spans="2:11">
      <c r="B38" s="169"/>
      <c r="C38" s="77"/>
      <c r="D38" s="78" t="s">
        <v>225</v>
      </c>
      <c r="E38" s="79"/>
      <c r="F38" s="242">
        <v>0</v>
      </c>
      <c r="G38" s="242">
        <f t="shared" si="1"/>
        <v>0</v>
      </c>
      <c r="H38" s="242">
        <f t="shared" si="1"/>
        <v>0</v>
      </c>
      <c r="I38" s="242">
        <f t="shared" si="1"/>
        <v>0</v>
      </c>
      <c r="J38" s="517"/>
      <c r="K38" s="50"/>
    </row>
    <row r="39" spans="2:11">
      <c r="B39" s="169"/>
      <c r="C39" s="77"/>
      <c r="D39" s="84"/>
      <c r="E39" s="85"/>
      <c r="F39" s="536">
        <f>SUM(F34:F38)</f>
        <v>0</v>
      </c>
      <c r="G39" s="536">
        <f>SUM(G34:G38)</f>
        <v>0</v>
      </c>
      <c r="H39" s="536">
        <f>SUM(H34:H38)</f>
        <v>0</v>
      </c>
      <c r="I39" s="536">
        <f>SUM(I34:I38)</f>
        <v>0</v>
      </c>
      <c r="J39" s="517"/>
      <c r="K39" s="50"/>
    </row>
    <row r="40" spans="2:11">
      <c r="B40" s="169"/>
      <c r="C40" s="77"/>
      <c r="D40" s="195" t="s">
        <v>44</v>
      </c>
      <c r="E40" s="79"/>
      <c r="F40" s="79"/>
      <c r="G40" s="79"/>
      <c r="H40" s="79"/>
      <c r="I40" s="79"/>
      <c r="J40" s="517"/>
      <c r="K40" s="50"/>
    </row>
    <row r="41" spans="2:11">
      <c r="B41" s="169"/>
      <c r="C41" s="77"/>
      <c r="D41" s="79" t="s">
        <v>283</v>
      </c>
      <c r="E41" s="79"/>
      <c r="F41" s="444">
        <f>'1'!F28+'2'!F28+'3'!F28+'4'!F28+'5'!F28+'6'!F28+'7'!F28+'8'!F28+'9'!F28+'10'!F28+'11'!F28+'12'!F28+'13'!F28+'14'!F28+'15'!F28+'16'!F28+'17'!F28+'18'!F28+'19'!F28+'20'!F28</f>
        <v>0</v>
      </c>
      <c r="G41" s="444">
        <f>'1'!G28+'2'!G28+'3'!G28+'4'!G28+'5'!G28+'6'!G28+'7'!G28+'8'!G28+'9'!G28+'10'!G28+'11'!G28+'12'!G28+'13'!G28+'14'!G28+'15'!G28+'16'!G28+'17'!G28+'18'!G28+'19'!G28+'20'!G28</f>
        <v>0</v>
      </c>
      <c r="H41" s="444">
        <f>'1'!H28+'2'!H28+'3'!H28+'4'!H28+'5'!H28+'6'!H28+'7'!H28+'8'!H28+'9'!H28+'10'!H28+'11'!H28+'12'!H28+'13'!H28+'14'!H28+'15'!H28+'16'!H28+'17'!H28+'18'!H28+'19'!H28+'20'!H28</f>
        <v>0</v>
      </c>
      <c r="I41" s="444">
        <f>'1'!I28+'2'!I28+'3'!I28+'4'!I28+'5'!I28+'6'!I28+'7'!I28+'8'!I28+'9'!I28+'10'!I28+'11'!I28+'12'!I28+'13'!I28+'14'!I28+'15'!I28+'16'!I28+'17'!I28+'18'!I28+'19'!I28+'20'!I28</f>
        <v>0</v>
      </c>
      <c r="J41" s="80"/>
      <c r="K41" s="50"/>
    </row>
    <row r="42" spans="2:11">
      <c r="B42" s="169"/>
      <c r="C42" s="77"/>
      <c r="D42" s="79" t="s">
        <v>259</v>
      </c>
      <c r="E42" s="79"/>
      <c r="F42" s="444">
        <f>mop!G18</f>
        <v>0</v>
      </c>
      <c r="G42" s="444">
        <f>mop!H18</f>
        <v>0</v>
      </c>
      <c r="H42" s="444">
        <f>mop!I18</f>
        <v>0</v>
      </c>
      <c r="I42" s="444">
        <f>mop!J18</f>
        <v>0</v>
      </c>
      <c r="J42" s="517"/>
      <c r="K42" s="50"/>
    </row>
    <row r="43" spans="2:11">
      <c r="B43" s="169"/>
      <c r="C43" s="77"/>
      <c r="D43" s="79" t="s">
        <v>282</v>
      </c>
      <c r="E43" s="79"/>
      <c r="F43" s="242">
        <v>0</v>
      </c>
      <c r="G43" s="242">
        <f>F43</f>
        <v>0</v>
      </c>
      <c r="H43" s="242">
        <f>G43</f>
        <v>0</v>
      </c>
      <c r="I43" s="242">
        <f>H43</f>
        <v>0</v>
      </c>
      <c r="J43" s="517"/>
      <c r="K43" s="50"/>
    </row>
    <row r="44" spans="2:11">
      <c r="B44" s="169"/>
      <c r="C44" s="77"/>
      <c r="D44" s="243" t="s">
        <v>260</v>
      </c>
      <c r="E44" s="79"/>
      <c r="F44" s="242">
        <v>0</v>
      </c>
      <c r="G44" s="242">
        <f t="shared" ref="G44:I45" si="2">F44</f>
        <v>0</v>
      </c>
      <c r="H44" s="242">
        <f t="shared" si="2"/>
        <v>0</v>
      </c>
      <c r="I44" s="242">
        <f t="shared" si="2"/>
        <v>0</v>
      </c>
      <c r="J44" s="517"/>
      <c r="K44" s="50"/>
    </row>
    <row r="45" spans="2:11">
      <c r="B45" s="169"/>
      <c r="C45" s="77"/>
      <c r="D45" s="243" t="s">
        <v>260</v>
      </c>
      <c r="E45" s="79"/>
      <c r="F45" s="242">
        <v>0</v>
      </c>
      <c r="G45" s="242">
        <f t="shared" si="2"/>
        <v>0</v>
      </c>
      <c r="H45" s="242">
        <f t="shared" si="2"/>
        <v>0</v>
      </c>
      <c r="I45" s="242">
        <f t="shared" si="2"/>
        <v>0</v>
      </c>
      <c r="J45" s="517"/>
      <c r="K45" s="50"/>
    </row>
    <row r="46" spans="2:11">
      <c r="B46" s="169"/>
      <c r="C46" s="77"/>
      <c r="D46" s="84"/>
      <c r="E46" s="79"/>
      <c r="F46" s="535">
        <f>SUM(F41:F45)</f>
        <v>0</v>
      </c>
      <c r="G46" s="535">
        <f>SUM(G41:G45)</f>
        <v>0</v>
      </c>
      <c r="H46" s="535">
        <f>SUM(H41:H45)</f>
        <v>0</v>
      </c>
      <c r="I46" s="535">
        <f>SUM(I41:I45)</f>
        <v>0</v>
      </c>
      <c r="J46" s="517"/>
      <c r="K46" s="50"/>
    </row>
    <row r="47" spans="2:11">
      <c r="B47" s="169"/>
      <c r="C47" s="77"/>
      <c r="D47" s="195" t="s">
        <v>30</v>
      </c>
      <c r="E47" s="79"/>
      <c r="F47" s="79"/>
      <c r="G47" s="79"/>
      <c r="H47" s="79"/>
      <c r="I47" s="79"/>
      <c r="J47" s="517"/>
      <c r="K47" s="50"/>
    </row>
    <row r="48" spans="2:11">
      <c r="B48" s="169"/>
      <c r="C48" s="77"/>
      <c r="D48" s="79" t="s">
        <v>190</v>
      </c>
      <c r="E48" s="79"/>
      <c r="F48" s="444">
        <f>'1'!F29+'2'!F29+'3'!F29+'4'!F29+'5'!F29+'6'!F29+'7'!F29+'8'!F29+'9'!F29+'10'!F29+'11'!F29+'12'!F29+'13'!F29+'14'!F29+'15'!F29+'16'!F29+'17'!F29+'18'!F29+'19'!F29+'20'!F29</f>
        <v>0</v>
      </c>
      <c r="G48" s="444">
        <f>'1'!G29+'2'!G29+'3'!G29+'4'!G29+'5'!G29+'6'!G29+'7'!G29+'8'!G29+'9'!G29+'10'!G29+'11'!G29+'12'!G29+'13'!G29+'14'!G29+'15'!G29+'16'!G29+'17'!G29+'18'!G29+'19'!G29+'20'!G29</f>
        <v>0</v>
      </c>
      <c r="H48" s="444">
        <f>'1'!H29+'2'!H29+'3'!H29+'4'!H29+'5'!H29+'6'!H29+'7'!H29+'8'!H29+'9'!H29+'10'!H29+'11'!H29+'12'!H29+'13'!H29+'14'!H29+'15'!H29+'16'!H29+'17'!H29+'18'!H29+'19'!H29+'20'!H29</f>
        <v>0</v>
      </c>
      <c r="I48" s="444">
        <f>'1'!I29+'2'!I29+'3'!I29+'4'!I29+'5'!I29+'6'!I29+'7'!I29+'8'!I29+'9'!I29+'10'!I29+'11'!I29+'12'!I29+'13'!I29+'14'!I29+'15'!I29+'16'!I29+'17'!I29+'18'!I29+'19'!I29+'20'!I29</f>
        <v>0</v>
      </c>
      <c r="J48" s="517"/>
      <c r="K48" s="50"/>
    </row>
    <row r="49" spans="2:11">
      <c r="B49" s="169"/>
      <c r="C49" s="77"/>
      <c r="D49" s="79" t="s">
        <v>242</v>
      </c>
      <c r="E49" s="79"/>
      <c r="F49" s="242">
        <v>0</v>
      </c>
      <c r="G49" s="242">
        <f t="shared" ref="G49:I50" si="3">F49</f>
        <v>0</v>
      </c>
      <c r="H49" s="242">
        <f t="shared" si="3"/>
        <v>0</v>
      </c>
      <c r="I49" s="242">
        <f t="shared" si="3"/>
        <v>0</v>
      </c>
      <c r="J49" s="517"/>
      <c r="K49" s="50"/>
    </row>
    <row r="50" spans="2:11">
      <c r="B50" s="169"/>
      <c r="C50" s="77"/>
      <c r="D50" s="79" t="s">
        <v>243</v>
      </c>
      <c r="E50" s="79"/>
      <c r="F50" s="242">
        <v>0</v>
      </c>
      <c r="G50" s="242">
        <f t="shared" si="3"/>
        <v>0</v>
      </c>
      <c r="H50" s="242">
        <f t="shared" si="3"/>
        <v>0</v>
      </c>
      <c r="I50" s="242">
        <f t="shared" si="3"/>
        <v>0</v>
      </c>
      <c r="J50" s="517"/>
      <c r="K50" s="50"/>
    </row>
    <row r="51" spans="2:11">
      <c r="B51" s="169"/>
      <c r="C51" s="77"/>
      <c r="D51" s="518"/>
      <c r="E51" s="79"/>
      <c r="F51" s="535">
        <f>SUM(F48:F50)</f>
        <v>0</v>
      </c>
      <c r="G51" s="535">
        <f>SUM(G48:G50)</f>
        <v>0</v>
      </c>
      <c r="H51" s="535">
        <f>SUM(H48:H50)</f>
        <v>0</v>
      </c>
      <c r="I51" s="535">
        <f>SUM(I48:I50)</f>
        <v>0</v>
      </c>
      <c r="J51" s="517"/>
      <c r="K51" s="50"/>
    </row>
    <row r="52" spans="2:11">
      <c r="B52" s="169"/>
      <c r="C52" s="77"/>
      <c r="D52" s="195" t="s">
        <v>31</v>
      </c>
      <c r="E52" s="79"/>
      <c r="F52" s="79"/>
      <c r="G52" s="79"/>
      <c r="H52" s="79"/>
      <c r="I52" s="79"/>
      <c r="J52" s="517"/>
      <c r="K52" s="50"/>
    </row>
    <row r="53" spans="2:11">
      <c r="B53" s="169"/>
      <c r="C53" s="77"/>
      <c r="D53" s="79" t="s">
        <v>191</v>
      </c>
      <c r="E53" s="79"/>
      <c r="F53" s="444">
        <f>'1'!F30+'2'!F30+'3'!F30+'4'!F30+'5'!F30+'6'!F30+'7'!F30+'8'!F30+'9'!F30+'10'!F30+'11'!F30+'12'!F30+'13'!F30+'14'!F30+'15'!F30+'16'!F30+'17'!F30+'18'!F30+'19'!F30+'20'!F30</f>
        <v>0</v>
      </c>
      <c r="G53" s="444">
        <f>'1'!G30+'2'!G30+'3'!G30+'4'!G30+'5'!G30+'6'!G30+'7'!G30+'8'!G30+'9'!G30+'10'!G30+'11'!G30+'12'!G30+'13'!G30+'14'!G30+'15'!G30+'16'!G30+'17'!G30+'18'!G30+'19'!G30+'20'!G30</f>
        <v>0</v>
      </c>
      <c r="H53" s="444">
        <f>'1'!H30+'2'!H30+'3'!H30+'4'!H30+'5'!H30+'6'!H30+'7'!H30+'8'!H30+'9'!H30+'10'!H30+'11'!H30+'12'!H30+'13'!H30+'14'!H30+'15'!H30+'16'!H30+'17'!H30+'18'!H30+'19'!H30+'20'!H30</f>
        <v>0</v>
      </c>
      <c r="I53" s="444">
        <f>'1'!I30+'2'!I30+'3'!I30+'4'!I30+'5'!I30+'6'!I30+'7'!I30+'8'!I30+'9'!I30+'10'!I30+'11'!I30+'12'!I30+'13'!I30+'14'!I30+'15'!I30+'16'!I30+'17'!I30+'18'!I30+'19'!I30+'20'!I30</f>
        <v>0</v>
      </c>
      <c r="J53" s="517"/>
      <c r="K53" s="50"/>
    </row>
    <row r="54" spans="2:11">
      <c r="B54" s="169"/>
      <c r="C54" s="77"/>
      <c r="D54" s="79" t="s">
        <v>242</v>
      </c>
      <c r="E54" s="79"/>
      <c r="F54" s="242">
        <v>0</v>
      </c>
      <c r="G54" s="242">
        <f t="shared" ref="G54:I60" si="4">F54</f>
        <v>0</v>
      </c>
      <c r="H54" s="242">
        <f t="shared" si="4"/>
        <v>0</v>
      </c>
      <c r="I54" s="242">
        <f t="shared" si="4"/>
        <v>0</v>
      </c>
      <c r="J54" s="517"/>
      <c r="K54" s="50"/>
    </row>
    <row r="55" spans="2:11">
      <c r="B55" s="169"/>
      <c r="C55" s="77"/>
      <c r="D55" s="79" t="s">
        <v>244</v>
      </c>
      <c r="E55" s="79"/>
      <c r="F55" s="242">
        <v>0</v>
      </c>
      <c r="G55" s="242">
        <f t="shared" si="4"/>
        <v>0</v>
      </c>
      <c r="H55" s="242">
        <f t="shared" si="4"/>
        <v>0</v>
      </c>
      <c r="I55" s="242">
        <f t="shared" si="4"/>
        <v>0</v>
      </c>
      <c r="J55" s="517"/>
      <c r="K55" s="50"/>
    </row>
    <row r="56" spans="2:11">
      <c r="B56" s="169"/>
      <c r="C56" s="77"/>
      <c r="D56" s="79" t="s">
        <v>245</v>
      </c>
      <c r="E56" s="79"/>
      <c r="F56" s="242">
        <v>0</v>
      </c>
      <c r="G56" s="242">
        <f t="shared" si="4"/>
        <v>0</v>
      </c>
      <c r="H56" s="242">
        <f t="shared" si="4"/>
        <v>0</v>
      </c>
      <c r="I56" s="242">
        <f t="shared" si="4"/>
        <v>0</v>
      </c>
      <c r="J56" s="517"/>
      <c r="K56" s="50"/>
    </row>
    <row r="57" spans="2:11">
      <c r="B57" s="169"/>
      <c r="C57" s="77"/>
      <c r="D57" s="79" t="s">
        <v>246</v>
      </c>
      <c r="E57" s="79"/>
      <c r="F57" s="242">
        <v>0</v>
      </c>
      <c r="G57" s="242">
        <f t="shared" si="4"/>
        <v>0</v>
      </c>
      <c r="H57" s="242">
        <f t="shared" si="4"/>
        <v>0</v>
      </c>
      <c r="I57" s="242">
        <f t="shared" si="4"/>
        <v>0</v>
      </c>
      <c r="J57" s="517"/>
      <c r="K57" s="50"/>
    </row>
    <row r="58" spans="2:11">
      <c r="B58" s="169"/>
      <c r="C58" s="77"/>
      <c r="D58" s="79" t="s">
        <v>247</v>
      </c>
      <c r="E58" s="79"/>
      <c r="F58" s="242">
        <v>0</v>
      </c>
      <c r="G58" s="242">
        <f t="shared" si="4"/>
        <v>0</v>
      </c>
      <c r="H58" s="242">
        <f t="shared" si="4"/>
        <v>0</v>
      </c>
      <c r="I58" s="242">
        <f t="shared" si="4"/>
        <v>0</v>
      </c>
      <c r="J58" s="517"/>
      <c r="K58" s="50"/>
    </row>
    <row r="59" spans="2:11">
      <c r="B59" s="169"/>
      <c r="C59" s="77"/>
      <c r="D59" s="79" t="s">
        <v>248</v>
      </c>
      <c r="E59" s="79"/>
      <c r="F59" s="242">
        <v>0</v>
      </c>
      <c r="G59" s="242">
        <f t="shared" si="4"/>
        <v>0</v>
      </c>
      <c r="H59" s="242">
        <f t="shared" si="4"/>
        <v>0</v>
      </c>
      <c r="I59" s="242">
        <f t="shared" si="4"/>
        <v>0</v>
      </c>
      <c r="J59" s="517"/>
      <c r="K59" s="50"/>
    </row>
    <row r="60" spans="2:11">
      <c r="B60" s="169"/>
      <c r="C60" s="77"/>
      <c r="D60" s="79" t="s">
        <v>249</v>
      </c>
      <c r="E60" s="79"/>
      <c r="F60" s="242">
        <v>0</v>
      </c>
      <c r="G60" s="242">
        <f t="shared" si="4"/>
        <v>0</v>
      </c>
      <c r="H60" s="242">
        <f t="shared" si="4"/>
        <v>0</v>
      </c>
      <c r="I60" s="242">
        <f t="shared" si="4"/>
        <v>0</v>
      </c>
      <c r="J60" s="517"/>
      <c r="K60" s="50"/>
    </row>
    <row r="61" spans="2:11">
      <c r="B61" s="169"/>
      <c r="C61" s="77"/>
      <c r="D61" s="84"/>
      <c r="E61" s="79"/>
      <c r="F61" s="535">
        <f>SUM(F53:F60)</f>
        <v>0</v>
      </c>
      <c r="G61" s="535">
        <f>SUM(G53:G60)</f>
        <v>0</v>
      </c>
      <c r="H61" s="535">
        <f>SUM(H53:H60)</f>
        <v>0</v>
      </c>
      <c r="I61" s="535">
        <f>SUM(I53:I60)</f>
        <v>0</v>
      </c>
      <c r="J61" s="80"/>
      <c r="K61" s="50"/>
    </row>
    <row r="62" spans="2:11">
      <c r="B62" s="169"/>
      <c r="C62" s="77"/>
      <c r="D62" s="79"/>
      <c r="E62" s="79"/>
      <c r="F62" s="79"/>
      <c r="G62" s="79"/>
      <c r="H62" s="79"/>
      <c r="I62" s="79"/>
      <c r="J62" s="80"/>
      <c r="K62" s="50"/>
    </row>
    <row r="63" spans="2:11">
      <c r="B63" s="169"/>
      <c r="C63" s="77"/>
      <c r="D63" s="193" t="s">
        <v>199</v>
      </c>
      <c r="E63" s="79"/>
      <c r="F63" s="250">
        <f>F39+F46+F51+F61</f>
        <v>0</v>
      </c>
      <c r="G63" s="250">
        <f>G39+G46+G51+G61</f>
        <v>0</v>
      </c>
      <c r="H63" s="250">
        <f>H39+H46+H51+H61</f>
        <v>0</v>
      </c>
      <c r="I63" s="250">
        <f>I39+I46+I51+I61</f>
        <v>0</v>
      </c>
      <c r="J63" s="517"/>
      <c r="K63" s="50"/>
    </row>
    <row r="64" spans="2:11">
      <c r="B64" s="169"/>
      <c r="C64" s="88"/>
      <c r="D64" s="519"/>
      <c r="E64" s="89"/>
      <c r="F64" s="520"/>
      <c r="G64" s="520"/>
      <c r="H64" s="520"/>
      <c r="I64" s="520"/>
      <c r="J64" s="521"/>
      <c r="K64" s="50"/>
    </row>
    <row r="65" spans="2:11">
      <c r="B65" s="48"/>
      <c r="C65" s="49"/>
      <c r="D65" s="387"/>
      <c r="E65" s="49"/>
      <c r="F65" s="424"/>
      <c r="G65" s="424"/>
      <c r="H65" s="424"/>
      <c r="I65" s="424"/>
      <c r="J65" s="424"/>
      <c r="K65" s="50"/>
    </row>
    <row r="66" spans="2:11">
      <c r="B66" s="48"/>
      <c r="C66" s="49"/>
      <c r="D66" s="49"/>
      <c r="E66" s="49"/>
      <c r="F66" s="275"/>
      <c r="G66" s="275"/>
      <c r="H66" s="275"/>
      <c r="I66" s="275"/>
      <c r="J66" s="275"/>
      <c r="K66" s="50"/>
    </row>
    <row r="67" spans="2:11">
      <c r="B67" s="48"/>
      <c r="C67" s="73"/>
      <c r="D67" s="74"/>
      <c r="E67" s="508"/>
      <c r="F67" s="508"/>
      <c r="G67" s="508"/>
      <c r="H67" s="508"/>
      <c r="I67" s="508"/>
      <c r="J67" s="509"/>
      <c r="K67" s="50"/>
    </row>
    <row r="68" spans="2:11">
      <c r="B68" s="48"/>
      <c r="C68" s="77"/>
      <c r="D68" s="196" t="s">
        <v>192</v>
      </c>
      <c r="E68" s="510"/>
      <c r="F68" s="510"/>
      <c r="G68" s="510"/>
      <c r="H68" s="510"/>
      <c r="I68" s="510"/>
      <c r="J68" s="511"/>
      <c r="K68" s="50"/>
    </row>
    <row r="69" spans="2:11">
      <c r="B69" s="48"/>
      <c r="C69" s="77"/>
      <c r="D69" s="79"/>
      <c r="E69" s="510"/>
      <c r="F69" s="510"/>
      <c r="G69" s="510"/>
      <c r="H69" s="510"/>
      <c r="I69" s="510"/>
      <c r="J69" s="511"/>
      <c r="K69" s="50"/>
    </row>
    <row r="70" spans="2:11">
      <c r="B70" s="48"/>
      <c r="C70" s="77"/>
      <c r="D70" s="79" t="s">
        <v>183</v>
      </c>
      <c r="E70" s="510"/>
      <c r="F70" s="532" t="e">
        <f>F39/F63</f>
        <v>#DIV/0!</v>
      </c>
      <c r="G70" s="532" t="e">
        <f>G39/G63</f>
        <v>#DIV/0!</v>
      </c>
      <c r="H70" s="532" t="e">
        <f>H39/H63</f>
        <v>#DIV/0!</v>
      </c>
      <c r="I70" s="532" t="e">
        <f>I39/I63</f>
        <v>#DIV/0!</v>
      </c>
      <c r="J70" s="512"/>
      <c r="K70" s="50"/>
    </row>
    <row r="71" spans="2:11">
      <c r="B71" s="48"/>
      <c r="C71" s="77"/>
      <c r="D71" s="79" t="s">
        <v>182</v>
      </c>
      <c r="E71" s="510"/>
      <c r="F71" s="533" t="e">
        <f>F25/F61</f>
        <v>#DIV/0!</v>
      </c>
      <c r="G71" s="533" t="e">
        <f>G25/G61</f>
        <v>#DIV/0!</v>
      </c>
      <c r="H71" s="533" t="e">
        <f>H25/H61</f>
        <v>#DIV/0!</v>
      </c>
      <c r="I71" s="533" t="e">
        <f>I25/I61</f>
        <v>#DIV/0!</v>
      </c>
      <c r="J71" s="511"/>
      <c r="K71" s="50"/>
    </row>
    <row r="72" spans="2:11">
      <c r="B72" s="48"/>
      <c r="C72" s="77"/>
      <c r="D72" s="79" t="s">
        <v>233</v>
      </c>
      <c r="E72" s="510"/>
      <c r="F72" s="532" t="e">
        <f>'begr(tot)'!H42/('begr(tot)'!H19+'begr(tot)'!H35)</f>
        <v>#DIV/0!</v>
      </c>
      <c r="G72" s="532" t="e">
        <f>'begr(tot)'!I42/('begr(tot)'!I19+'begr(tot)'!I35)</f>
        <v>#DIV/0!</v>
      </c>
      <c r="H72" s="532" t="e">
        <f>'begr(tot)'!J42/('begr(tot)'!J19+'begr(tot)'!J35)</f>
        <v>#DIV/0!</v>
      </c>
      <c r="I72" s="532" t="e">
        <f>'begr(tot)'!K42/('begr(tot)'!K19+'begr(tot)'!K35)</f>
        <v>#DIV/0!</v>
      </c>
      <c r="J72" s="511"/>
      <c r="K72" s="50"/>
    </row>
    <row r="73" spans="2:11">
      <c r="B73" s="48"/>
      <c r="C73" s="77"/>
      <c r="D73" s="79" t="s">
        <v>184</v>
      </c>
      <c r="E73" s="510"/>
      <c r="F73" s="534" t="e">
        <f>(F39-(F14+F16))/'begr(tot)'!H14</f>
        <v>#DIV/0!</v>
      </c>
      <c r="G73" s="534" t="e">
        <f>(G39-(G14+G16))/'begr(tot)'!I14</f>
        <v>#DIV/0!</v>
      </c>
      <c r="H73" s="534" t="e">
        <f>(H39-(H14+H16))/'begr(tot)'!J14</f>
        <v>#DIV/0!</v>
      </c>
      <c r="I73" s="534" t="e">
        <f>(I39-(I14+I16))/'begr(tot)'!K14</f>
        <v>#DIV/0!</v>
      </c>
      <c r="J73" s="511"/>
      <c r="K73" s="50"/>
    </row>
    <row r="74" spans="2:11">
      <c r="B74" s="48"/>
      <c r="C74" s="77"/>
      <c r="D74" s="79" t="s">
        <v>271</v>
      </c>
      <c r="E74" s="510"/>
      <c r="F74" s="534" t="e">
        <f>F27/('begr(tot)'!H19+'begr(tot)'!H35)</f>
        <v>#DIV/0!</v>
      </c>
      <c r="G74" s="534" t="e">
        <f>G27/('begr(tot)'!I19+'begr(tot)'!I35)</f>
        <v>#DIV/0!</v>
      </c>
      <c r="H74" s="534" t="e">
        <f>H27/('begr(tot)'!J19+'begr(tot)'!J35)</f>
        <v>#DIV/0!</v>
      </c>
      <c r="I74" s="534" t="e">
        <f>I27/('begr(tot)'!K19+'begr(tot)'!K35)</f>
        <v>#DIV/0!</v>
      </c>
      <c r="J74" s="511"/>
      <c r="K74" s="50"/>
    </row>
    <row r="75" spans="2:11">
      <c r="B75" s="48"/>
      <c r="C75" s="88"/>
      <c r="D75" s="89"/>
      <c r="E75" s="513"/>
      <c r="F75" s="513"/>
      <c r="G75" s="513"/>
      <c r="H75" s="513"/>
      <c r="I75" s="513"/>
      <c r="J75" s="514"/>
      <c r="K75" s="50"/>
    </row>
    <row r="76" spans="2:11">
      <c r="B76" s="48"/>
      <c r="C76" s="49"/>
      <c r="D76" s="49"/>
      <c r="E76" s="49"/>
      <c r="F76" s="275"/>
      <c r="G76" s="275"/>
      <c r="H76" s="275"/>
      <c r="I76" s="275"/>
      <c r="J76" s="275"/>
      <c r="K76" s="50"/>
    </row>
    <row r="77" spans="2:11" ht="15">
      <c r="B77" s="69"/>
      <c r="C77" s="70"/>
      <c r="D77" s="425"/>
      <c r="E77" s="70"/>
      <c r="F77" s="426"/>
      <c r="G77" s="426"/>
      <c r="H77" s="426"/>
      <c r="I77" s="426"/>
      <c r="J77" s="177" t="s">
        <v>280</v>
      </c>
      <c r="K77" s="72"/>
    </row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P183"/>
  <sheetViews>
    <sheetView showGridLines="0" zoomScale="85" zoomScaleNormal="85" zoomScaleSheetLayoutView="100" workbookViewId="0">
      <pane ySplit="9" topLeftCell="A10" activePane="bottomLeft" state="frozen"/>
      <selection activeCell="B2" sqref="B2"/>
      <selection pane="bottomLeft" activeCell="B2" sqref="B2"/>
    </sheetView>
  </sheetViews>
  <sheetFormatPr defaultColWidth="9.140625" defaultRowHeight="12.75"/>
  <cols>
    <col min="1" max="1" width="3.7109375" style="33" customWidth="1"/>
    <col min="2" max="3" width="2.7109375" style="33" customWidth="1"/>
    <col min="4" max="4" width="45.7109375" style="96" customWidth="1"/>
    <col min="5" max="5" width="2.7109375" style="33" customWidth="1"/>
    <col min="6" max="6" width="16.7109375" style="97" customWidth="1"/>
    <col min="7" max="9" width="16.7109375" style="98" customWidth="1"/>
    <col min="10" max="10" width="2.7109375" style="99" customWidth="1"/>
    <col min="11" max="11" width="2.5703125" style="33" customWidth="1"/>
    <col min="12" max="13" width="14.7109375" style="33" customWidth="1"/>
    <col min="14" max="16384" width="9.140625" style="33"/>
  </cols>
  <sheetData>
    <row r="1" spans="2:11" ht="12.75" customHeight="1"/>
    <row r="2" spans="2:11">
      <c r="B2" s="43"/>
      <c r="C2" s="44"/>
      <c r="D2" s="410"/>
      <c r="E2" s="44"/>
      <c r="F2" s="262"/>
      <c r="G2" s="411"/>
      <c r="H2" s="411"/>
      <c r="I2" s="411"/>
      <c r="J2" s="269"/>
      <c r="K2" s="47"/>
    </row>
    <row r="3" spans="2:11">
      <c r="B3" s="48"/>
      <c r="C3" s="49"/>
      <c r="D3" s="412"/>
      <c r="E3" s="49"/>
      <c r="F3" s="164"/>
      <c r="G3" s="299"/>
      <c r="H3" s="299"/>
      <c r="I3" s="299"/>
      <c r="J3" s="275"/>
      <c r="K3" s="50"/>
    </row>
    <row r="4" spans="2:11" s="101" customFormat="1" ht="18.75">
      <c r="B4" s="157"/>
      <c r="C4" s="158" t="s">
        <v>186</v>
      </c>
      <c r="D4" s="539"/>
      <c r="E4" s="540"/>
      <c r="F4" s="541"/>
      <c r="G4" s="542"/>
      <c r="H4" s="542"/>
      <c r="I4" s="542"/>
      <c r="J4" s="413"/>
      <c r="K4" s="382"/>
    </row>
    <row r="5" spans="2:11">
      <c r="B5" s="48"/>
      <c r="C5" s="505"/>
      <c r="D5" s="543"/>
      <c r="E5" s="505"/>
      <c r="F5" s="544"/>
      <c r="G5" s="545"/>
      <c r="H5" s="545"/>
      <c r="I5" s="545"/>
      <c r="J5" s="275"/>
      <c r="K5" s="50"/>
    </row>
    <row r="6" spans="2:11">
      <c r="B6" s="48"/>
      <c r="C6" s="505"/>
      <c r="D6" s="543"/>
      <c r="E6" s="505"/>
      <c r="F6" s="505"/>
      <c r="G6" s="505"/>
      <c r="H6" s="505"/>
      <c r="I6" s="505"/>
      <c r="J6" s="49"/>
      <c r="K6" s="50"/>
    </row>
    <row r="7" spans="2:11">
      <c r="B7" s="48"/>
      <c r="C7" s="505"/>
      <c r="D7" s="543"/>
      <c r="E7" s="505"/>
      <c r="F7" s="505"/>
      <c r="G7" s="505"/>
      <c r="H7" s="505"/>
      <c r="I7" s="505"/>
      <c r="J7" s="49"/>
      <c r="K7" s="50"/>
    </row>
    <row r="8" spans="2:11">
      <c r="B8" s="48"/>
      <c r="C8" s="505"/>
      <c r="D8" s="543"/>
      <c r="E8" s="505"/>
      <c r="F8" s="95">
        <f>'begr(tot)'!H8</f>
        <v>2014</v>
      </c>
      <c r="G8" s="95">
        <f>'begr(tot)'!I8</f>
        <v>2015</v>
      </c>
      <c r="H8" s="95">
        <f>'begr(tot)'!J8</f>
        <v>2016</v>
      </c>
      <c r="I8" s="95">
        <f>'begr(tot)'!K8</f>
        <v>2017</v>
      </c>
      <c r="J8" s="275"/>
      <c r="K8" s="50"/>
    </row>
    <row r="9" spans="2:11">
      <c r="B9" s="48"/>
      <c r="C9" s="49"/>
      <c r="D9" s="412"/>
      <c r="E9" s="49"/>
      <c r="F9" s="162"/>
      <c r="G9" s="162"/>
      <c r="H9" s="162"/>
      <c r="I9" s="162"/>
      <c r="J9" s="275"/>
      <c r="K9" s="50"/>
    </row>
    <row r="10" spans="2:11">
      <c r="B10" s="63"/>
      <c r="C10" s="73"/>
      <c r="D10" s="185"/>
      <c r="E10" s="74"/>
      <c r="F10" s="188"/>
      <c r="G10" s="188"/>
      <c r="H10" s="188"/>
      <c r="I10" s="188"/>
      <c r="J10" s="189"/>
      <c r="K10" s="50"/>
    </row>
    <row r="11" spans="2:11">
      <c r="B11" s="63"/>
      <c r="C11" s="77"/>
      <c r="D11" s="586" t="s">
        <v>288</v>
      </c>
      <c r="E11" s="79"/>
      <c r="F11" s="546"/>
      <c r="G11" s="546"/>
      <c r="H11" s="546"/>
      <c r="I11" s="546"/>
      <c r="J11" s="80"/>
      <c r="K11" s="50"/>
    </row>
    <row r="12" spans="2:11">
      <c r="B12" s="63"/>
      <c r="C12" s="77"/>
      <c r="D12" s="79" t="s">
        <v>112</v>
      </c>
      <c r="E12" s="79"/>
      <c r="F12" s="560">
        <f>'1'!F32+'2'!F32+'3'!F32+'4'!F32+'5'!F32+'6'!F32+'7'!F32+'8'!F32+'9'!F32+'10'!F32+'11'!F32+'12'!F32+'13'!F32+'14'!F32+'15'!F32+'16'!F32+'17'!F32+'18'!F32+'19'!F32+'20'!F32</f>
        <v>0</v>
      </c>
      <c r="G12" s="560">
        <f>'1'!G32+'2'!G32+'3'!G32+'4'!G32+'5'!G32+'6'!G32+'7'!G32+'8'!G32+'9'!G32+'10'!G32+'11'!G32+'12'!G32+'13'!G32+'14'!G32+'15'!G32+'16'!G32+'17'!G32+'18'!G32+'19'!G32+'20'!G32</f>
        <v>0</v>
      </c>
      <c r="H12" s="560">
        <f>'1'!H32+'2'!H32+'3'!H32+'4'!H32+'5'!H32+'6'!H32+'7'!H32+'8'!H32+'9'!H32+'10'!H32+'11'!H32+'12'!H32+'13'!H32+'14'!H32+'15'!H32+'16'!H32+'17'!H32+'18'!H32+'19'!H32+'20'!H32</f>
        <v>0</v>
      </c>
      <c r="I12" s="560">
        <f>'1'!I32+'2'!I32+'3'!I32+'4'!I32+'5'!I32+'6'!I32+'7'!I32+'8'!I32+'9'!I32+'10'!I32+'11'!I32+'12'!I32+'13'!I32+'14'!I32+'15'!I32+'16'!I32+'17'!I32+'18'!I32+'19'!I32+'20'!I32</f>
        <v>0</v>
      </c>
      <c r="J12" s="80"/>
      <c r="K12" s="50"/>
    </row>
    <row r="13" spans="2:11">
      <c r="B13" s="63"/>
      <c r="C13" s="77"/>
      <c r="D13" s="79" t="s">
        <v>113</v>
      </c>
      <c r="E13" s="79"/>
      <c r="F13" s="560">
        <f>'1'!F33+'2'!F33+'3'!F33+'4'!F33+'5'!F33+'6'!F33+'7'!F33+'8'!F33+'9'!F33+'10'!F33+'11'!F33+'12'!F33+'13'!F33+'14'!F33+'15'!F33+'16'!F33+'17'!F33+'18'!F33+'19'!F33+'20'!F33</f>
        <v>0</v>
      </c>
      <c r="G13" s="560">
        <f>'1'!G33+'2'!G33+'3'!G33+'4'!G33+'5'!G33+'6'!G33+'7'!G33+'8'!G33+'9'!G33+'10'!G33+'11'!G33+'12'!G33+'13'!G33+'14'!G33+'15'!G33+'16'!G33+'17'!G33+'18'!G33+'19'!G33+'20'!G33</f>
        <v>0</v>
      </c>
      <c r="H13" s="560">
        <f>'1'!H33+'2'!H33+'3'!H33+'4'!H33+'5'!H33+'6'!H33+'7'!H33+'8'!H33+'9'!H33+'10'!H33+'11'!H33+'12'!H33+'13'!H33+'14'!H33+'15'!H33+'16'!H33+'17'!H33+'18'!H33+'19'!H33+'20'!H33</f>
        <v>0</v>
      </c>
      <c r="I13" s="560">
        <f>'1'!I33+'2'!I33+'3'!I33+'4'!I33+'5'!I33+'6'!I33+'7'!I33+'8'!I33+'9'!I33+'10'!I33+'11'!I33+'12'!I33+'13'!I33+'14'!I33+'15'!I33+'16'!I33+'17'!I33+'18'!I33+'19'!I33+'20'!I33</f>
        <v>0</v>
      </c>
      <c r="J13" s="80"/>
      <c r="K13" s="50"/>
    </row>
    <row r="14" spans="2:11">
      <c r="B14" s="63"/>
      <c r="C14" s="77"/>
      <c r="D14" s="78" t="s">
        <v>114</v>
      </c>
      <c r="E14" s="79"/>
      <c r="F14" s="560">
        <f>'1'!F34+'2'!F34+'3'!F34+'4'!F34+'5'!F34+'6'!F34+'7'!F34+'8'!F34+'9'!F34+'10'!F34+'11'!F34+'12'!F34+'13'!F34+'14'!F34+'15'!F34+'16'!F34+'17'!F34+'18'!F34+'19'!F34+'20'!F34</f>
        <v>0</v>
      </c>
      <c r="G14" s="560">
        <f>'1'!G34+'2'!G34+'3'!G34+'4'!G34+'5'!G34+'6'!G34+'7'!G34+'8'!G34+'9'!G34+'10'!G34+'11'!G34+'12'!G34+'13'!G34+'14'!G34+'15'!G34+'16'!G34+'17'!G34+'18'!G34+'19'!G34+'20'!G34</f>
        <v>0</v>
      </c>
      <c r="H14" s="560">
        <f>'1'!H34+'2'!H34+'3'!H34+'4'!H34+'5'!H34+'6'!H34+'7'!H34+'8'!H34+'9'!H34+'10'!H34+'11'!H34+'12'!H34+'13'!H34+'14'!H34+'15'!H34+'16'!H34+'17'!H34+'18'!H34+'19'!H34+'20'!H34</f>
        <v>0</v>
      </c>
      <c r="I14" s="560">
        <f>'1'!I34+'2'!I34+'3'!I34+'4'!I34+'5'!I34+'6'!I34+'7'!I34+'8'!I34+'9'!I34+'10'!I34+'11'!I34+'12'!I34+'13'!I34+'14'!I34+'15'!I34+'16'!I34+'17'!I34+'18'!I34+'19'!I34+'20'!I34</f>
        <v>0</v>
      </c>
      <c r="J14" s="80"/>
      <c r="K14" s="50"/>
    </row>
    <row r="15" spans="2:11">
      <c r="B15" s="63"/>
      <c r="C15" s="77"/>
      <c r="D15" s="78" t="s">
        <v>115</v>
      </c>
      <c r="E15" s="79"/>
      <c r="F15" s="560">
        <f>'1'!F35+'2'!F35+'3'!F35+'4'!F35+'5'!F35+'6'!F35+'7'!F35+'8'!F35+'9'!F35+'10'!F35+'11'!F35+'12'!F35+'13'!F35+'14'!F35+'15'!F35+'16'!F35+'17'!F35+'18'!F35+'19'!F35+'20'!F35</f>
        <v>0</v>
      </c>
      <c r="G15" s="560">
        <f>'1'!G35+'2'!G35+'3'!G35+'4'!G35+'5'!G35+'6'!G35+'7'!G35+'8'!G35+'9'!G35+'10'!G35+'11'!G35+'12'!G35+'13'!G35+'14'!G35+'15'!G35+'16'!G35+'17'!G35+'18'!G35+'19'!G35+'20'!G35</f>
        <v>0</v>
      </c>
      <c r="H15" s="560">
        <f>'1'!H35+'2'!H35+'3'!H35+'4'!H35+'5'!H35+'6'!H35+'7'!H35+'8'!H35+'9'!H35+'10'!H35+'11'!H35+'12'!H35+'13'!H35+'14'!H35+'15'!H35+'16'!H35+'17'!H35+'18'!H35+'19'!H35+'20'!H35</f>
        <v>0</v>
      </c>
      <c r="I15" s="560">
        <f>'1'!I35+'2'!I35+'3'!I35+'4'!I35+'5'!I35+'6'!I35+'7'!I35+'8'!I35+'9'!I35+'10'!I35+'11'!I35+'12'!I35+'13'!I35+'14'!I35+'15'!I35+'16'!I35+'17'!I35+'18'!I35+'19'!I35+'20'!I35</f>
        <v>0</v>
      </c>
      <c r="J15" s="80"/>
      <c r="K15" s="50"/>
    </row>
    <row r="16" spans="2:11">
      <c r="B16" s="63"/>
      <c r="C16" s="77"/>
      <c r="D16" s="78"/>
      <c r="E16" s="79"/>
      <c r="F16" s="339"/>
      <c r="G16" s="339"/>
      <c r="H16" s="339"/>
      <c r="I16" s="339"/>
      <c r="J16" s="80"/>
      <c r="K16" s="50"/>
    </row>
    <row r="17" spans="2:11">
      <c r="B17" s="63"/>
      <c r="C17" s="77"/>
      <c r="D17" s="352" t="s">
        <v>289</v>
      </c>
      <c r="E17" s="79"/>
      <c r="F17" s="339"/>
      <c r="G17" s="339"/>
      <c r="H17" s="339"/>
      <c r="I17" s="339"/>
      <c r="J17" s="80"/>
      <c r="K17" s="50"/>
    </row>
    <row r="18" spans="2:11">
      <c r="B18" s="63"/>
      <c r="C18" s="77"/>
      <c r="D18" s="78" t="s">
        <v>121</v>
      </c>
      <c r="E18" s="79"/>
      <c r="F18" s="560">
        <f>'1'!F36+'2'!F36+'3'!F36+'4'!F36+'5'!F36+'6'!F36+'7'!F36+'8'!F36+'9'!F36+'10'!F36+'11'!F36+'12'!F36+'13'!F36+'14'!F36+'15'!F36+'16'!F36+'17'!F36+'18'!F36+'19'!F36+'20'!F36</f>
        <v>0</v>
      </c>
      <c r="G18" s="560">
        <f>'1'!G36+'2'!G36+'3'!G36+'4'!G36+'5'!G36+'6'!G36+'7'!G36+'8'!G36+'9'!G36+'10'!G36+'11'!G36+'12'!G36+'13'!G36+'14'!G36+'15'!G36+'16'!G36+'17'!G36+'18'!G36+'19'!G36+'20'!G36</f>
        <v>0</v>
      </c>
      <c r="H18" s="560">
        <f>'1'!H36+'2'!H36+'3'!H36+'4'!H36+'5'!H36+'6'!H36+'7'!H36+'8'!H36+'9'!H36+'10'!H36+'11'!H36+'12'!H36+'13'!H36+'14'!H36+'15'!H36+'16'!H36+'17'!H36+'18'!H36+'19'!H36+'20'!H36</f>
        <v>0</v>
      </c>
      <c r="I18" s="560">
        <f>'1'!I36+'2'!I36+'3'!I36+'4'!I36+'5'!I36+'6'!I36+'7'!I36+'8'!I36+'9'!I36+'10'!I36+'11'!I36+'12'!I36+'13'!I36+'14'!I36+'15'!I36+'16'!I36+'17'!I36+'18'!I36+'19'!I36+'20'!I36</f>
        <v>0</v>
      </c>
      <c r="J18" s="80"/>
      <c r="K18" s="50"/>
    </row>
    <row r="19" spans="2:11">
      <c r="B19" s="63"/>
      <c r="C19" s="77"/>
      <c r="D19" s="78" t="s">
        <v>160</v>
      </c>
      <c r="E19" s="79"/>
      <c r="F19" s="560">
        <f>'1'!F37+'2'!F37+'3'!F37+'4'!F37+'5'!F37+'6'!F37+'7'!F37+'8'!F37+'9'!F37+'10'!F37+'11'!F37+'12'!F37+'13'!F37+'14'!F37+'15'!F37+'16'!F37+'17'!F37+'18'!F37+'19'!F37+'20'!F37</f>
        <v>0</v>
      </c>
      <c r="G19" s="560">
        <f>'1'!G37+'2'!G37+'3'!G37+'4'!G37+'5'!G37+'6'!G37+'7'!G37+'8'!G37+'9'!G37+'10'!G37+'11'!G37+'12'!G37+'13'!G37+'14'!G37+'15'!G37+'16'!G37+'17'!G37+'18'!G37+'19'!G37+'20'!G37</f>
        <v>0</v>
      </c>
      <c r="H19" s="560">
        <f>'1'!H37+'2'!H37+'3'!H37+'4'!H37+'5'!H37+'6'!H37+'7'!H37+'8'!H37+'9'!H37+'10'!H37+'11'!H37+'12'!H37+'13'!H37+'14'!H37+'15'!H37+'16'!H37+'17'!H37+'18'!H37+'19'!H37+'20'!H37</f>
        <v>0</v>
      </c>
      <c r="I19" s="560">
        <f>'1'!I37+'2'!I37+'3'!I37+'4'!I37+'5'!I37+'6'!I37+'7'!I37+'8'!I37+'9'!I37+'10'!I37+'11'!I37+'12'!I37+'13'!I37+'14'!I37+'15'!I37+'16'!I37+'17'!I37+'18'!I37+'19'!I37+'20'!I37</f>
        <v>0</v>
      </c>
      <c r="J19" s="80"/>
      <c r="K19" s="50"/>
    </row>
    <row r="20" spans="2:11">
      <c r="B20" s="63"/>
      <c r="C20" s="77"/>
      <c r="D20" s="78"/>
      <c r="E20" s="79"/>
      <c r="F20" s="339"/>
      <c r="G20" s="339"/>
      <c r="H20" s="339"/>
      <c r="I20" s="339"/>
      <c r="J20" s="80"/>
      <c r="K20" s="50"/>
    </row>
    <row r="21" spans="2:11">
      <c r="B21" s="63"/>
      <c r="C21" s="77"/>
      <c r="D21" s="352" t="s">
        <v>290</v>
      </c>
      <c r="E21" s="79"/>
      <c r="F21" s="339"/>
      <c r="G21" s="339"/>
      <c r="H21" s="339"/>
      <c r="I21" s="339"/>
      <c r="J21" s="80"/>
      <c r="K21" s="50"/>
    </row>
    <row r="22" spans="2:11">
      <c r="B22" s="63"/>
      <c r="C22" s="77"/>
      <c r="D22" s="78" t="s">
        <v>161</v>
      </c>
      <c r="E22" s="79"/>
      <c r="F22" s="560">
        <f>'1'!F38+'2'!F38+'3'!F38+'4'!F38+'5'!F38+'6'!F38+'7'!F38+'8'!F38+'9'!F38+'10'!F38+'11'!F38+'12'!F38+'13'!F38+'14'!F38+'15'!F38+'16'!F38+'17'!F38+'18'!F38+'19'!F38+'20'!F38</f>
        <v>0</v>
      </c>
      <c r="G22" s="560">
        <f>'1'!G38+'2'!G38+'3'!G38+'4'!G38+'5'!G38+'6'!G38+'7'!G38+'8'!G38+'9'!G38+'10'!G38+'11'!G38+'12'!G38+'13'!G38+'14'!G38+'15'!G38+'16'!G38+'17'!G38+'18'!G38+'19'!G38+'20'!G38</f>
        <v>0</v>
      </c>
      <c r="H22" s="560">
        <f>'1'!H38+'2'!H38+'3'!H38+'4'!H38+'5'!H38+'6'!H38+'7'!H38+'8'!H38+'9'!H38+'10'!H38+'11'!H38+'12'!H38+'13'!H38+'14'!H38+'15'!H38+'16'!H38+'17'!H38+'18'!H38+'19'!H38+'20'!H38</f>
        <v>0</v>
      </c>
      <c r="I22" s="560">
        <f>'1'!I38+'2'!I38+'3'!I38+'4'!I38+'5'!I38+'6'!I38+'7'!I38+'8'!I38+'9'!I38+'10'!I38+'11'!I38+'12'!I38+'13'!I38+'14'!I38+'15'!I38+'16'!I38+'17'!I38+'18'!I38+'19'!I38+'20'!I38</f>
        <v>0</v>
      </c>
      <c r="J22" s="80"/>
      <c r="K22" s="50"/>
    </row>
    <row r="23" spans="2:11">
      <c r="B23" s="63"/>
      <c r="C23" s="77"/>
      <c r="D23" s="78" t="s">
        <v>162</v>
      </c>
      <c r="E23" s="79"/>
      <c r="F23" s="560">
        <f>'1'!F39+'2'!F39+'3'!F39+'4'!F39+'5'!F39+'6'!F39+'7'!F39+'8'!F39+'9'!F39+'10'!F39+'11'!F39+'12'!F39+'13'!F39+'14'!F39+'15'!F39+'16'!F39+'17'!F39+'18'!F39+'19'!F39+'20'!F39</f>
        <v>0</v>
      </c>
      <c r="G23" s="560">
        <f>'1'!G39+'2'!G39+'3'!G39+'4'!G39+'5'!G39+'6'!G39+'7'!G39+'8'!G39+'9'!G39+'10'!G39+'11'!G39+'12'!G39+'13'!G39+'14'!G39+'15'!G39+'16'!G39+'17'!G39+'18'!G39+'19'!G39+'20'!G39</f>
        <v>0</v>
      </c>
      <c r="H23" s="560">
        <f>'1'!H39+'2'!H39+'3'!H39+'4'!H39+'5'!H39+'6'!H39+'7'!H39+'8'!H39+'9'!H39+'10'!H39+'11'!H39+'12'!H39+'13'!H39+'14'!H39+'15'!H39+'16'!H39+'17'!H39+'18'!H39+'19'!H39+'20'!H39</f>
        <v>0</v>
      </c>
      <c r="I23" s="560">
        <f>'1'!I39+'2'!I39+'3'!I39+'4'!I39+'5'!I39+'6'!I39+'7'!I39+'8'!I39+'9'!I39+'10'!I39+'11'!I39+'12'!I39+'13'!I39+'14'!I39+'15'!I39+'16'!I39+'17'!I39+'18'!I39+'19'!I39+'20'!I39</f>
        <v>0</v>
      </c>
      <c r="J23" s="80"/>
      <c r="K23" s="50"/>
    </row>
    <row r="24" spans="2:11">
      <c r="B24" s="63"/>
      <c r="C24" s="77"/>
      <c r="D24" s="78" t="s">
        <v>163</v>
      </c>
      <c r="E24" s="79"/>
      <c r="F24" s="560">
        <f>'1'!F40+'2'!F40+'3'!F40+'4'!F40+'5'!F40+'6'!F40+'7'!F40+'8'!F40+'9'!F40+'10'!F40+'11'!F40+'12'!F40+'13'!F40+'14'!F40+'15'!F40+'16'!F40+'17'!F40+'18'!F40+'19'!F40+'20'!F40</f>
        <v>0</v>
      </c>
      <c r="G24" s="560">
        <f>'1'!G40+'2'!G40+'3'!G40+'4'!G40+'5'!G40+'6'!G40+'7'!G40+'8'!G40+'9'!G40+'10'!G40+'11'!G40+'12'!G40+'13'!G40+'14'!G40+'15'!G40+'16'!G40+'17'!G40+'18'!G40+'19'!G40+'20'!G40</f>
        <v>0</v>
      </c>
      <c r="H24" s="560">
        <f>'1'!H40+'2'!H40+'3'!H40+'4'!H40+'5'!H40+'6'!H40+'7'!H40+'8'!H40+'9'!H40+'10'!H40+'11'!H40+'12'!H40+'13'!H40+'14'!H40+'15'!H40+'16'!H40+'17'!H40+'18'!H40+'19'!H40+'20'!H40</f>
        <v>0</v>
      </c>
      <c r="I24" s="560">
        <f>'1'!I40+'2'!I40+'3'!I40+'4'!I40+'5'!I40+'6'!I40+'7'!I40+'8'!I40+'9'!I40+'10'!I40+'11'!I40+'12'!I40+'13'!I40+'14'!I40+'15'!I40+'16'!I40+'17'!I40+'18'!I40+'19'!I40+'20'!I40</f>
        <v>0</v>
      </c>
      <c r="J24" s="80"/>
      <c r="K24" s="50"/>
    </row>
    <row r="25" spans="2:11">
      <c r="B25" s="63"/>
      <c r="C25" s="77"/>
      <c r="D25" s="78" t="s">
        <v>164</v>
      </c>
      <c r="E25" s="79"/>
      <c r="F25" s="560">
        <f>'1'!F41+'2'!F41+'3'!F41+'4'!F41+'5'!F41+'6'!F41+'7'!F41+'8'!F41+'9'!F41+'10'!F41+'11'!F41+'12'!F41+'13'!F41+'14'!F41+'15'!F41+'16'!F41+'17'!F41+'18'!F41+'19'!F41+'20'!F41</f>
        <v>0</v>
      </c>
      <c r="G25" s="560">
        <f>'1'!G41+'2'!G41+'3'!G41+'4'!G41+'5'!G41+'6'!G41+'7'!G41+'8'!G41+'9'!G41+'10'!G41+'11'!G41+'12'!G41+'13'!G41+'14'!G41+'15'!G41+'16'!G41+'17'!G41+'18'!G41+'19'!G41+'20'!G41</f>
        <v>0</v>
      </c>
      <c r="H25" s="560">
        <f>'1'!H41+'2'!H41+'3'!H41+'4'!H41+'5'!H41+'6'!H41+'7'!H41+'8'!H41+'9'!H41+'10'!H41+'11'!H41+'12'!H41+'13'!H41+'14'!H41+'15'!H41+'16'!H41+'17'!H41+'18'!H41+'19'!H41+'20'!H41</f>
        <v>0</v>
      </c>
      <c r="I25" s="560">
        <f>'1'!I41+'2'!I41+'3'!I41+'4'!I41+'5'!I41+'6'!I41+'7'!I41+'8'!I41+'9'!I41+'10'!I41+'11'!I41+'12'!I41+'13'!I41+'14'!I41+'15'!I41+'16'!I41+'17'!I41+'18'!I41+'19'!I41+'20'!I41</f>
        <v>0</v>
      </c>
      <c r="J25" s="80"/>
      <c r="K25" s="50"/>
    </row>
    <row r="26" spans="2:11">
      <c r="B26" s="63"/>
      <c r="C26" s="77"/>
      <c r="D26" s="86" t="s">
        <v>165</v>
      </c>
      <c r="E26" s="79"/>
      <c r="F26" s="560">
        <f>'1'!F42+'2'!F42+'3'!F42+'4'!F42+'5'!F42+'6'!F42+'7'!F42+'8'!F42+'9'!F42+'10'!F42+'11'!F42+'12'!F42+'13'!F42+'14'!F42+'15'!F42+'16'!F42+'17'!F42+'18'!F42+'19'!F42+'20'!F42</f>
        <v>0</v>
      </c>
      <c r="G26" s="560">
        <f>'1'!G42+'2'!G42+'3'!G42+'4'!G42+'5'!G42+'6'!G42+'7'!G42+'8'!G42+'9'!G42+'10'!G42+'11'!G42+'12'!G42+'13'!G42+'14'!G42+'15'!G42+'16'!G42+'17'!G42+'18'!G42+'19'!G42+'20'!G42</f>
        <v>0</v>
      </c>
      <c r="H26" s="560">
        <f>'1'!H42+'2'!H42+'3'!H42+'4'!H42+'5'!H42+'6'!H42+'7'!H42+'8'!H42+'9'!H42+'10'!H42+'11'!H42+'12'!H42+'13'!H42+'14'!H42+'15'!H42+'16'!H42+'17'!H42+'18'!H42+'19'!H42+'20'!H42</f>
        <v>0</v>
      </c>
      <c r="I26" s="560">
        <f>'1'!I42+'2'!I42+'3'!I42+'4'!I42+'5'!I42+'6'!I42+'7'!I42+'8'!I42+'9'!I42+'10'!I42+'11'!I42+'12'!I42+'13'!I42+'14'!I42+'15'!I42+'16'!I42+'17'!I42+'18'!I42+'19'!I42+'20'!I42</f>
        <v>0</v>
      </c>
      <c r="J26" s="80"/>
      <c r="K26" s="50"/>
    </row>
    <row r="27" spans="2:11">
      <c r="B27" s="63"/>
      <c r="C27" s="77"/>
      <c r="D27" s="86" t="s">
        <v>166</v>
      </c>
      <c r="E27" s="79"/>
      <c r="F27" s="560">
        <f>'1'!F43+'2'!F43+'3'!F43+'4'!F43+'5'!F43+'6'!F43+'7'!F43+'8'!F43+'9'!F43+'10'!F43+'11'!F43+'12'!F43+'13'!F43+'14'!F43+'15'!F43+'16'!F43+'17'!F43+'18'!F43+'19'!F43+'20'!F43</f>
        <v>0</v>
      </c>
      <c r="G27" s="560">
        <f>'1'!G43+'2'!G43+'3'!G43+'4'!G43+'5'!G43+'6'!G43+'7'!G43+'8'!G43+'9'!G43+'10'!G43+'11'!G43+'12'!G43+'13'!G43+'14'!G43+'15'!G43+'16'!G43+'17'!G43+'18'!G43+'19'!G43+'20'!G43</f>
        <v>0</v>
      </c>
      <c r="H27" s="560">
        <f>'1'!H43+'2'!H43+'3'!H43+'4'!H43+'5'!H43+'6'!H43+'7'!H43+'8'!H43+'9'!H43+'10'!H43+'11'!H43+'12'!H43+'13'!H43+'14'!H43+'15'!H43+'16'!H43+'17'!H43+'18'!H43+'19'!H43+'20'!H43</f>
        <v>0</v>
      </c>
      <c r="I27" s="560">
        <f>'1'!I43+'2'!I43+'3'!I43+'4'!I43+'5'!I43+'6'!I43+'7'!I43+'8'!I43+'9'!I43+'10'!I43+'11'!I43+'12'!I43+'13'!I43+'14'!I43+'15'!I43+'16'!I43+'17'!I43+'18'!I43+'19'!I43+'20'!I43</f>
        <v>0</v>
      </c>
      <c r="J27" s="80"/>
      <c r="K27" s="50"/>
    </row>
    <row r="28" spans="2:11">
      <c r="B28" s="63"/>
      <c r="C28" s="77"/>
      <c r="D28" s="86" t="s">
        <v>167</v>
      </c>
      <c r="E28" s="79"/>
      <c r="F28" s="560">
        <f>'1'!F44+'2'!F44+'3'!F44+'4'!F44+'5'!F44+'6'!F44+'7'!F44+'8'!F44+'9'!F44+'10'!F44+'11'!F44+'12'!F44+'13'!F44+'14'!F44+'15'!F44+'16'!F44+'17'!F44+'18'!F44+'19'!F44+'20'!F44</f>
        <v>0</v>
      </c>
      <c r="G28" s="560">
        <f>'1'!G44+'2'!G44+'3'!G44+'4'!G44+'5'!G44+'6'!G44+'7'!G44+'8'!G44+'9'!G44+'10'!G44+'11'!G44+'12'!G44+'13'!G44+'14'!G44+'15'!G44+'16'!G44+'17'!G44+'18'!G44+'19'!G44+'20'!G44</f>
        <v>0</v>
      </c>
      <c r="H28" s="560">
        <f>'1'!H44+'2'!H44+'3'!H44+'4'!H44+'5'!H44+'6'!H44+'7'!H44+'8'!H44+'9'!H44+'10'!H44+'11'!H44+'12'!H44+'13'!H44+'14'!H44+'15'!H44+'16'!H44+'17'!H44+'18'!H44+'19'!H44+'20'!H44</f>
        <v>0</v>
      </c>
      <c r="I28" s="560">
        <f>'1'!I44+'2'!I44+'3'!I44+'4'!I44+'5'!I44+'6'!I44+'7'!I44+'8'!I44+'9'!I44+'10'!I44+'11'!I44+'12'!I44+'13'!I44+'14'!I44+'15'!I44+'16'!I44+'17'!I44+'18'!I44+'19'!I44+'20'!I44</f>
        <v>0</v>
      </c>
      <c r="J28" s="80"/>
      <c r="K28" s="50"/>
    </row>
    <row r="29" spans="2:11">
      <c r="B29" s="63"/>
      <c r="C29" s="77"/>
      <c r="D29" s="86" t="s">
        <v>168</v>
      </c>
      <c r="E29" s="79"/>
      <c r="F29" s="560">
        <f>'1'!F45+'2'!F45+'3'!F45+'4'!F45+'5'!F45+'6'!F45+'7'!F45+'8'!F45+'9'!F45+'10'!F45+'11'!F45+'12'!F45+'13'!F45+'14'!F45+'15'!F45+'16'!F45+'17'!F45+'18'!F45+'19'!F45+'20'!F45</f>
        <v>0</v>
      </c>
      <c r="G29" s="560">
        <f>'1'!G45+'2'!G45+'3'!G45+'4'!G45+'5'!G45+'6'!G45+'7'!G45+'8'!G45+'9'!G45+'10'!G45+'11'!G45+'12'!G45+'13'!G45+'14'!G45+'15'!G45+'16'!G45+'17'!G45+'18'!G45+'19'!G45+'20'!G45</f>
        <v>0</v>
      </c>
      <c r="H29" s="560">
        <f>'1'!H45+'2'!H45+'3'!H45+'4'!H45+'5'!H45+'6'!H45+'7'!H45+'8'!H45+'9'!H45+'10'!H45+'11'!H45+'12'!H45+'13'!H45+'14'!H45+'15'!H45+'16'!H45+'17'!H45+'18'!H45+'19'!H45+'20'!H45</f>
        <v>0</v>
      </c>
      <c r="I29" s="560">
        <f>'1'!I45+'2'!I45+'3'!I45+'4'!I45+'5'!I45+'6'!I45+'7'!I45+'8'!I45+'9'!I45+'10'!I45+'11'!I45+'12'!I45+'13'!I45+'14'!I45+'15'!I45+'16'!I45+'17'!I45+'18'!I45+'19'!I45+'20'!I45</f>
        <v>0</v>
      </c>
      <c r="J29" s="80"/>
      <c r="K29" s="50"/>
    </row>
    <row r="30" spans="2:11">
      <c r="B30" s="63"/>
      <c r="C30" s="77"/>
      <c r="D30" s="86" t="s">
        <v>169</v>
      </c>
      <c r="E30" s="79"/>
      <c r="F30" s="560">
        <f>'1'!F46+'2'!F46+'3'!F46+'4'!F46+'5'!F46+'6'!F46+'7'!F46+'8'!F46+'9'!F46+'10'!F46+'11'!F46+'12'!F46+'13'!F46+'14'!F46+'15'!F46+'16'!F46+'17'!F46+'18'!F46+'19'!F46+'20'!F46</f>
        <v>0</v>
      </c>
      <c r="G30" s="560">
        <f>'1'!G46+'2'!G46+'3'!G46+'4'!G46+'5'!G46+'6'!G46+'7'!G46+'8'!G46+'9'!G46+'10'!G46+'11'!G46+'12'!G46+'13'!G46+'14'!G46+'15'!G46+'16'!G46+'17'!G46+'18'!G46+'19'!G46+'20'!G46</f>
        <v>0</v>
      </c>
      <c r="H30" s="560">
        <f>'1'!H46+'2'!H46+'3'!H46+'4'!H46+'5'!H46+'6'!H46+'7'!H46+'8'!H46+'9'!H46+'10'!H46+'11'!H46+'12'!H46+'13'!H46+'14'!H46+'15'!H46+'16'!H46+'17'!H46+'18'!H46+'19'!H46+'20'!H46</f>
        <v>0</v>
      </c>
      <c r="I30" s="560">
        <f>'1'!I46+'2'!I46+'3'!I46+'4'!I46+'5'!I46+'6'!I46+'7'!I46+'8'!I46+'9'!I46+'10'!I46+'11'!I46+'12'!I46+'13'!I46+'14'!I46+'15'!I46+'16'!I46+'17'!I46+'18'!I46+'19'!I46+'20'!I46</f>
        <v>0</v>
      </c>
      <c r="J30" s="80"/>
      <c r="K30" s="50"/>
    </row>
    <row r="31" spans="2:11">
      <c r="B31" s="63"/>
      <c r="C31" s="77"/>
      <c r="D31" s="86" t="s">
        <v>170</v>
      </c>
      <c r="E31" s="79"/>
      <c r="F31" s="560">
        <f>'1'!F47+'2'!F47+'3'!F47+'4'!F47+'5'!F47+'6'!F47+'7'!F47+'8'!F47+'9'!F47+'10'!F47+'11'!F47+'12'!F47+'13'!F47+'14'!F47+'15'!F47+'16'!F47+'17'!F47+'18'!F47+'19'!F47+'20'!F47</f>
        <v>0</v>
      </c>
      <c r="G31" s="339"/>
      <c r="H31" s="339"/>
      <c r="I31" s="339"/>
      <c r="J31" s="80"/>
      <c r="K31" s="50"/>
    </row>
    <row r="32" spans="2:11">
      <c r="B32" s="63"/>
      <c r="C32" s="77"/>
      <c r="D32" s="86" t="s">
        <v>171</v>
      </c>
      <c r="E32" s="79"/>
      <c r="F32" s="560">
        <f>'1'!F48+'2'!F48+'3'!F48+'4'!F48+'5'!F48+'6'!F48+'7'!F48+'8'!F48+'9'!F48+'10'!F48+'11'!F48+'12'!F48+'13'!F48+'14'!F48+'15'!F48+'16'!F48+'17'!F48+'18'!F48+'19'!F48+'20'!F48</f>
        <v>0</v>
      </c>
      <c r="G32" s="339"/>
      <c r="H32" s="339"/>
      <c r="I32" s="339"/>
      <c r="J32" s="80"/>
      <c r="K32" s="50"/>
    </row>
    <row r="33" spans="2:13">
      <c r="B33" s="63"/>
      <c r="C33" s="77"/>
      <c r="D33" s="86" t="s">
        <v>172</v>
      </c>
      <c r="E33" s="79"/>
      <c r="F33" s="560">
        <f>'1'!F49+'2'!F49+'3'!F49+'4'!F49+'5'!F49+'6'!F49+'7'!F49+'8'!F49+'9'!F49+'10'!F49+'11'!F49+'12'!F49+'13'!F49+'14'!F49+'15'!F49+'16'!F49+'17'!F49+'18'!F49+'19'!F49+'20'!F49</f>
        <v>0</v>
      </c>
      <c r="G33" s="339"/>
      <c r="H33" s="339"/>
      <c r="I33" s="339"/>
      <c r="J33" s="80"/>
      <c r="K33" s="50"/>
    </row>
    <row r="34" spans="2:13">
      <c r="B34" s="63"/>
      <c r="C34" s="88"/>
      <c r="D34" s="89"/>
      <c r="E34" s="89"/>
      <c r="F34" s="547"/>
      <c r="G34" s="547"/>
      <c r="H34" s="547"/>
      <c r="I34" s="547"/>
      <c r="J34" s="91"/>
      <c r="K34" s="50"/>
    </row>
    <row r="35" spans="2:13">
      <c r="B35" s="63"/>
      <c r="C35" s="49"/>
      <c r="D35" s="49"/>
      <c r="E35" s="49"/>
      <c r="F35" s="49"/>
      <c r="G35" s="275"/>
      <c r="H35" s="275"/>
      <c r="I35" s="275"/>
      <c r="J35" s="49"/>
      <c r="K35" s="50"/>
    </row>
    <row r="36" spans="2:13">
      <c r="B36" s="63"/>
      <c r="C36" s="73"/>
      <c r="D36" s="74"/>
      <c r="E36" s="74"/>
      <c r="F36" s="188"/>
      <c r="G36" s="188"/>
      <c r="H36" s="188"/>
      <c r="I36" s="188"/>
      <c r="J36" s="189"/>
      <c r="K36" s="50"/>
    </row>
    <row r="37" spans="2:13">
      <c r="B37" s="63"/>
      <c r="C37" s="77"/>
      <c r="D37" s="87" t="s">
        <v>116</v>
      </c>
      <c r="E37" s="79"/>
      <c r="F37" s="367">
        <f>'1'!F54+'2'!F54+'3'!F54+'4'!F54+'5'!F54+'6'!F54+'7'!F54+'8'!F54+'9'!F54+'10'!F54+'11'!F54+'12'!F54+'13'!F54+'14'!F54+'15'!F54+'16'!F54+'17'!F54+'18'!F54+'19'!F54+'20'!F54</f>
        <v>0</v>
      </c>
      <c r="G37" s="367">
        <f>'1'!G54+'2'!G54+'3'!G54+'4'!G54+'5'!G54+'6'!G54+'7'!G54+'8'!G54+'9'!G54+'10'!G54+'11'!G54+'12'!G54+'13'!G54+'14'!G54+'15'!G54+'16'!G54+'17'!G54+'18'!G54+'19'!G54+'20'!G54</f>
        <v>0</v>
      </c>
      <c r="H37" s="367">
        <f>'1'!H54+'2'!H54+'3'!H54+'4'!H54+'5'!H54+'6'!H54+'7'!H54+'8'!H54+'9'!H54+'10'!H54+'11'!H54+'12'!H54+'13'!H54+'14'!H54+'15'!H54+'16'!H54+'17'!H54+'18'!H54+'19'!H54+'20'!H54</f>
        <v>0</v>
      </c>
      <c r="I37" s="367">
        <f>'1'!I54+'2'!I54+'3'!I54+'4'!I54+'5'!I54+'6'!I54+'7'!I54+'8'!I54+'9'!I54+'10'!I54+'11'!I54+'12'!I54+'13'!I54+'14'!I54+'15'!I54+'16'!I54+'17'!I54+'18'!I54+'19'!I54+'20'!I54</f>
        <v>0</v>
      </c>
      <c r="J37" s="80"/>
      <c r="K37" s="50"/>
    </row>
    <row r="38" spans="2:13">
      <c r="B38" s="63"/>
      <c r="C38" s="77"/>
      <c r="D38" s="87" t="s">
        <v>117</v>
      </c>
      <c r="E38" s="79"/>
      <c r="F38" s="367">
        <f>'1'!F55+'2'!F55+'3'!F55+'4'!F55+'5'!F55+'6'!F55+'7'!F55+'8'!F55+'9'!F55+'10'!F55+'11'!F55+'12'!F55+'13'!F55+'14'!F55+'15'!F55+'16'!F55+'17'!F55+'18'!F55+'19'!F55+'20'!F55</f>
        <v>0</v>
      </c>
      <c r="G38" s="367">
        <f>'1'!G55+'2'!G55+'3'!G55+'4'!G55+'5'!G55+'6'!G55+'7'!G55+'8'!G55+'9'!G55+'10'!G55+'11'!G55+'12'!G55+'13'!G55+'14'!G55+'15'!G55+'16'!G55+'17'!G55+'18'!G55+'19'!G55+'20'!G55</f>
        <v>0</v>
      </c>
      <c r="H38" s="367">
        <f>'1'!H55+'2'!H55+'3'!H55+'4'!H55+'5'!H55+'6'!H55+'7'!H55+'8'!H55+'9'!H55+'10'!H55+'11'!H55+'12'!H55+'13'!H55+'14'!H55+'15'!H55+'16'!H55+'17'!H55+'18'!H55+'19'!H55+'20'!H55</f>
        <v>0</v>
      </c>
      <c r="I38" s="367">
        <f>'1'!I55+'2'!I55+'3'!I55+'4'!I55+'5'!I55+'6'!I55+'7'!I55+'8'!I55+'9'!I55+'10'!I55+'11'!I55+'12'!I55+'13'!I55+'14'!I55+'15'!I55+'16'!I55+'17'!I55+'18'!I55+'19'!I55+'20'!I55</f>
        <v>0</v>
      </c>
      <c r="J38" s="80"/>
      <c r="K38" s="50"/>
    </row>
    <row r="39" spans="2:13">
      <c r="B39" s="63"/>
      <c r="C39" s="77"/>
      <c r="D39" s="87" t="s">
        <v>343</v>
      </c>
      <c r="E39" s="79"/>
      <c r="F39" s="367">
        <f>'1'!F56+'2'!F56+'3'!F56+'4'!F56+'5'!F56+'6'!F56+'7'!F56+'8'!F56+'9'!F56+'10'!F56+'11'!F56+'12'!F56+'13'!F56+'14'!F56+'15'!F56+'16'!F56+'17'!F56+'18'!F56+'19'!F56+'20'!F56</f>
        <v>0</v>
      </c>
      <c r="G39" s="367">
        <f>'1'!G56+'2'!G56+'3'!G56+'4'!G56+'5'!G56+'6'!G56+'7'!G56+'8'!G56+'9'!G56+'10'!G56+'11'!G56+'12'!G56+'13'!G56+'14'!G56+'15'!G56+'16'!G56+'17'!G56+'18'!G56+'19'!G56+'20'!G56</f>
        <v>0</v>
      </c>
      <c r="H39" s="367">
        <f>'1'!H56+'2'!H56+'3'!H56+'4'!H56+'5'!H56+'6'!H56+'7'!H56+'8'!H56+'9'!H56+'10'!H56+'11'!H56+'12'!H56+'13'!H56+'14'!H56+'15'!H56+'16'!H56+'17'!H56+'18'!H56+'19'!H56+'20'!H56</f>
        <v>0</v>
      </c>
      <c r="I39" s="367">
        <f>'1'!I56+'2'!I56+'3'!I56+'4'!I56+'5'!I56+'6'!I56+'7'!I56+'8'!I56+'9'!I56+'10'!I56+'11'!I56+'12'!I56+'13'!I56+'14'!I56+'15'!I56+'16'!I56+'17'!I56+'18'!I56+'19'!I56+'20'!I56</f>
        <v>0</v>
      </c>
      <c r="J39" s="80"/>
      <c r="K39" s="50"/>
    </row>
    <row r="40" spans="2:13">
      <c r="B40" s="63"/>
      <c r="C40" s="77"/>
      <c r="D40" s="87" t="s">
        <v>148</v>
      </c>
      <c r="E40" s="79"/>
      <c r="F40" s="367">
        <f>7/12*loon!M35+5/12*loon!M67</f>
        <v>0</v>
      </c>
      <c r="G40" s="367">
        <f>7/12*loon!M67+5/12*loon!M100</f>
        <v>0</v>
      </c>
      <c r="H40" s="367">
        <f>7/12*loon!M100+5/12*loon!M132</f>
        <v>0</v>
      </c>
      <c r="I40" s="367">
        <f>7/12*loon!M132+5/12*loon!M164</f>
        <v>0</v>
      </c>
      <c r="J40" s="80"/>
      <c r="K40" s="50"/>
    </row>
    <row r="41" spans="2:13">
      <c r="B41" s="63"/>
      <c r="C41" s="88"/>
      <c r="D41" s="585" t="s">
        <v>77</v>
      </c>
      <c r="E41" s="89"/>
      <c r="F41" s="584">
        <f>SUM(F37:F40)</f>
        <v>0</v>
      </c>
      <c r="G41" s="584">
        <f>SUM(G37:G40)</f>
        <v>0</v>
      </c>
      <c r="H41" s="584">
        <f>SUM(H37:H40)</f>
        <v>0</v>
      </c>
      <c r="I41" s="584">
        <f>SUM(I37:I40)</f>
        <v>0</v>
      </c>
      <c r="J41" s="91"/>
      <c r="K41" s="50"/>
    </row>
    <row r="42" spans="2:13">
      <c r="B42" s="63"/>
      <c r="C42" s="88"/>
      <c r="D42" s="228"/>
      <c r="E42" s="89"/>
      <c r="F42" s="547"/>
      <c r="G42" s="547"/>
      <c r="H42" s="547"/>
      <c r="I42" s="547"/>
      <c r="J42" s="91"/>
      <c r="K42" s="50"/>
    </row>
    <row r="43" spans="2:13">
      <c r="B43" s="63"/>
      <c r="C43" s="64"/>
      <c r="D43" s="412"/>
      <c r="E43" s="49"/>
      <c r="F43" s="49"/>
      <c r="G43" s="49"/>
      <c r="H43" s="49"/>
      <c r="I43" s="49"/>
      <c r="J43" s="49"/>
      <c r="K43" s="50"/>
    </row>
    <row r="44" spans="2:13">
      <c r="B44" s="63"/>
      <c r="C44" s="73"/>
      <c r="D44" s="311"/>
      <c r="E44" s="74"/>
      <c r="F44" s="548"/>
      <c r="G44" s="548"/>
      <c r="H44" s="548"/>
      <c r="I44" s="548"/>
      <c r="J44" s="549"/>
      <c r="K44" s="50"/>
    </row>
    <row r="45" spans="2:13">
      <c r="B45" s="63"/>
      <c r="C45" s="77"/>
      <c r="D45" s="586" t="s">
        <v>291</v>
      </c>
      <c r="E45" s="79"/>
      <c r="F45" s="201"/>
      <c r="G45" s="201"/>
      <c r="H45" s="201"/>
      <c r="I45" s="201"/>
      <c r="J45" s="80"/>
      <c r="K45" s="50"/>
    </row>
    <row r="46" spans="2:13">
      <c r="B46" s="63"/>
      <c r="C46" s="77"/>
      <c r="D46" s="78" t="s">
        <v>111</v>
      </c>
      <c r="E46" s="79"/>
      <c r="F46" s="444">
        <f>'1'!F51+'2'!F51+'3'!F51+'4'!F51+'5'!F51+'6'!F51+'7'!F51+'8'!F51+'9'!F51+'10'!F51+'11'!F51+'12'!F51+'13'!F51+'14'!F51+'15'!F51+'16'!F51+'17'!F51+'18'!F51+'19'!F51+'20'!F51</f>
        <v>0</v>
      </c>
      <c r="G46" s="444">
        <f>'1'!G51+'2'!G51+'3'!G51+'4'!G51+'5'!G51+'6'!G51+'7'!G51+'8'!G51+'9'!G51+'10'!G51+'11'!G51+'12'!G51+'13'!G51+'14'!G51+'15'!G51+'16'!G51+'17'!G51+'18'!G51+'19'!G51+'20'!G51</f>
        <v>0</v>
      </c>
      <c r="H46" s="444">
        <f>'1'!H51+'2'!H51+'3'!H51+'4'!H51+'5'!H51+'6'!H51+'7'!H51+'8'!H51+'9'!H51+'10'!H51+'11'!H51+'12'!H51+'13'!H51+'14'!H51+'15'!H51+'16'!H51+'17'!H51+'18'!H51+'19'!H51+'20'!H51</f>
        <v>0</v>
      </c>
      <c r="I46" s="444">
        <f>'1'!I51+'2'!I51+'3'!I51+'4'!I51+'5'!I51+'6'!I51+'7'!I51+'8'!I51+'9'!I51+'10'!I51+'11'!I51+'12'!I51+'13'!I51+'14'!I51+'15'!I51+'16'!I51+'17'!I51+'18'!I51+'19'!I51+'20'!I51</f>
        <v>0</v>
      </c>
      <c r="J46" s="80"/>
      <c r="K46" s="50"/>
    </row>
    <row r="47" spans="2:13">
      <c r="B47" s="63"/>
      <c r="C47" s="77"/>
      <c r="D47" s="78" t="s">
        <v>241</v>
      </c>
      <c r="E47" s="79"/>
      <c r="F47" s="444">
        <f>(7/12*loon!S35)+(5/12*loon!S67)</f>
        <v>0</v>
      </c>
      <c r="G47" s="444">
        <f>(7/12*loon!S67)+(5/12*loon!S100)</f>
        <v>0</v>
      </c>
      <c r="H47" s="444">
        <f>(7/12*loon!S100)+(5/12*loon!S132)</f>
        <v>0</v>
      </c>
      <c r="I47" s="444">
        <f>(7/12*loon!S132)+(5/12*loon!S164)</f>
        <v>0</v>
      </c>
      <c r="J47" s="80"/>
      <c r="K47" s="50"/>
      <c r="M47" s="99"/>
    </row>
    <row r="48" spans="2:13">
      <c r="B48" s="63"/>
      <c r="C48" s="77"/>
      <c r="D48" s="453" t="s">
        <v>77</v>
      </c>
      <c r="E48" s="79"/>
      <c r="F48" s="254">
        <f>SUM(F46:F47)</f>
        <v>0</v>
      </c>
      <c r="G48" s="254">
        <f>SUM(G46:G47)</f>
        <v>0</v>
      </c>
      <c r="H48" s="254">
        <f>SUM(H46:H47)</f>
        <v>0</v>
      </c>
      <c r="I48" s="254">
        <f>SUM(I46:I47)</f>
        <v>0</v>
      </c>
      <c r="J48" s="80"/>
      <c r="K48" s="50"/>
      <c r="M48" s="99"/>
    </row>
    <row r="49" spans="2:13">
      <c r="B49" s="63"/>
      <c r="C49" s="77"/>
      <c r="D49" s="550"/>
      <c r="E49" s="79"/>
      <c r="F49" s="191"/>
      <c r="G49" s="201"/>
      <c r="H49" s="201"/>
      <c r="I49" s="201"/>
      <c r="J49" s="551"/>
      <c r="K49" s="50"/>
    </row>
    <row r="50" spans="2:13">
      <c r="B50" s="63"/>
      <c r="C50" s="77"/>
      <c r="D50" s="586" t="s">
        <v>50</v>
      </c>
      <c r="E50" s="79"/>
      <c r="F50" s="201"/>
      <c r="G50" s="201"/>
      <c r="H50" s="201"/>
      <c r="I50" s="201"/>
      <c r="J50" s="551"/>
      <c r="K50" s="50"/>
    </row>
    <row r="51" spans="2:13">
      <c r="B51" s="63"/>
      <c r="C51" s="77"/>
      <c r="D51" s="78" t="s">
        <v>111</v>
      </c>
      <c r="E51" s="79"/>
      <c r="F51" s="444">
        <f>'1'!F52+'2'!F52+'3'!F52+'4'!F52+'5'!F52+'6'!F52+'7'!F52+'8'!F52+'9'!F52+'10'!F52+'11'!F52+'12'!F52+'13'!F52+'14'!F52+'15'!F52+'16'!F52+'17'!F52+'18'!F52+'19'!F52+'20'!F52</f>
        <v>0</v>
      </c>
      <c r="G51" s="444">
        <f>'1'!F52+'2'!F52+'3'!F52+'4'!F52+'5'!F52+'6'!F52+'7'!F52+'8'!F52+'9'!F52+'10'!F52+'11'!F52+'12'!F52+'13'!F52+'14'!F52+'15'!F52+'16'!F52+'17'!F52+'18'!F52+'19'!F52+'20'!F52</f>
        <v>0</v>
      </c>
      <c r="H51" s="444">
        <f>'1'!F52+'2'!F52+'3'!F52+'4'!F52+'5'!F52+'6'!F52+'7'!F52+'8'!F52+'9'!F52+'10'!F52+'11'!F52+'12'!F52+'13'!F52+'14'!F52+'15'!F52+'16'!F52+'17'!F52+'18'!F52+'19'!F52+'20'!F52</f>
        <v>0</v>
      </c>
      <c r="I51" s="444">
        <f>'1'!F52+'2'!F52+'3'!F52+'4'!F52+'5'!F52+'6'!F52+'7'!F52+'8'!F52+'9'!F52+'10'!F52+'11'!F52+'12'!F52+'13'!F52+'14'!F52+'15'!F52+'16'!F52+'17'!F52+'18'!F52+'19'!F52+'20'!F52</f>
        <v>0</v>
      </c>
      <c r="J51" s="551"/>
      <c r="K51" s="50"/>
    </row>
    <row r="52" spans="2:13">
      <c r="B52" s="63"/>
      <c r="C52" s="77"/>
      <c r="D52" s="78" t="s">
        <v>241</v>
      </c>
      <c r="E52" s="79"/>
      <c r="F52" s="444">
        <f>(7/12*loon!V35)+(5/12*loon!V67)</f>
        <v>0</v>
      </c>
      <c r="G52" s="444">
        <f>(7/12*loon!V67)+(5/12*loon!V100)</f>
        <v>0</v>
      </c>
      <c r="H52" s="444">
        <f>(7/12*loon!V100)+(5/12*loon!V132)</f>
        <v>0</v>
      </c>
      <c r="I52" s="444">
        <f>(7/12*loon!V132)+(5/12*loon!V164)</f>
        <v>0</v>
      </c>
      <c r="J52" s="551"/>
      <c r="K52" s="50"/>
    </row>
    <row r="53" spans="2:13">
      <c r="B53" s="63"/>
      <c r="C53" s="77"/>
      <c r="D53" s="453" t="s">
        <v>77</v>
      </c>
      <c r="E53" s="79"/>
      <c r="F53" s="254">
        <f>SUM(F51:F52)</f>
        <v>0</v>
      </c>
      <c r="G53" s="254">
        <f>SUM(G51:G52)</f>
        <v>0</v>
      </c>
      <c r="H53" s="254">
        <f>SUM(H51:H52)</f>
        <v>0</v>
      </c>
      <c r="I53" s="254">
        <f>SUM(I51:I52)</f>
        <v>0</v>
      </c>
      <c r="J53" s="551"/>
      <c r="K53" s="50"/>
    </row>
    <row r="54" spans="2:13">
      <c r="B54" s="63"/>
      <c r="C54" s="88"/>
      <c r="D54" s="552"/>
      <c r="E54" s="89"/>
      <c r="F54" s="348"/>
      <c r="G54" s="348"/>
      <c r="H54" s="348"/>
      <c r="I54" s="348"/>
      <c r="J54" s="553"/>
      <c r="K54" s="50"/>
    </row>
    <row r="55" spans="2:13">
      <c r="B55" s="63"/>
      <c r="C55" s="64"/>
      <c r="D55" s="412"/>
      <c r="E55" s="49"/>
      <c r="F55" s="49"/>
      <c r="G55" s="49"/>
      <c r="H55" s="49"/>
      <c r="I55" s="49"/>
      <c r="J55" s="49"/>
      <c r="K55" s="50"/>
    </row>
    <row r="56" spans="2:13">
      <c r="B56" s="63"/>
      <c r="C56" s="73"/>
      <c r="D56" s="74"/>
      <c r="E56" s="74"/>
      <c r="F56" s="74"/>
      <c r="G56" s="74"/>
      <c r="H56" s="74"/>
      <c r="I56" s="74"/>
      <c r="J56" s="189"/>
      <c r="K56" s="50"/>
    </row>
    <row r="57" spans="2:13">
      <c r="B57" s="63"/>
      <c r="C57" s="77"/>
      <c r="D57" s="352" t="s">
        <v>80</v>
      </c>
      <c r="E57" s="79"/>
      <c r="F57" s="79"/>
      <c r="G57" s="79"/>
      <c r="H57" s="79"/>
      <c r="I57" s="79"/>
      <c r="J57" s="80"/>
      <c r="K57" s="50"/>
    </row>
    <row r="58" spans="2:13">
      <c r="B58" s="63"/>
      <c r="C58" s="77"/>
      <c r="D58" s="78" t="s">
        <v>111</v>
      </c>
      <c r="E58" s="79"/>
      <c r="F58" s="441">
        <f>'1'!F64+'2'!F64+'3'!F64+'4'!F64+'5'!F64+'6'!F64+'7'!F64+'8'!F64+'9'!F64+'10'!F64+'11'!F64+'12'!F64+'13'!F64+'14'!F64+'15'!F64+'16'!F64+'17'!F64+'18'!F64+'19'!F64+'20'!F64</f>
        <v>0</v>
      </c>
      <c r="G58" s="441">
        <f>'1'!G64+'2'!G64+'3'!G64+'4'!G64+'5'!G64+'6'!G64+'7'!G64+'8'!G64+'9'!G64+'10'!G64+'11'!G64+'12'!G64+'13'!G64+'14'!G64+'15'!G64+'16'!G64+'17'!G64+'18'!G64+'19'!G64+'20'!G64</f>
        <v>0</v>
      </c>
      <c r="H58" s="441">
        <f>'1'!H64+'2'!H64+'3'!H64+'4'!H64+'5'!H64+'6'!H64+'7'!H64+'8'!H64+'9'!H64+'10'!H64+'11'!H64+'12'!H64+'13'!H64+'14'!H64+'15'!H64+'16'!H64+'17'!H64+'18'!H64+'19'!H64+'20'!H64</f>
        <v>0</v>
      </c>
      <c r="I58" s="441">
        <f>'1'!I64+'2'!I64+'3'!I64+'4'!I64+'5'!I64+'6'!I64+'7'!I64+'8'!I64+'9'!I64+'10'!I64+'11'!I64+'12'!I64+'13'!I64+'14'!I64+'15'!I64+'16'!I64+'17'!I64+'18'!I64+'19'!I64+'20'!I64</f>
        <v>0</v>
      </c>
      <c r="J58" s="80"/>
      <c r="K58" s="50"/>
    </row>
    <row r="59" spans="2:13">
      <c r="B59" s="63"/>
      <c r="C59" s="77"/>
      <c r="D59" s="78" t="s">
        <v>241</v>
      </c>
      <c r="E59" s="79"/>
      <c r="F59" s="441">
        <f>'begr(bk)'!H58+'begr(bk)'!H171</f>
        <v>0</v>
      </c>
      <c r="G59" s="441">
        <f>'begr(bk)'!I58+'begr(bk)'!I171</f>
        <v>0</v>
      </c>
      <c r="H59" s="441">
        <f>'begr(bk)'!J58+'begr(bk)'!J171</f>
        <v>0</v>
      </c>
      <c r="I59" s="441">
        <f>'begr(bk)'!K58+'begr(bk)'!K171</f>
        <v>0</v>
      </c>
      <c r="J59" s="80"/>
      <c r="K59" s="50"/>
      <c r="M59" s="99"/>
    </row>
    <row r="60" spans="2:13">
      <c r="B60" s="63"/>
      <c r="C60" s="77"/>
      <c r="D60" s="193" t="s">
        <v>77</v>
      </c>
      <c r="E60" s="79"/>
      <c r="F60" s="254">
        <f>SUM(F58:F59)</f>
        <v>0</v>
      </c>
      <c r="G60" s="254">
        <f>SUM(G58:G59)</f>
        <v>0</v>
      </c>
      <c r="H60" s="254">
        <f>SUM(H58:H59)</f>
        <v>0</v>
      </c>
      <c r="I60" s="254">
        <f>SUM(I58:I59)</f>
        <v>0</v>
      </c>
      <c r="J60" s="80"/>
      <c r="K60" s="50"/>
      <c r="M60" s="99"/>
    </row>
    <row r="61" spans="2:13" s="102" customFormat="1">
      <c r="B61" s="415"/>
      <c r="C61" s="554"/>
      <c r="D61" s="562" t="s">
        <v>109</v>
      </c>
      <c r="E61" s="448"/>
      <c r="F61" s="561" t="e">
        <f>F60/(F$15+F$18+F$24)</f>
        <v>#DIV/0!</v>
      </c>
      <c r="G61" s="561" t="e">
        <f>G60/(G$15+G$18+G$24)</f>
        <v>#DIV/0!</v>
      </c>
      <c r="H61" s="561" t="e">
        <f>H60/(H$15+H$18+H$24)</f>
        <v>#DIV/0!</v>
      </c>
      <c r="I61" s="561" t="e">
        <f>I60/(I$15+I$18+I$24)</f>
        <v>#DIV/0!</v>
      </c>
      <c r="J61" s="450"/>
      <c r="K61" s="416"/>
      <c r="M61" s="103"/>
    </row>
    <row r="62" spans="2:13">
      <c r="B62" s="63"/>
      <c r="C62" s="77"/>
      <c r="D62" s="78"/>
      <c r="E62" s="79"/>
      <c r="F62" s="546"/>
      <c r="G62" s="546"/>
      <c r="H62" s="546"/>
      <c r="I62" s="546"/>
      <c r="J62" s="80"/>
      <c r="K62" s="50"/>
    </row>
    <row r="63" spans="2:13">
      <c r="B63" s="63"/>
      <c r="C63" s="77"/>
      <c r="D63" s="352" t="s">
        <v>239</v>
      </c>
      <c r="E63" s="79"/>
      <c r="F63" s="546"/>
      <c r="G63" s="546"/>
      <c r="H63" s="546"/>
      <c r="I63" s="546"/>
      <c r="J63" s="80"/>
      <c r="K63" s="50"/>
    </row>
    <row r="64" spans="2:13">
      <c r="B64" s="63"/>
      <c r="C64" s="77"/>
      <c r="D64" s="78" t="s">
        <v>240</v>
      </c>
      <c r="E64" s="79"/>
      <c r="F64" s="441">
        <f>'1'!F65+'2'!F65+'3'!F65+'4'!F65+'5'!F65+'6'!F65+'7'!F65+'8'!F65+'9'!F65+'10'!F65+'11'!F65+'12'!F65+'13'!F65+'14'!F65+'15'!F65+'16'!F65+'17'!F65+'18'!F65+'19'!F65+'20'!F65</f>
        <v>0</v>
      </c>
      <c r="G64" s="441">
        <f>'1'!G65+'2'!G65+'3'!G65+'4'!G65+'5'!G65+'6'!G65+'7'!G65+'8'!G65+'9'!G65+'10'!G65+'11'!G65+'12'!G65+'13'!G65+'14'!G65+'15'!G65+'16'!G65+'17'!G65+'18'!G65+'19'!G65+'20'!G65</f>
        <v>0</v>
      </c>
      <c r="H64" s="441">
        <f>'1'!H65+'2'!H65+'3'!H65+'4'!H65+'5'!H65+'6'!H65+'7'!H65+'8'!H65+'9'!H65+'10'!H65+'11'!H65+'12'!H65+'13'!H65+'14'!H65+'15'!H65+'16'!H65+'17'!H65+'18'!H65+'19'!H65+'20'!H65</f>
        <v>0</v>
      </c>
      <c r="I64" s="441">
        <f>'1'!I65+'2'!I65+'3'!I65+'4'!I65+'5'!I65+'6'!I65+'7'!I65+'8'!I65+'9'!I65+'10'!I65+'11'!I65+'12'!I65+'13'!I65+'14'!I65+'15'!I65+'16'!I65+'17'!I65+'18'!I65+'19'!I65+'20'!I65</f>
        <v>0</v>
      </c>
      <c r="J64" s="80"/>
      <c r="K64" s="50"/>
    </row>
    <row r="65" spans="2:11">
      <c r="B65" s="63"/>
      <c r="C65" s="77"/>
      <c r="D65" s="78" t="s">
        <v>241</v>
      </c>
      <c r="E65" s="79"/>
      <c r="F65" s="441">
        <f>'begr(bk)'!H46</f>
        <v>0</v>
      </c>
      <c r="G65" s="441">
        <f>'begr(bk)'!I46</f>
        <v>0</v>
      </c>
      <c r="H65" s="441">
        <f>'begr(bk)'!J46</f>
        <v>0</v>
      </c>
      <c r="I65" s="441">
        <f>'begr(bk)'!K46</f>
        <v>0</v>
      </c>
      <c r="J65" s="80"/>
      <c r="K65" s="50"/>
    </row>
    <row r="66" spans="2:11">
      <c r="B66" s="63"/>
      <c r="C66" s="77"/>
      <c r="D66" s="193" t="s">
        <v>77</v>
      </c>
      <c r="E66" s="79"/>
      <c r="F66" s="254">
        <f>SUM(F64:F65)</f>
        <v>0</v>
      </c>
      <c r="G66" s="254">
        <f>SUM(G64:G65)</f>
        <v>0</v>
      </c>
      <c r="H66" s="254">
        <f>SUM(H64:H65)</f>
        <v>0</v>
      </c>
      <c r="I66" s="254">
        <f>SUM(I64:I65)</f>
        <v>0</v>
      </c>
      <c r="J66" s="80"/>
      <c r="K66" s="50"/>
    </row>
    <row r="67" spans="2:11" s="102" customFormat="1">
      <c r="B67" s="415"/>
      <c r="C67" s="554"/>
      <c r="D67" s="562" t="s">
        <v>109</v>
      </c>
      <c r="E67" s="448"/>
      <c r="F67" s="561" t="e">
        <f>F66/(F$15+F$18+F$24)</f>
        <v>#DIV/0!</v>
      </c>
      <c r="G67" s="561" t="e">
        <f>G66/(G$15+G$18+G$24)</f>
        <v>#DIV/0!</v>
      </c>
      <c r="H67" s="561" t="e">
        <f>H66/(H$15+H$18+H$24)</f>
        <v>#DIV/0!</v>
      </c>
      <c r="I67" s="561" t="e">
        <f>I66/(I$15+I$18+I$24)</f>
        <v>#DIV/0!</v>
      </c>
      <c r="J67" s="450"/>
      <c r="K67" s="416"/>
    </row>
    <row r="68" spans="2:11">
      <c r="B68" s="63"/>
      <c r="C68" s="77"/>
      <c r="D68" s="78"/>
      <c r="E68" s="79"/>
      <c r="F68" s="546"/>
      <c r="G68" s="546"/>
      <c r="H68" s="546"/>
      <c r="I68" s="546"/>
      <c r="J68" s="80"/>
      <c r="K68" s="50"/>
    </row>
    <row r="69" spans="2:11">
      <c r="B69" s="63"/>
      <c r="C69" s="77"/>
      <c r="D69" s="352" t="s">
        <v>91</v>
      </c>
      <c r="E69" s="79"/>
      <c r="F69" s="546"/>
      <c r="G69" s="546"/>
      <c r="H69" s="546"/>
      <c r="I69" s="546"/>
      <c r="J69" s="80"/>
      <c r="K69" s="50"/>
    </row>
    <row r="70" spans="2:11">
      <c r="B70" s="63"/>
      <c r="C70" s="77"/>
      <c r="D70" s="78" t="s">
        <v>240</v>
      </c>
      <c r="E70" s="79"/>
      <c r="F70" s="441">
        <f>'1'!F66+'2'!F66+'3'!F66+'4'!F66+'5'!F66+'6'!F66+'7'!F66+'8'!F66+'9'!F66+'10'!F66+'11'!F66+'12'!F66+'13'!F66+'14'!F66+'15'!F66+'16'!F66+'17'!F66+'18'!F66+'19'!F66+'20'!F66</f>
        <v>0</v>
      </c>
      <c r="G70" s="441">
        <f>'1'!G66+'2'!G66+'3'!G66+'4'!G66+'5'!G66+'6'!G66+'7'!G66+'8'!G66+'9'!G66+'10'!G66+'11'!G66+'12'!G66+'13'!G66+'14'!G66+'15'!G66+'16'!G66+'17'!G66+'18'!G66+'19'!G66+'20'!G66</f>
        <v>0</v>
      </c>
      <c r="H70" s="441">
        <f>'1'!H66+'2'!H66+'3'!H66+'4'!H66+'5'!H66+'6'!H66+'7'!H66+'8'!H66+'9'!H66+'10'!H66+'11'!H66+'12'!H66+'13'!H66+'14'!H66+'15'!H66+'16'!H66+'17'!H66+'18'!H66+'19'!H66+'20'!H66</f>
        <v>0</v>
      </c>
      <c r="I70" s="441">
        <f>'1'!I66+'2'!I66+'3'!I66+'4'!I66+'5'!I66+'6'!I66+'7'!I66+'8'!I66+'9'!I66+'10'!I66+'11'!I66+'12'!I66+'13'!I66+'14'!I66+'15'!I66+'16'!I66+'17'!I66+'18'!I66+'19'!I66+'20'!I66</f>
        <v>0</v>
      </c>
      <c r="J70" s="80"/>
      <c r="K70" s="50"/>
    </row>
    <row r="71" spans="2:11">
      <c r="B71" s="63"/>
      <c r="C71" s="77"/>
      <c r="D71" s="78" t="s">
        <v>241</v>
      </c>
      <c r="E71" s="79"/>
      <c r="F71" s="441">
        <f>'begr(bk)'!H47</f>
        <v>0</v>
      </c>
      <c r="G71" s="441">
        <f>'begr(bk)'!I47</f>
        <v>0</v>
      </c>
      <c r="H71" s="441">
        <f>'begr(bk)'!J47</f>
        <v>0</v>
      </c>
      <c r="I71" s="441">
        <f>'begr(bk)'!K47</f>
        <v>0</v>
      </c>
      <c r="J71" s="80"/>
      <c r="K71" s="50"/>
    </row>
    <row r="72" spans="2:11">
      <c r="B72" s="63"/>
      <c r="C72" s="77"/>
      <c r="D72" s="193" t="s">
        <v>77</v>
      </c>
      <c r="E72" s="79"/>
      <c r="F72" s="254">
        <f>SUM(F70:F71)</f>
        <v>0</v>
      </c>
      <c r="G72" s="254">
        <f>SUM(G70:G71)</f>
        <v>0</v>
      </c>
      <c r="H72" s="254">
        <f>SUM(H70:H71)</f>
        <v>0</v>
      </c>
      <c r="I72" s="254">
        <f>SUM(I70:I71)</f>
        <v>0</v>
      </c>
      <c r="J72" s="80"/>
      <c r="K72" s="50"/>
    </row>
    <row r="73" spans="2:11" s="102" customFormat="1">
      <c r="B73" s="415"/>
      <c r="C73" s="554"/>
      <c r="D73" s="562" t="s">
        <v>109</v>
      </c>
      <c r="E73" s="448"/>
      <c r="F73" s="561" t="e">
        <f>F72/(F$15+F$18+F$24)</f>
        <v>#DIV/0!</v>
      </c>
      <c r="G73" s="561" t="e">
        <f>G72/(G$15+G$18+G$24)</f>
        <v>#DIV/0!</v>
      </c>
      <c r="H73" s="561" t="e">
        <f>H72/(H$15+H$18+H$24)</f>
        <v>#DIV/0!</v>
      </c>
      <c r="I73" s="561" t="e">
        <f>I72/(I$15+I$18+I$24)</f>
        <v>#DIV/0!</v>
      </c>
      <c r="J73" s="450"/>
      <c r="K73" s="416"/>
    </row>
    <row r="74" spans="2:11">
      <c r="B74" s="63"/>
      <c r="C74" s="77"/>
      <c r="D74" s="78"/>
      <c r="E74" s="79"/>
      <c r="F74" s="546"/>
      <c r="G74" s="546"/>
      <c r="H74" s="546"/>
      <c r="I74" s="546"/>
      <c r="J74" s="80"/>
      <c r="K74" s="50"/>
    </row>
    <row r="75" spans="2:11">
      <c r="B75" s="63"/>
      <c r="C75" s="528"/>
      <c r="D75" s="352" t="s">
        <v>94</v>
      </c>
      <c r="E75" s="85"/>
      <c r="F75" s="556"/>
      <c r="G75" s="556"/>
      <c r="H75" s="556"/>
      <c r="I75" s="556"/>
      <c r="J75" s="80"/>
      <c r="K75" s="50"/>
    </row>
    <row r="76" spans="2:11">
      <c r="B76" s="63"/>
      <c r="C76" s="77"/>
      <c r="D76" s="78" t="s">
        <v>111</v>
      </c>
      <c r="E76" s="79"/>
      <c r="F76" s="441">
        <f>'1'!F67+'2'!F67+'3'!F67+'4'!F67+'5'!F67+'6'!F67+'7'!F67+'8'!F67+'9'!F67+'10'!F67+'11'!F67+'12'!F67+'13'!F67+'14'!F67+'15'!F67+'16'!F67+'17'!F67+'18'!F67+'19'!F67+'20'!F67</f>
        <v>0</v>
      </c>
      <c r="G76" s="441">
        <f>'1'!G67+'2'!G67+'3'!G67+'4'!G67+'5'!G67+'6'!G67+'7'!G67+'8'!G67+'9'!G67+'10'!G67+'11'!G67+'12'!G67+'13'!G67+'14'!G67+'15'!G67+'16'!G67+'17'!G67+'18'!G67+'19'!G67+'20'!G67</f>
        <v>0</v>
      </c>
      <c r="H76" s="441">
        <f>'1'!H67+'2'!H67+'3'!H67+'4'!H67+'5'!H67+'6'!H67+'7'!H67+'8'!H67+'9'!H67+'10'!H67+'11'!H67+'12'!H67+'13'!H67+'14'!H67+'15'!H67+'16'!H67+'17'!H67+'18'!H67+'19'!H67+'20'!H67</f>
        <v>0</v>
      </c>
      <c r="I76" s="441">
        <f>'1'!I67+'2'!I67+'3'!I67+'4'!I67+'5'!I67+'6'!I67+'7'!I67+'8'!I67+'9'!I67+'10'!I67+'11'!I67+'12'!I67+'13'!I67+'14'!I67+'15'!I67+'16'!I67+'17'!I67+'18'!I67+'19'!I67+'20'!I67</f>
        <v>0</v>
      </c>
      <c r="J76" s="80"/>
      <c r="K76" s="50"/>
    </row>
    <row r="77" spans="2:11">
      <c r="B77" s="63"/>
      <c r="C77" s="77"/>
      <c r="D77" s="78" t="s">
        <v>241</v>
      </c>
      <c r="E77" s="79"/>
      <c r="F77" s="441">
        <f>'begr(bk)'!H160+'begr(bk)'!H172</f>
        <v>0</v>
      </c>
      <c r="G77" s="441">
        <f>'begr(bk)'!I160+'begr(bk)'!I172</f>
        <v>0</v>
      </c>
      <c r="H77" s="441">
        <f>'begr(bk)'!J160+'begr(bk)'!J172</f>
        <v>0</v>
      </c>
      <c r="I77" s="441">
        <f>'begr(bk)'!K160+'begr(bk)'!K172</f>
        <v>0</v>
      </c>
      <c r="J77" s="80"/>
      <c r="K77" s="50"/>
    </row>
    <row r="78" spans="2:11">
      <c r="B78" s="63"/>
      <c r="C78" s="77"/>
      <c r="D78" s="193" t="s">
        <v>77</v>
      </c>
      <c r="E78" s="79"/>
      <c r="F78" s="254">
        <f>SUM(F76:F77)</f>
        <v>0</v>
      </c>
      <c r="G78" s="254">
        <f>SUM(G76:G77)</f>
        <v>0</v>
      </c>
      <c r="H78" s="254">
        <f>SUM(H76:H77)</f>
        <v>0</v>
      </c>
      <c r="I78" s="254">
        <f>SUM(I76:I77)</f>
        <v>0</v>
      </c>
      <c r="J78" s="80"/>
      <c r="K78" s="50"/>
    </row>
    <row r="79" spans="2:11" s="102" customFormat="1">
      <c r="B79" s="415"/>
      <c r="C79" s="554"/>
      <c r="D79" s="562" t="s">
        <v>109</v>
      </c>
      <c r="E79" s="448"/>
      <c r="F79" s="561" t="e">
        <f>F78/(F$15+F$18+F$24)</f>
        <v>#DIV/0!</v>
      </c>
      <c r="G79" s="561" t="e">
        <f>G78/(G$15+G$18+G$24)</f>
        <v>#DIV/0!</v>
      </c>
      <c r="H79" s="561" t="e">
        <f>H78/(H$15+H$18+H$24)</f>
        <v>#DIV/0!</v>
      </c>
      <c r="I79" s="561" t="e">
        <f>I78/(I$15+I$18+I$24)</f>
        <v>#DIV/0!</v>
      </c>
      <c r="J79" s="450"/>
      <c r="K79" s="416"/>
    </row>
    <row r="80" spans="2:11">
      <c r="B80" s="63"/>
      <c r="C80" s="528"/>
      <c r="D80" s="78"/>
      <c r="E80" s="85"/>
      <c r="F80" s="556"/>
      <c r="G80" s="556"/>
      <c r="H80" s="556"/>
      <c r="I80" s="556"/>
      <c r="J80" s="80"/>
      <c r="K80" s="50"/>
    </row>
    <row r="81" spans="2:11">
      <c r="B81" s="63"/>
      <c r="C81" s="528"/>
      <c r="D81" s="352" t="s">
        <v>147</v>
      </c>
      <c r="E81" s="85"/>
      <c r="F81" s="556"/>
      <c r="G81" s="556"/>
      <c r="H81" s="556"/>
      <c r="I81" s="556"/>
      <c r="J81" s="80"/>
      <c r="K81" s="50"/>
    </row>
    <row r="82" spans="2:11">
      <c r="B82" s="63"/>
      <c r="C82" s="77"/>
      <c r="D82" s="78" t="s">
        <v>111</v>
      </c>
      <c r="E82" s="79"/>
      <c r="F82" s="441">
        <f>'1'!F68+'2'!F68+'3'!F68+'4'!F68+'5'!F68+'6'!F68+'7'!F68+'8'!F68+'9'!F68+'10'!F68+'11'!F68+'12'!F68+'13'!F68+'14'!F68+'15'!F68+'16'!F68+'17'!F68+'18'!F68+'19'!F68+'20'!F68</f>
        <v>0</v>
      </c>
      <c r="G82" s="441">
        <f>'1'!G68+'2'!G68+'3'!G68+'4'!G68+'5'!G68+'6'!G68+'7'!G68+'8'!G68+'9'!G68+'10'!G68+'11'!G68+'12'!G68+'13'!G68+'14'!G68+'15'!G68+'16'!G68+'17'!G68+'18'!G68+'19'!G68+'20'!G68</f>
        <v>0</v>
      </c>
      <c r="H82" s="441">
        <f>'1'!H68+'2'!H68+'3'!H68+'4'!H68+'5'!H68+'6'!H68+'7'!H68+'8'!H68+'9'!H68+'10'!H68+'11'!H68+'12'!H68+'13'!H68+'14'!H68+'15'!H68+'16'!H68+'17'!H68+'18'!H68+'19'!H68+'20'!H68</f>
        <v>0</v>
      </c>
      <c r="I82" s="441">
        <f>'1'!I68+'2'!I68+'3'!I68+'4'!I68+'5'!I68+'6'!I68+'7'!I68+'8'!I68+'9'!I68+'10'!I68+'11'!I68+'12'!I68+'13'!I68+'14'!I68+'15'!I68+'16'!I68+'17'!I68+'18'!I68+'19'!I68+'20'!I68</f>
        <v>0</v>
      </c>
      <c r="J82" s="80"/>
      <c r="K82" s="50"/>
    </row>
    <row r="83" spans="2:11">
      <c r="B83" s="63"/>
      <c r="C83" s="77"/>
      <c r="D83" s="78" t="s">
        <v>241</v>
      </c>
      <c r="E83" s="79"/>
      <c r="F83" s="441">
        <f>'begr(bk)'!H66</f>
        <v>0</v>
      </c>
      <c r="G83" s="441">
        <f>'begr(bk)'!I66</f>
        <v>0</v>
      </c>
      <c r="H83" s="441">
        <f>'begr(bk)'!J66</f>
        <v>0</v>
      </c>
      <c r="I83" s="441">
        <f>'begr(bk)'!K66</f>
        <v>0</v>
      </c>
      <c r="J83" s="80"/>
      <c r="K83" s="50"/>
    </row>
    <row r="84" spans="2:11">
      <c r="B84" s="63"/>
      <c r="C84" s="77"/>
      <c r="D84" s="193" t="s">
        <v>77</v>
      </c>
      <c r="E84" s="79"/>
      <c r="F84" s="254">
        <f>SUM(F82:F83)</f>
        <v>0</v>
      </c>
      <c r="G84" s="254">
        <f>SUM(G82:G83)</f>
        <v>0</v>
      </c>
      <c r="H84" s="254">
        <f>SUM(H82:H83)</f>
        <v>0</v>
      </c>
      <c r="I84" s="254">
        <f>SUM(I82:I83)</f>
        <v>0</v>
      </c>
      <c r="J84" s="80"/>
      <c r="K84" s="50"/>
    </row>
    <row r="85" spans="2:11" s="102" customFormat="1">
      <c r="B85" s="415"/>
      <c r="C85" s="554"/>
      <c r="D85" s="562" t="s">
        <v>109</v>
      </c>
      <c r="E85" s="448"/>
      <c r="F85" s="561" t="e">
        <f>F84/(F$15+F$18+F$24)</f>
        <v>#DIV/0!</v>
      </c>
      <c r="G85" s="561" t="e">
        <f>G84/(G$15+G$18+G$24)</f>
        <v>#DIV/0!</v>
      </c>
      <c r="H85" s="561" t="e">
        <f>H84/(H$15+H$18+H$24)</f>
        <v>#DIV/0!</v>
      </c>
      <c r="I85" s="561" t="e">
        <f>I84/(I$15+I$18+I$24)</f>
        <v>#DIV/0!</v>
      </c>
      <c r="J85" s="557"/>
      <c r="K85" s="416"/>
    </row>
    <row r="86" spans="2:11">
      <c r="B86" s="169"/>
      <c r="C86" s="88"/>
      <c r="D86" s="341"/>
      <c r="E86" s="89"/>
      <c r="F86" s="378"/>
      <c r="G86" s="378"/>
      <c r="H86" s="378"/>
      <c r="I86" s="378"/>
      <c r="J86" s="91"/>
      <c r="K86" s="50"/>
    </row>
    <row r="87" spans="2:11">
      <c r="B87" s="169"/>
      <c r="C87" s="49"/>
      <c r="D87" s="49"/>
      <c r="E87" s="49"/>
      <c r="F87" s="49"/>
      <c r="G87" s="49"/>
      <c r="H87" s="49"/>
      <c r="I87" s="49"/>
      <c r="J87" s="49"/>
      <c r="K87" s="50"/>
    </row>
    <row r="88" spans="2:11" ht="15">
      <c r="B88" s="417"/>
      <c r="C88" s="70"/>
      <c r="D88" s="302"/>
      <c r="E88" s="70"/>
      <c r="F88" s="418"/>
      <c r="G88" s="418"/>
      <c r="H88" s="418"/>
      <c r="I88" s="418"/>
      <c r="J88" s="177" t="s">
        <v>280</v>
      </c>
      <c r="K88" s="72"/>
    </row>
    <row r="89" spans="2:11">
      <c r="B89" s="43"/>
      <c r="C89" s="44"/>
      <c r="D89" s="410"/>
      <c r="E89" s="44"/>
      <c r="F89" s="262"/>
      <c r="G89" s="411"/>
      <c r="H89" s="411"/>
      <c r="I89" s="411"/>
      <c r="J89" s="269"/>
      <c r="K89" s="47"/>
    </row>
    <row r="90" spans="2:11">
      <c r="B90" s="48"/>
      <c r="C90" s="49"/>
      <c r="D90" s="412"/>
      <c r="E90" s="49"/>
      <c r="F90" s="49"/>
      <c r="G90" s="49"/>
      <c r="H90" s="49"/>
      <c r="I90" s="49"/>
      <c r="J90" s="49"/>
      <c r="K90" s="50"/>
    </row>
    <row r="91" spans="2:11">
      <c r="B91" s="63"/>
      <c r="C91" s="49"/>
      <c r="D91" s="61"/>
      <c r="E91" s="49"/>
      <c r="F91" s="95">
        <f>F8</f>
        <v>2014</v>
      </c>
      <c r="G91" s="95">
        <f>G8</f>
        <v>2015</v>
      </c>
      <c r="H91" s="95">
        <f>H8</f>
        <v>2016</v>
      </c>
      <c r="I91" s="95">
        <f>I8</f>
        <v>2017</v>
      </c>
      <c r="J91" s="49"/>
      <c r="K91" s="50"/>
    </row>
    <row r="92" spans="2:11">
      <c r="B92" s="63"/>
      <c r="C92" s="49"/>
      <c r="D92" s="61"/>
      <c r="E92" s="49"/>
      <c r="F92" s="162"/>
      <c r="G92" s="162"/>
      <c r="H92" s="162"/>
      <c r="I92" s="162"/>
      <c r="J92" s="49"/>
      <c r="K92" s="50"/>
    </row>
    <row r="93" spans="2:11">
      <c r="B93" s="63"/>
      <c r="C93" s="73"/>
      <c r="D93" s="313"/>
      <c r="E93" s="74"/>
      <c r="F93" s="188"/>
      <c r="G93" s="188"/>
      <c r="H93" s="188"/>
      <c r="I93" s="188"/>
      <c r="J93" s="74"/>
      <c r="K93" s="50"/>
    </row>
    <row r="94" spans="2:11">
      <c r="B94" s="63"/>
      <c r="C94" s="77"/>
      <c r="D94" s="352" t="s">
        <v>96</v>
      </c>
      <c r="E94" s="79"/>
      <c r="F94" s="546"/>
      <c r="G94" s="546"/>
      <c r="H94" s="546"/>
      <c r="I94" s="546"/>
      <c r="J94" s="79"/>
      <c r="K94" s="50"/>
    </row>
    <row r="95" spans="2:11">
      <c r="B95" s="63"/>
      <c r="C95" s="77"/>
      <c r="D95" s="78" t="s">
        <v>111</v>
      </c>
      <c r="E95" s="79"/>
      <c r="F95" s="441">
        <f>'1'!F69+'2'!F69+'3'!F69+'4'!F69+'5'!F69+'6'!F69+'7'!F69+'8'!F69+'9'!F69+'10'!F69+'11'!F69+'12'!F69+'13'!F69+'14'!F69+'15'!F69+'16'!F69+'17'!F69+'18'!F69+'19'!F69+'20'!F69</f>
        <v>0</v>
      </c>
      <c r="G95" s="441">
        <f>'1'!G69+'2'!G69+'3'!G69+'4'!G69+'5'!G69+'6'!G69+'7'!G69+'8'!G69+'9'!G69+'10'!G69+'11'!G69+'12'!G69+'13'!G69+'14'!G69+'15'!G69+'16'!G69+'17'!G69+'18'!G69+'19'!G69+'20'!G69</f>
        <v>0</v>
      </c>
      <c r="H95" s="441">
        <f>'1'!H69+'2'!H69+'3'!H69+'4'!H69+'5'!H69+'6'!H69+'7'!H69+'8'!H69+'9'!H69+'10'!H69+'11'!H69+'12'!H69+'13'!H69+'14'!H69+'15'!H69+'16'!H69+'17'!H69+'18'!H69+'19'!H69+'20'!H69</f>
        <v>0</v>
      </c>
      <c r="I95" s="441">
        <f>'1'!I69+'2'!I69+'3'!I69+'4'!I69+'5'!I69+'6'!I69+'7'!I69+'8'!I69+'9'!I69+'10'!I69+'11'!I69+'12'!I69+'13'!I69+'14'!I69+'15'!I69+'16'!I69+'17'!I69+'18'!I69+'19'!I69+'20'!I69</f>
        <v>0</v>
      </c>
      <c r="J95" s="79"/>
      <c r="K95" s="50"/>
    </row>
    <row r="96" spans="2:11">
      <c r="B96" s="63"/>
      <c r="C96" s="77"/>
      <c r="D96" s="78" t="s">
        <v>241</v>
      </c>
      <c r="E96" s="79"/>
      <c r="F96" s="249">
        <v>0</v>
      </c>
      <c r="G96" s="249">
        <f t="shared" ref="G96:I97" si="0">F96</f>
        <v>0</v>
      </c>
      <c r="H96" s="249">
        <f t="shared" si="0"/>
        <v>0</v>
      </c>
      <c r="I96" s="249">
        <f t="shared" si="0"/>
        <v>0</v>
      </c>
      <c r="J96" s="79"/>
      <c r="K96" s="50"/>
    </row>
    <row r="97" spans="2:11">
      <c r="B97" s="63"/>
      <c r="C97" s="77"/>
      <c r="D97" s="78" t="s">
        <v>122</v>
      </c>
      <c r="E97" s="79"/>
      <c r="F97" s="249">
        <v>0</v>
      </c>
      <c r="G97" s="249">
        <f t="shared" si="0"/>
        <v>0</v>
      </c>
      <c r="H97" s="249">
        <f t="shared" si="0"/>
        <v>0</v>
      </c>
      <c r="I97" s="249">
        <f t="shared" si="0"/>
        <v>0</v>
      </c>
      <c r="J97" s="79"/>
      <c r="K97" s="416"/>
    </row>
    <row r="98" spans="2:11">
      <c r="B98" s="63"/>
      <c r="C98" s="77"/>
      <c r="D98" s="193" t="s">
        <v>77</v>
      </c>
      <c r="E98" s="79"/>
      <c r="F98" s="254">
        <f>SUM(F95:F97)</f>
        <v>0</v>
      </c>
      <c r="G98" s="254">
        <f>SUM(G95:G97)</f>
        <v>0</v>
      </c>
      <c r="H98" s="254">
        <f>SUM(H95:H97)</f>
        <v>0</v>
      </c>
      <c r="I98" s="254">
        <f>SUM(I95:I97)</f>
        <v>0</v>
      </c>
      <c r="J98" s="79"/>
      <c r="K98" s="50"/>
    </row>
    <row r="99" spans="2:11">
      <c r="B99" s="63"/>
      <c r="C99" s="554"/>
      <c r="D99" s="562" t="s">
        <v>109</v>
      </c>
      <c r="E99" s="448"/>
      <c r="F99" s="561" t="e">
        <f>F98/(F$15+F$18+F$24)</f>
        <v>#DIV/0!</v>
      </c>
      <c r="G99" s="561" t="e">
        <f>G98/(G$15+G$18+G$24)</f>
        <v>#DIV/0!</v>
      </c>
      <c r="H99" s="561" t="e">
        <f>H98/(H$15+H$18+H$24)</f>
        <v>#DIV/0!</v>
      </c>
      <c r="I99" s="561" t="e">
        <f>I98/(I$15+I$18+I$24)</f>
        <v>#DIV/0!</v>
      </c>
      <c r="J99" s="448"/>
      <c r="K99" s="50"/>
    </row>
    <row r="100" spans="2:11">
      <c r="B100" s="63"/>
      <c r="C100" s="554"/>
      <c r="D100" s="481"/>
      <c r="E100" s="448"/>
      <c r="F100" s="555"/>
      <c r="G100" s="555"/>
      <c r="H100" s="555"/>
      <c r="I100" s="555"/>
      <c r="J100" s="448"/>
      <c r="K100" s="50"/>
    </row>
    <row r="101" spans="2:11">
      <c r="B101" s="63"/>
      <c r="C101" s="77"/>
      <c r="D101" s="352" t="s">
        <v>97</v>
      </c>
      <c r="E101" s="79"/>
      <c r="F101" s="211"/>
      <c r="G101" s="211"/>
      <c r="H101" s="211"/>
      <c r="I101" s="211"/>
      <c r="J101" s="79"/>
      <c r="K101" s="50"/>
    </row>
    <row r="102" spans="2:11">
      <c r="B102" s="63"/>
      <c r="C102" s="528"/>
      <c r="D102" s="78" t="s">
        <v>111</v>
      </c>
      <c r="E102" s="85"/>
      <c r="F102" s="441">
        <f>'1'!F70+'2'!F70+'3'!F70+'4'!F70+'5'!F70+'6'!F70+'7'!F70+'8'!F70+'9'!F70+'10'!F70+'11'!F70+'12'!F70+'13'!F70+'14'!F70+'15'!F70+'16'!F70+'17'!F70+'18'!F70+'19'!F70+'20'!F70</f>
        <v>0</v>
      </c>
      <c r="G102" s="441">
        <f>'1'!G70+'2'!G70+'3'!G70+'4'!G70+'5'!G70+'6'!G70+'7'!G70+'8'!G70+'9'!G70+'10'!G70+'11'!G70+'12'!G70+'13'!G70+'14'!G70+'15'!G70+'16'!G70+'17'!G70+'18'!G70+'19'!G70+'20'!G70</f>
        <v>0</v>
      </c>
      <c r="H102" s="441">
        <f>'1'!H70+'2'!H70+'3'!H70+'4'!H70+'5'!H70+'6'!H70+'7'!H70+'8'!H70+'9'!H70+'10'!H70+'11'!H70+'12'!H70+'13'!H70+'14'!H70+'15'!H70+'16'!H70+'17'!H70+'18'!H70+'19'!H70+'20'!H70</f>
        <v>0</v>
      </c>
      <c r="I102" s="441">
        <f>'1'!I70+'2'!I70+'3'!I70+'4'!I70+'5'!I70+'6'!I70+'7'!I70+'8'!I70+'9'!I70+'10'!I70+'11'!I70+'12'!I70+'13'!I70+'14'!I70+'15'!I70+'16'!I70+'17'!I70+'18'!I70+'19'!I70+'20'!I70</f>
        <v>0</v>
      </c>
      <c r="J102" s="79"/>
      <c r="K102" s="50"/>
    </row>
    <row r="103" spans="2:11">
      <c r="B103" s="63"/>
      <c r="C103" s="528"/>
      <c r="D103" s="78" t="s">
        <v>241</v>
      </c>
      <c r="E103" s="85"/>
      <c r="F103" s="249">
        <v>0</v>
      </c>
      <c r="G103" s="249">
        <f t="shared" ref="G103:I103" si="1">F103</f>
        <v>0</v>
      </c>
      <c r="H103" s="249">
        <f t="shared" si="1"/>
        <v>0</v>
      </c>
      <c r="I103" s="249">
        <f t="shared" si="1"/>
        <v>0</v>
      </c>
      <c r="J103" s="79"/>
      <c r="K103" s="416"/>
    </row>
    <row r="104" spans="2:11">
      <c r="B104" s="63"/>
      <c r="C104" s="77"/>
      <c r="D104" s="78" t="s">
        <v>124</v>
      </c>
      <c r="E104" s="79"/>
      <c r="F104" s="249">
        <v>0</v>
      </c>
      <c r="G104" s="249">
        <f t="shared" ref="G104" si="2">F104</f>
        <v>0</v>
      </c>
      <c r="H104" s="249">
        <f t="shared" ref="H104" si="3">G104</f>
        <v>0</v>
      </c>
      <c r="I104" s="249">
        <f t="shared" ref="I104" si="4">H104</f>
        <v>0</v>
      </c>
      <c r="J104" s="79"/>
      <c r="K104" s="50"/>
    </row>
    <row r="105" spans="2:11">
      <c r="B105" s="63"/>
      <c r="C105" s="528"/>
      <c r="D105" s="193" t="s">
        <v>77</v>
      </c>
      <c r="E105" s="85"/>
      <c r="F105" s="254">
        <f>SUM(F102:F104)</f>
        <v>0</v>
      </c>
      <c r="G105" s="254">
        <f>SUM(G102:G104)</f>
        <v>0</v>
      </c>
      <c r="H105" s="254">
        <f>SUM(H102:H104)</f>
        <v>0</v>
      </c>
      <c r="I105" s="254">
        <f>SUM(I102:I104)</f>
        <v>0</v>
      </c>
      <c r="J105" s="79"/>
      <c r="K105" s="50"/>
    </row>
    <row r="106" spans="2:11">
      <c r="B106" s="63"/>
      <c r="C106" s="554"/>
      <c r="D106" s="562" t="s">
        <v>109</v>
      </c>
      <c r="E106" s="448"/>
      <c r="F106" s="561" t="e">
        <f>F105/(F$15+F$18+F$24)</f>
        <v>#DIV/0!</v>
      </c>
      <c r="G106" s="561" t="e">
        <f>G105/(G$15+G$18+G$24)</f>
        <v>#DIV/0!</v>
      </c>
      <c r="H106" s="561" t="e">
        <f>H105/(H$15+H$18+H$24)</f>
        <v>#DIV/0!</v>
      </c>
      <c r="I106" s="561" t="e">
        <f>I105/(I$15+I$18+I$24)</f>
        <v>#DIV/0!</v>
      </c>
      <c r="J106" s="448"/>
      <c r="K106" s="50"/>
    </row>
    <row r="107" spans="2:11">
      <c r="B107" s="63"/>
      <c r="C107" s="77"/>
      <c r="D107" s="78"/>
      <c r="E107" s="79"/>
      <c r="F107" s="546"/>
      <c r="G107" s="546"/>
      <c r="H107" s="546"/>
      <c r="I107" s="546"/>
      <c r="J107" s="79"/>
      <c r="K107" s="50"/>
    </row>
    <row r="108" spans="2:11">
      <c r="B108" s="63"/>
      <c r="C108" s="77"/>
      <c r="D108" s="352" t="s">
        <v>98</v>
      </c>
      <c r="E108" s="79"/>
      <c r="F108" s="546"/>
      <c r="G108" s="546"/>
      <c r="H108" s="546"/>
      <c r="I108" s="546"/>
      <c r="J108" s="79"/>
      <c r="K108" s="50"/>
    </row>
    <row r="109" spans="2:11">
      <c r="B109" s="63"/>
      <c r="C109" s="77"/>
      <c r="D109" s="78" t="s">
        <v>111</v>
      </c>
      <c r="E109" s="79"/>
      <c r="F109" s="441">
        <f>'1'!F71+'2'!F71+'3'!F71+'4'!F71+'5'!F71+'6'!F71+'7'!F71+'8'!F71+'9'!F71+'10'!F71+'11'!F71+'12'!F71+'13'!F71+'14'!F71+'15'!F71+'16'!F71+'17'!F71+'18'!F71+'19'!F71+'20'!F71</f>
        <v>0</v>
      </c>
      <c r="G109" s="441">
        <f>'1'!G71+'2'!G71+'3'!G71+'4'!G71+'5'!G71+'6'!G71+'7'!G71+'8'!G71+'9'!G71+'10'!G71+'11'!G71+'12'!G71+'13'!G71+'14'!G71+'15'!G71+'16'!G71+'17'!G71+'18'!G71+'19'!G71+'20'!G71</f>
        <v>0</v>
      </c>
      <c r="H109" s="441">
        <f>'1'!H71+'2'!H71+'3'!H71+'4'!H71+'5'!H71+'6'!H71+'7'!H71+'8'!H71+'9'!H71+'10'!H71+'11'!H71+'12'!H71+'13'!H71+'14'!H71+'15'!H71+'16'!H71+'17'!H71+'18'!H71+'19'!H71+'20'!H71</f>
        <v>0</v>
      </c>
      <c r="I109" s="441">
        <f>'1'!I71+'2'!I71+'3'!I71+'4'!I71+'5'!I71+'6'!I71+'7'!I71+'8'!I71+'9'!I71+'10'!I71+'11'!I71+'12'!I71+'13'!I71+'14'!I71+'15'!I71+'16'!I71+'17'!I71+'18'!I71+'19'!I71+'20'!I71</f>
        <v>0</v>
      </c>
      <c r="J109" s="79"/>
      <c r="K109" s="416"/>
    </row>
    <row r="110" spans="2:11">
      <c r="B110" s="63"/>
      <c r="C110" s="77"/>
      <c r="D110" s="78" t="s">
        <v>241</v>
      </c>
      <c r="E110" s="79"/>
      <c r="F110" s="441">
        <f>SUM(act!G56:G58)</f>
        <v>0</v>
      </c>
      <c r="G110" s="441">
        <f>SUM(act!H56:H58)</f>
        <v>0</v>
      </c>
      <c r="H110" s="441">
        <f>SUM(act!I56:I58)</f>
        <v>0</v>
      </c>
      <c r="I110" s="441">
        <f>SUM(act!J56:J58)</f>
        <v>0</v>
      </c>
      <c r="J110" s="79"/>
      <c r="K110" s="50"/>
    </row>
    <row r="111" spans="2:11">
      <c r="B111" s="63"/>
      <c r="C111" s="77"/>
      <c r="D111" s="193" t="s">
        <v>77</v>
      </c>
      <c r="E111" s="79"/>
      <c r="F111" s="254">
        <f>SUM(F109:F110)</f>
        <v>0</v>
      </c>
      <c r="G111" s="254">
        <f>SUM(G109:G110)</f>
        <v>0</v>
      </c>
      <c r="H111" s="254">
        <f>SUM(H109:H110)</f>
        <v>0</v>
      </c>
      <c r="I111" s="254">
        <f>SUM(I109:I110)</f>
        <v>0</v>
      </c>
      <c r="J111" s="79"/>
      <c r="K111" s="50"/>
    </row>
    <row r="112" spans="2:11" s="102" customFormat="1">
      <c r="B112" s="415"/>
      <c r="C112" s="554"/>
      <c r="D112" s="562" t="s">
        <v>109</v>
      </c>
      <c r="E112" s="448"/>
      <c r="F112" s="561" t="e">
        <f>F111/(F$15+F$18+F$24)</f>
        <v>#DIV/0!</v>
      </c>
      <c r="G112" s="561" t="e">
        <f>G111/(G$15+G$18+G$24)</f>
        <v>#DIV/0!</v>
      </c>
      <c r="H112" s="561" t="e">
        <f>H111/(H$15+H$18+H$24)</f>
        <v>#DIV/0!</v>
      </c>
      <c r="I112" s="561" t="e">
        <f>I111/(I$15+I$18+I$24)</f>
        <v>#DIV/0!</v>
      </c>
      <c r="J112" s="448"/>
      <c r="K112" s="50"/>
    </row>
    <row r="113" spans="2:16">
      <c r="B113" s="63"/>
      <c r="C113" s="77"/>
      <c r="D113" s="78"/>
      <c r="E113" s="79"/>
      <c r="F113" s="546"/>
      <c r="G113" s="546"/>
      <c r="H113" s="546"/>
      <c r="I113" s="546"/>
      <c r="J113" s="79"/>
      <c r="K113" s="50"/>
    </row>
    <row r="114" spans="2:16">
      <c r="B114" s="63"/>
      <c r="C114" s="77"/>
      <c r="D114" s="352" t="s">
        <v>99</v>
      </c>
      <c r="E114" s="79"/>
      <c r="F114" s="546"/>
      <c r="G114" s="546"/>
      <c r="H114" s="546"/>
      <c r="I114" s="546"/>
      <c r="J114" s="79"/>
      <c r="K114" s="50"/>
    </row>
    <row r="115" spans="2:16">
      <c r="B115" s="63"/>
      <c r="C115" s="77"/>
      <c r="D115" s="78" t="s">
        <v>111</v>
      </c>
      <c r="E115" s="79"/>
      <c r="F115" s="441">
        <f>'1'!F72+'2'!F72+'3'!F72+'4'!F72+'5'!F72+'6'!F72+'7'!F72+'8'!F72+'9'!F72+'10'!F72+'11'!F72+'12'!F72+'13'!F72+'14'!F72+'15'!F72+'16'!F72+'17'!F72+'18'!F72+'19'!F72+'20'!F72</f>
        <v>0</v>
      </c>
      <c r="G115" s="441">
        <f>'1'!G72+'2'!G72+'3'!G72+'4'!G72+'5'!G72+'6'!G72+'7'!G72+'8'!G72+'9'!G72+'10'!G72+'11'!G72+'12'!G72+'13'!G72+'14'!G72+'15'!G72+'16'!G72+'17'!G72+'18'!G72+'19'!G72+'20'!G72</f>
        <v>0</v>
      </c>
      <c r="H115" s="441">
        <f>'1'!H72+'2'!H72+'3'!H72+'4'!H72+'5'!H72+'6'!H72+'7'!H72+'8'!H72+'9'!H72+'10'!H72+'11'!H72+'12'!H72+'13'!H72+'14'!H72+'15'!H72+'16'!H72+'17'!H72+'18'!H72+'19'!H72+'20'!H72</f>
        <v>0</v>
      </c>
      <c r="I115" s="441">
        <f>'1'!I72+'2'!I72+'3'!I72+'4'!I72+'5'!I72+'6'!I72+'7'!I72+'8'!I72+'9'!I72+'10'!I72+'11'!I72+'12'!I72+'13'!I72+'14'!I72+'15'!I72+'16'!I72+'17'!I72+'18'!I72+'19'!I72+'20'!I72</f>
        <v>0</v>
      </c>
      <c r="J115" s="79"/>
      <c r="K115" s="416"/>
    </row>
    <row r="116" spans="2:16">
      <c r="B116" s="63"/>
      <c r="C116" s="77"/>
      <c r="D116" s="78" t="s">
        <v>241</v>
      </c>
      <c r="E116" s="79"/>
      <c r="F116" s="441">
        <v>0</v>
      </c>
      <c r="G116" s="441">
        <f>F116</f>
        <v>0</v>
      </c>
      <c r="H116" s="441">
        <f>G116</f>
        <v>0</v>
      </c>
      <c r="I116" s="441">
        <f>H116</f>
        <v>0</v>
      </c>
      <c r="J116" s="79"/>
      <c r="K116" s="50"/>
    </row>
    <row r="117" spans="2:16">
      <c r="B117" s="63"/>
      <c r="C117" s="77"/>
      <c r="D117" s="193" t="s">
        <v>77</v>
      </c>
      <c r="E117" s="79"/>
      <c r="F117" s="254">
        <f>SUM(F115:F116)</f>
        <v>0</v>
      </c>
      <c r="G117" s="254">
        <f>SUM(G115:G116)</f>
        <v>0</v>
      </c>
      <c r="H117" s="254">
        <f>SUM(H115:H116)</f>
        <v>0</v>
      </c>
      <c r="I117" s="254">
        <f>SUM(I115:I116)</f>
        <v>0</v>
      </c>
      <c r="J117" s="79"/>
      <c r="K117" s="50"/>
    </row>
    <row r="118" spans="2:16" s="102" customFormat="1">
      <c r="B118" s="415"/>
      <c r="C118" s="554"/>
      <c r="D118" s="562" t="s">
        <v>109</v>
      </c>
      <c r="E118" s="558"/>
      <c r="F118" s="561" t="e">
        <f>F117/(F$15+F$18+F$24)</f>
        <v>#DIV/0!</v>
      </c>
      <c r="G118" s="561" t="e">
        <f>G117/(G$15+G$18+G$24)</f>
        <v>#DIV/0!</v>
      </c>
      <c r="H118" s="561" t="e">
        <f>H117/(H$15+H$18+H$24)</f>
        <v>#DIV/0!</v>
      </c>
      <c r="I118" s="561" t="e">
        <f>I117/(I$15+I$18+I$24)</f>
        <v>#DIV/0!</v>
      </c>
      <c r="J118" s="448"/>
      <c r="K118" s="50"/>
    </row>
    <row r="119" spans="2:16">
      <c r="B119" s="63"/>
      <c r="C119" s="528"/>
      <c r="D119" s="78"/>
      <c r="E119" s="85"/>
      <c r="F119" s="556"/>
      <c r="G119" s="556"/>
      <c r="H119" s="556"/>
      <c r="I119" s="556"/>
      <c r="J119" s="79"/>
      <c r="K119" s="50"/>
    </row>
    <row r="120" spans="2:16">
      <c r="B120" s="63"/>
      <c r="C120" s="528"/>
      <c r="D120" s="352" t="s">
        <v>100</v>
      </c>
      <c r="E120" s="85"/>
      <c r="F120" s="556"/>
      <c r="G120" s="556"/>
      <c r="H120" s="556"/>
      <c r="I120" s="556"/>
      <c r="J120" s="79"/>
      <c r="K120" s="50"/>
    </row>
    <row r="121" spans="2:16">
      <c r="B121" s="63"/>
      <c r="C121" s="77"/>
      <c r="D121" s="78" t="s">
        <v>111</v>
      </c>
      <c r="E121" s="79"/>
      <c r="F121" s="441">
        <f>'1'!F73+'2'!F73+'3'!F73+'4'!F73+'5'!F73+'6'!F73+'7'!F73+'8'!F73+'9'!F73+'10'!F73+'11'!F73+'12'!F73+'13'!F73+'14'!F73+'15'!F73+'16'!F73+'17'!F73+'18'!F73+'19'!F73+'20'!F73</f>
        <v>0</v>
      </c>
      <c r="G121" s="441">
        <f>'1'!G73+'2'!G73+'3'!G73+'4'!G73+'5'!G73+'6'!G73+'7'!G73+'8'!G73+'9'!G73+'10'!G73+'11'!G73+'12'!G73+'13'!G73+'14'!G73+'15'!G73+'16'!G73+'17'!G73+'18'!G73+'19'!G73+'20'!G73</f>
        <v>0</v>
      </c>
      <c r="H121" s="441">
        <f>'1'!H73+'2'!H73+'3'!H73+'4'!H73+'5'!H73+'6'!H73+'7'!H73+'8'!H73+'9'!H73+'10'!H73+'11'!H73+'12'!H73+'13'!H73+'14'!H73+'15'!H73+'16'!H73+'17'!H73+'18'!H73+'19'!H73+'20'!H73</f>
        <v>0</v>
      </c>
      <c r="I121" s="441">
        <f>'1'!I73+'2'!I73+'3'!I73+'4'!I73+'5'!I73+'6'!I73+'7'!I73+'8'!I73+'9'!I73+'10'!I73+'11'!I73+'12'!I73+'13'!I73+'14'!I73+'15'!I73+'16'!I73+'17'!I73+'18'!I73+'19'!I73+'20'!I73</f>
        <v>0</v>
      </c>
      <c r="J121" s="79"/>
      <c r="K121" s="416"/>
    </row>
    <row r="122" spans="2:16">
      <c r="B122" s="63"/>
      <c r="C122" s="77"/>
      <c r="D122" s="78" t="s">
        <v>241</v>
      </c>
      <c r="E122" s="79"/>
      <c r="F122" s="249">
        <v>0</v>
      </c>
      <c r="G122" s="249">
        <f t="shared" ref="G122:G123" si="5">F122</f>
        <v>0</v>
      </c>
      <c r="H122" s="249">
        <f t="shared" ref="H122:H123" si="6">G122</f>
        <v>0</v>
      </c>
      <c r="I122" s="249">
        <f t="shared" ref="I122:I123" si="7">H122</f>
        <v>0</v>
      </c>
      <c r="J122" s="79"/>
      <c r="K122" s="50"/>
    </row>
    <row r="123" spans="2:16">
      <c r="B123" s="63"/>
      <c r="C123" s="77"/>
      <c r="D123" s="78" t="s">
        <v>152</v>
      </c>
      <c r="E123" s="79"/>
      <c r="F123" s="249">
        <v>0</v>
      </c>
      <c r="G123" s="249">
        <f t="shared" si="5"/>
        <v>0</v>
      </c>
      <c r="H123" s="249">
        <f t="shared" si="6"/>
        <v>0</v>
      </c>
      <c r="I123" s="249">
        <f t="shared" si="7"/>
        <v>0</v>
      </c>
      <c r="J123" s="79"/>
      <c r="K123" s="50"/>
    </row>
    <row r="124" spans="2:16">
      <c r="B124" s="63"/>
      <c r="C124" s="77"/>
      <c r="D124" s="193" t="s">
        <v>77</v>
      </c>
      <c r="E124" s="79"/>
      <c r="F124" s="254">
        <f>SUM(F121:F123)</f>
        <v>0</v>
      </c>
      <c r="G124" s="254">
        <f>SUM(G121:G123)</f>
        <v>0</v>
      </c>
      <c r="H124" s="254">
        <f>SUM(H121:H123)</f>
        <v>0</v>
      </c>
      <c r="I124" s="254">
        <f>SUM(I121:I123)</f>
        <v>0</v>
      </c>
      <c r="J124" s="79"/>
      <c r="K124" s="50"/>
    </row>
    <row r="125" spans="2:16" s="102" customFormat="1">
      <c r="B125" s="415"/>
      <c r="C125" s="554"/>
      <c r="D125" s="562" t="s">
        <v>109</v>
      </c>
      <c r="E125" s="448"/>
      <c r="F125" s="561" t="e">
        <f>F124/(F$15+F$18+F$24)</f>
        <v>#DIV/0!</v>
      </c>
      <c r="G125" s="561" t="e">
        <f>G124/(G$15+G$18+G$24)</f>
        <v>#DIV/0!</v>
      </c>
      <c r="H125" s="561" t="e">
        <f>H124/(H$15+H$18+H$24)</f>
        <v>#DIV/0!</v>
      </c>
      <c r="I125" s="561" t="e">
        <f>I124/(I$15+I$18+I$24)</f>
        <v>#DIV/0!</v>
      </c>
      <c r="J125" s="448"/>
      <c r="K125" s="50"/>
      <c r="M125" s="103"/>
      <c r="N125" s="103"/>
      <c r="O125" s="103"/>
      <c r="P125" s="103"/>
    </row>
    <row r="126" spans="2:16">
      <c r="B126" s="63"/>
      <c r="C126" s="77"/>
      <c r="D126" s="78"/>
      <c r="E126" s="79"/>
      <c r="F126" s="546"/>
      <c r="G126" s="546"/>
      <c r="H126" s="546"/>
      <c r="I126" s="546"/>
      <c r="J126" s="79"/>
      <c r="K126" s="50"/>
    </row>
    <row r="127" spans="2:16">
      <c r="B127" s="63"/>
      <c r="C127" s="77"/>
      <c r="D127" s="352" t="s">
        <v>101</v>
      </c>
      <c r="E127" s="79"/>
      <c r="F127" s="546"/>
      <c r="G127" s="546"/>
      <c r="H127" s="546"/>
      <c r="I127" s="546"/>
      <c r="J127" s="79"/>
      <c r="K127" s="416"/>
    </row>
    <row r="128" spans="2:16">
      <c r="B128" s="63"/>
      <c r="C128" s="77"/>
      <c r="D128" s="78" t="s">
        <v>111</v>
      </c>
      <c r="E128" s="79"/>
      <c r="F128" s="441">
        <f>'1'!F74+'2'!F74+'3'!F74+'4'!F74+'5'!F74+'6'!F74+'7'!F74+'8'!F74+'9'!F74+'10'!F74+'11'!F74+'12'!F74+'13'!F74+'14'!F74+'15'!F74+'16'!F74+'17'!F74+'18'!F74+'19'!F74+'20'!F74</f>
        <v>0</v>
      </c>
      <c r="G128" s="441">
        <f>'1'!G74+'2'!G74+'3'!G74+'4'!G74+'5'!G74+'6'!G74+'7'!G74+'8'!G74+'9'!G74+'10'!G74+'11'!G74+'12'!G74+'13'!G74+'14'!G74+'15'!G74+'16'!G74+'17'!G74+'18'!G74+'19'!G74+'20'!G74</f>
        <v>0</v>
      </c>
      <c r="H128" s="441">
        <f>'1'!H74+'2'!H74+'3'!H74+'4'!H74+'5'!H74+'6'!H74+'7'!H74+'8'!H74+'9'!H74+'10'!H74+'11'!H74+'12'!H74+'13'!H74+'14'!H74+'15'!H74+'16'!H74+'17'!H74+'18'!H74+'19'!H74+'20'!H74</f>
        <v>0</v>
      </c>
      <c r="I128" s="441">
        <f>'1'!I74+'2'!I74+'3'!I74+'4'!I74+'5'!I74+'6'!I74+'7'!I74+'8'!I74+'9'!I74+'10'!I74+'11'!I74+'12'!I74+'13'!I74+'14'!I74+'15'!I74+'16'!I74+'17'!I74+'18'!I74+'19'!I74+'20'!I74</f>
        <v>0</v>
      </c>
      <c r="J128" s="79"/>
      <c r="K128" s="50"/>
    </row>
    <row r="129" spans="2:16">
      <c r="B129" s="63"/>
      <c r="C129" s="77"/>
      <c r="D129" s="78" t="s">
        <v>241</v>
      </c>
      <c r="E129" s="79"/>
      <c r="F129" s="249">
        <v>0</v>
      </c>
      <c r="G129" s="249">
        <f t="shared" ref="G129" si="8">F129</f>
        <v>0</v>
      </c>
      <c r="H129" s="249">
        <f t="shared" ref="H129" si="9">G129</f>
        <v>0</v>
      </c>
      <c r="I129" s="249">
        <f t="shared" ref="I129" si="10">H129</f>
        <v>0</v>
      </c>
      <c r="J129" s="79"/>
      <c r="K129" s="50"/>
    </row>
    <row r="130" spans="2:16">
      <c r="B130" s="63"/>
      <c r="C130" s="77"/>
      <c r="D130" s="193" t="s">
        <v>77</v>
      </c>
      <c r="E130" s="79"/>
      <c r="F130" s="254">
        <f>SUM(F128:F129)</f>
        <v>0</v>
      </c>
      <c r="G130" s="254">
        <f>SUM(G128:G129)</f>
        <v>0</v>
      </c>
      <c r="H130" s="254">
        <f>SUM(H128:H129)</f>
        <v>0</v>
      </c>
      <c r="I130" s="254">
        <f>SUM(I128:I129)</f>
        <v>0</v>
      </c>
      <c r="J130" s="79"/>
      <c r="K130" s="50"/>
    </row>
    <row r="131" spans="2:16" s="102" customFormat="1">
      <c r="B131" s="415"/>
      <c r="C131" s="554"/>
      <c r="D131" s="562" t="s">
        <v>109</v>
      </c>
      <c r="E131" s="448"/>
      <c r="F131" s="561" t="e">
        <f>F130/(F$15+F$18+F$24)</f>
        <v>#DIV/0!</v>
      </c>
      <c r="G131" s="561" t="e">
        <f>G130/(G$15+G$18+G$24)</f>
        <v>#DIV/0!</v>
      </c>
      <c r="H131" s="561" t="e">
        <f>H130/(H$15+H$18+H$24)</f>
        <v>#DIV/0!</v>
      </c>
      <c r="I131" s="561" t="e">
        <f>I130/(I$15+I$18+I$24)</f>
        <v>#DIV/0!</v>
      </c>
      <c r="J131" s="448"/>
      <c r="K131" s="50"/>
    </row>
    <row r="132" spans="2:16">
      <c r="B132" s="169"/>
      <c r="C132" s="77"/>
      <c r="D132" s="78"/>
      <c r="E132" s="195"/>
      <c r="F132" s="211"/>
      <c r="G132" s="211"/>
      <c r="H132" s="211"/>
      <c r="I132" s="211"/>
      <c r="J132" s="79"/>
      <c r="K132" s="50"/>
    </row>
    <row r="133" spans="2:16">
      <c r="B133" s="169"/>
      <c r="C133" s="77"/>
      <c r="D133" s="352" t="s">
        <v>90</v>
      </c>
      <c r="E133" s="195"/>
      <c r="F133" s="211"/>
      <c r="G133" s="211"/>
      <c r="H133" s="211"/>
      <c r="I133" s="211"/>
      <c r="J133" s="79"/>
      <c r="K133" s="416"/>
    </row>
    <row r="134" spans="2:16">
      <c r="B134" s="63"/>
      <c r="C134" s="528"/>
      <c r="D134" s="78" t="s">
        <v>111</v>
      </c>
      <c r="E134" s="85"/>
      <c r="F134" s="441">
        <f>'1'!F75+'2'!F75+'3'!F75+'4'!F75+'5'!F75+'6'!F75+'7'!F75+'8'!F75+'9'!F75+'10'!F75+'11'!F75+'12'!F75+'13'!F75+'14'!F75+'15'!F75+'16'!F75+'17'!F75+'18'!F75+'19'!F75+'20'!F75</f>
        <v>0</v>
      </c>
      <c r="G134" s="441">
        <f>'1'!G75+'2'!G75+'3'!G75+'4'!G75+'5'!G75+'6'!G75+'7'!G75+'8'!G75+'9'!G75+'10'!G75+'11'!G75+'12'!G75+'13'!G75+'14'!G75+'15'!G75+'16'!G75+'17'!G75+'18'!G75+'19'!G75+'20'!G75</f>
        <v>0</v>
      </c>
      <c r="H134" s="441">
        <f>'1'!H75+'2'!H75+'3'!H75+'4'!H75+'5'!H75+'6'!H75+'7'!H75+'8'!H75+'9'!H75+'10'!H75+'11'!H75+'12'!H75+'13'!H75+'14'!H75+'15'!H75+'16'!H75+'17'!H75+'18'!H75+'19'!H75+'20'!H75</f>
        <v>0</v>
      </c>
      <c r="I134" s="441">
        <f>'1'!I75+'2'!I75+'3'!I75+'4'!I75+'5'!I75+'6'!I75+'7'!I75+'8'!I75+'9'!I75+'10'!I75+'11'!I75+'12'!I75+'13'!I75+'14'!I75+'15'!I75+'16'!I75+'17'!I75+'18'!I75+'19'!I75+'20'!I75</f>
        <v>0</v>
      </c>
      <c r="J134" s="79"/>
      <c r="K134" s="50"/>
      <c r="M134" s="99"/>
      <c r="N134" s="99"/>
      <c r="O134" s="99"/>
      <c r="P134" s="99"/>
    </row>
    <row r="135" spans="2:16">
      <c r="B135" s="63"/>
      <c r="C135" s="77"/>
      <c r="D135" s="78" t="s">
        <v>123</v>
      </c>
      <c r="E135" s="79"/>
      <c r="F135" s="249">
        <v>0</v>
      </c>
      <c r="G135" s="249">
        <f t="shared" ref="G135" si="11">F135</f>
        <v>0</v>
      </c>
      <c r="H135" s="249">
        <f t="shared" ref="H135" si="12">G135</f>
        <v>0</v>
      </c>
      <c r="I135" s="249">
        <f t="shared" ref="I135" si="13">H135</f>
        <v>0</v>
      </c>
      <c r="J135" s="79"/>
      <c r="K135" s="50"/>
    </row>
    <row r="136" spans="2:16">
      <c r="B136" s="63"/>
      <c r="C136" s="528"/>
      <c r="D136" s="193" t="s">
        <v>77</v>
      </c>
      <c r="E136" s="85"/>
      <c r="F136" s="254">
        <f>SUM(F134:F135)</f>
        <v>0</v>
      </c>
      <c r="G136" s="254">
        <f>SUM(G134:G135)</f>
        <v>0</v>
      </c>
      <c r="H136" s="254">
        <f>SUM(H134:H135)</f>
        <v>0</v>
      </c>
      <c r="I136" s="254">
        <f>SUM(I134:I135)</f>
        <v>0</v>
      </c>
      <c r="J136" s="79"/>
      <c r="K136" s="50"/>
    </row>
    <row r="137" spans="2:16" s="102" customFormat="1">
      <c r="B137" s="415"/>
      <c r="C137" s="554"/>
      <c r="D137" s="562" t="s">
        <v>109</v>
      </c>
      <c r="E137" s="448"/>
      <c r="F137" s="561" t="e">
        <f>F136/(F$15+F$18+F$24)</f>
        <v>#DIV/0!</v>
      </c>
      <c r="G137" s="561" t="e">
        <f>G136/(G$15+G$18+G$24)</f>
        <v>#DIV/0!</v>
      </c>
      <c r="H137" s="561" t="e">
        <f>H136/(H$15+H$18+H$24)</f>
        <v>#DIV/0!</v>
      </c>
      <c r="I137" s="561" t="e">
        <f>I136/(I$15+I$18+I$24)</f>
        <v>#DIV/0!</v>
      </c>
      <c r="J137" s="448"/>
      <c r="K137" s="50"/>
    </row>
    <row r="138" spans="2:16">
      <c r="B138" s="63"/>
      <c r="C138" s="88"/>
      <c r="D138" s="559"/>
      <c r="E138" s="89"/>
      <c r="F138" s="547"/>
      <c r="G138" s="547"/>
      <c r="H138" s="547"/>
      <c r="I138" s="547"/>
      <c r="J138" s="89"/>
      <c r="K138" s="50"/>
    </row>
    <row r="139" spans="2:16">
      <c r="B139" s="63"/>
      <c r="C139" s="49"/>
      <c r="D139" s="62"/>
      <c r="E139" s="49"/>
      <c r="F139" s="275"/>
      <c r="G139" s="275"/>
      <c r="H139" s="275"/>
      <c r="I139" s="275"/>
      <c r="J139" s="49"/>
      <c r="K139" s="416"/>
    </row>
    <row r="140" spans="2:16">
      <c r="B140" s="63"/>
      <c r="C140" s="73"/>
      <c r="D140" s="185"/>
      <c r="E140" s="74"/>
      <c r="F140" s="188"/>
      <c r="G140" s="188"/>
      <c r="H140" s="188"/>
      <c r="I140" s="188"/>
      <c r="J140" s="189"/>
      <c r="K140" s="50"/>
    </row>
    <row r="141" spans="2:16">
      <c r="B141" s="169"/>
      <c r="C141" s="77"/>
      <c r="D141" s="352" t="s">
        <v>335</v>
      </c>
      <c r="E141" s="195"/>
      <c r="F141" s="211"/>
      <c r="G141" s="211"/>
      <c r="H141" s="211"/>
      <c r="I141" s="211"/>
      <c r="J141" s="80"/>
      <c r="K141" s="50"/>
    </row>
    <row r="142" spans="2:16">
      <c r="B142" s="63"/>
      <c r="C142" s="528"/>
      <c r="D142" s="78" t="s">
        <v>111</v>
      </c>
      <c r="E142" s="85"/>
      <c r="F142" s="441">
        <f>'1'!F76+'2'!F76+'3'!F76+'4'!F76+'5'!F76+'6'!F76+'7'!F76+'8'!F76+'9'!F76+'10'!F76+'11'!F76+'12'!F76+'13'!F76+'14'!F76+'15'!F76+'16'!F76+'17'!F76+'18'!F76+'19'!F76+'20'!F76</f>
        <v>0</v>
      </c>
      <c r="G142" s="441">
        <f>'1'!G76+'2'!G76+'3'!G76+'4'!G76+'5'!G76+'6'!G76+'7'!G76+'8'!G76+'9'!G76+'10'!G76+'11'!G76+'12'!G76+'13'!G76+'14'!G76+'15'!G76+'16'!G76+'17'!G76+'18'!G76+'19'!G76+'20'!G76</f>
        <v>0</v>
      </c>
      <c r="H142" s="441">
        <f>'1'!H76+'2'!H76+'3'!H76+'4'!H76+'5'!H76+'6'!H76+'7'!H76+'8'!H76+'9'!H76+'10'!H76+'11'!H76+'12'!H76+'13'!H76+'14'!H76+'15'!H76+'16'!H76+'17'!H76+'18'!H76+'19'!H76+'20'!H76</f>
        <v>0</v>
      </c>
      <c r="I142" s="441">
        <f>'1'!I76+'2'!I76+'3'!I76+'4'!I76+'5'!I76+'6'!I76+'7'!I76+'8'!I76+'9'!I76+'10'!I76+'11'!I76+'12'!I76+'13'!I76+'14'!I76+'15'!I76+'16'!I76+'17'!I76+'18'!I76+'19'!I76+'20'!I76</f>
        <v>0</v>
      </c>
      <c r="J142" s="80"/>
      <c r="K142" s="50"/>
    </row>
    <row r="143" spans="2:16">
      <c r="B143" s="63"/>
      <c r="C143" s="528"/>
      <c r="D143" s="78" t="s">
        <v>241</v>
      </c>
      <c r="E143" s="85"/>
      <c r="F143" s="441">
        <f>+'begr(bk)'!H23+'begr(bk)'!H24</f>
        <v>0</v>
      </c>
      <c r="G143" s="441">
        <f>+'begr(bk)'!I23+'begr(bk)'!I24</f>
        <v>0</v>
      </c>
      <c r="H143" s="441">
        <f>+'begr(bk)'!J23+'begr(bk)'!J24</f>
        <v>0</v>
      </c>
      <c r="I143" s="441">
        <f>+'begr(bk)'!K23+'begr(bk)'!K24</f>
        <v>0</v>
      </c>
      <c r="J143" s="80"/>
      <c r="K143" s="50"/>
    </row>
    <row r="144" spans="2:16">
      <c r="B144" s="63"/>
      <c r="C144" s="528"/>
      <c r="D144" s="193" t="s">
        <v>77</v>
      </c>
      <c r="E144" s="85"/>
      <c r="F144" s="254">
        <f>SUM(F142:F143)</f>
        <v>0</v>
      </c>
      <c r="G144" s="254">
        <f t="shared" ref="G144:I144" si="14">SUM(G142:G143)</f>
        <v>0</v>
      </c>
      <c r="H144" s="254">
        <f t="shared" si="14"/>
        <v>0</v>
      </c>
      <c r="I144" s="254">
        <f t="shared" si="14"/>
        <v>0</v>
      </c>
      <c r="J144" s="80"/>
      <c r="K144" s="50"/>
    </row>
    <row r="145" spans="2:16" s="102" customFormat="1">
      <c r="B145" s="415"/>
      <c r="C145" s="554"/>
      <c r="D145" s="562" t="s">
        <v>109</v>
      </c>
      <c r="E145" s="448"/>
      <c r="F145" s="561" t="e">
        <f>F144/(F$15+F$18+F$24)</f>
        <v>#DIV/0!</v>
      </c>
      <c r="G145" s="561" t="e">
        <f>G144/(G$15+G$18+G$24)</f>
        <v>#DIV/0!</v>
      </c>
      <c r="H145" s="561" t="e">
        <f>H144/(H$15+H$18+H$24)</f>
        <v>#DIV/0!</v>
      </c>
      <c r="I145" s="561" t="e">
        <f>I144/(I$15+I$18+I$24)</f>
        <v>#DIV/0!</v>
      </c>
      <c r="J145" s="450"/>
      <c r="K145" s="416"/>
    </row>
    <row r="146" spans="2:16">
      <c r="B146" s="63"/>
      <c r="C146" s="77"/>
      <c r="D146" s="562"/>
      <c r="E146" s="79"/>
      <c r="F146" s="561"/>
      <c r="G146" s="561"/>
      <c r="H146" s="561"/>
      <c r="I146" s="561"/>
      <c r="J146" s="80"/>
      <c r="K146" s="50"/>
    </row>
    <row r="147" spans="2:16">
      <c r="B147" s="169"/>
      <c r="C147" s="77"/>
      <c r="D147" s="586" t="s">
        <v>338</v>
      </c>
      <c r="E147" s="195"/>
      <c r="F147" s="211"/>
      <c r="G147" s="211"/>
      <c r="H147" s="211"/>
      <c r="I147" s="211"/>
      <c r="J147" s="80"/>
      <c r="K147" s="50"/>
    </row>
    <row r="148" spans="2:16">
      <c r="B148" s="63"/>
      <c r="C148" s="528"/>
      <c r="D148" s="78" t="s">
        <v>111</v>
      </c>
      <c r="E148" s="85"/>
      <c r="F148" s="441">
        <f>'1'!F77+'2'!F77+'3'!F77+'4'!F77+'5'!F77+'6'!F77+'7'!F77+'8'!F77+'9'!F77+'10'!F77+'11'!F77+'12'!F77+'13'!F77+'14'!F77+'15'!F77+'16'!F77+'17'!F77+'18'!F77+'19'!F77+'20'!F77</f>
        <v>0</v>
      </c>
      <c r="G148" s="441">
        <f>'1'!G77+'2'!G77+'3'!G77+'4'!G77+'5'!G77+'6'!G77+'7'!G77+'8'!G77+'9'!G77+'10'!G77+'11'!G77+'12'!G77+'13'!G77+'14'!G77+'15'!G77+'16'!G77+'17'!G77+'18'!G77+'19'!G77+'20'!G77</f>
        <v>0</v>
      </c>
      <c r="H148" s="441">
        <f>'1'!H77+'2'!H77+'3'!H77+'4'!H77+'5'!H77+'6'!H77+'7'!H77+'8'!H77+'9'!H77+'10'!H77+'11'!H77+'12'!H77+'13'!H77+'14'!H77+'15'!H77+'16'!H77+'17'!H77+'18'!H77+'19'!H77+'20'!H77</f>
        <v>0</v>
      </c>
      <c r="I148" s="441">
        <f>'1'!I77+'2'!I77+'3'!I77+'4'!I77+'5'!I77+'6'!I77+'7'!I77+'8'!I77+'9'!I77+'10'!I77+'11'!I77+'12'!I77+'13'!I77+'14'!I77+'15'!I77+'16'!I77+'17'!I77+'18'!I77+'19'!I77+'20'!I77</f>
        <v>0</v>
      </c>
      <c r="J148" s="80"/>
      <c r="K148" s="50"/>
    </row>
    <row r="149" spans="2:16">
      <c r="B149" s="63"/>
      <c r="C149" s="528"/>
      <c r="D149" s="78" t="s">
        <v>241</v>
      </c>
      <c r="E149" s="85"/>
      <c r="F149" s="441">
        <f>+'begr(bk)'!H23</f>
        <v>0</v>
      </c>
      <c r="G149" s="441">
        <f>+'begr(bk)'!I23</f>
        <v>0</v>
      </c>
      <c r="H149" s="441">
        <f>+'begr(bk)'!J23</f>
        <v>0</v>
      </c>
      <c r="I149" s="441">
        <f>+'begr(bk)'!K23</f>
        <v>0</v>
      </c>
      <c r="J149" s="80"/>
      <c r="K149" s="50"/>
    </row>
    <row r="150" spans="2:16">
      <c r="B150" s="63"/>
      <c r="C150" s="528"/>
      <c r="D150" s="193" t="s">
        <v>77</v>
      </c>
      <c r="E150" s="85"/>
      <c r="F150" s="254">
        <f>SUM(F148:F149)</f>
        <v>0</v>
      </c>
      <c r="G150" s="254">
        <f>SUM(G148:G149)</f>
        <v>0</v>
      </c>
      <c r="H150" s="254">
        <f>SUM(H148:H149)</f>
        <v>0</v>
      </c>
      <c r="I150" s="254">
        <f>SUM(I148:I149)</f>
        <v>0</v>
      </c>
      <c r="J150" s="80"/>
      <c r="K150" s="50"/>
    </row>
    <row r="151" spans="2:16" s="102" customFormat="1">
      <c r="B151" s="415"/>
      <c r="C151" s="554"/>
      <c r="D151" s="562" t="s">
        <v>109</v>
      </c>
      <c r="E151" s="448"/>
      <c r="F151" s="561" t="e">
        <f>F150/(F$15+F$18+F$24)</f>
        <v>#DIV/0!</v>
      </c>
      <c r="G151" s="561" t="e">
        <f>G150/(G$15+G$18+G$24)</f>
        <v>#DIV/0!</v>
      </c>
      <c r="H151" s="561" t="e">
        <f>H150/(H$15+H$18+H$24)</f>
        <v>#DIV/0!</v>
      </c>
      <c r="I151" s="561" t="e">
        <f>I150/(I$15+I$18+I$24)</f>
        <v>#DIV/0!</v>
      </c>
      <c r="J151" s="450"/>
      <c r="K151" s="416"/>
    </row>
    <row r="152" spans="2:16">
      <c r="B152" s="63"/>
      <c r="C152" s="77"/>
      <c r="D152" s="81"/>
      <c r="E152" s="79"/>
      <c r="F152" s="546"/>
      <c r="G152" s="546"/>
      <c r="H152" s="546"/>
      <c r="I152" s="546"/>
      <c r="J152" s="80"/>
      <c r="K152" s="50"/>
    </row>
    <row r="153" spans="2:16">
      <c r="B153" s="63"/>
      <c r="C153" s="77"/>
      <c r="D153" s="352" t="s">
        <v>89</v>
      </c>
      <c r="E153" s="195"/>
      <c r="F153" s="211"/>
      <c r="G153" s="211"/>
      <c r="H153" s="211"/>
      <c r="I153" s="211"/>
      <c r="J153" s="80"/>
      <c r="K153" s="50"/>
    </row>
    <row r="154" spans="2:16">
      <c r="B154" s="63"/>
      <c r="C154" s="528"/>
      <c r="D154" s="78" t="s">
        <v>111</v>
      </c>
      <c r="E154" s="85"/>
      <c r="F154" s="441">
        <f>'1'!F61+'2'!F61+'3'!F61+'4'!F61+'5'!F61+'6'!F61+'7'!F61+'8'!F61+'9'!F61+'10'!F61+'11'!F61+'12'!F61+'13'!F61+'14'!F61+'15'!F61+'16'!F61+'17'!F61+'18'!F61+'19'!F61+'20'!F61</f>
        <v>0</v>
      </c>
      <c r="G154" s="441">
        <f>'1'!G61+'2'!G61+'3'!G61+'4'!G61+'5'!G61+'6'!G61+'7'!G61+'8'!G61+'9'!G61+'10'!G61+'11'!G61+'12'!G61+'13'!G61+'14'!G61+'15'!G61+'16'!G61+'17'!G61+'18'!G61+'19'!G61+'20'!G61</f>
        <v>0</v>
      </c>
      <c r="H154" s="441">
        <f>'1'!H61+'2'!H61+'3'!H61+'4'!H61+'5'!H61+'6'!H61+'7'!H61+'8'!H61+'9'!H61+'10'!H61+'11'!H61+'12'!H61+'13'!H61+'14'!H61+'15'!H61+'16'!H61+'17'!H61+'18'!H61+'19'!H61+'20'!H61</f>
        <v>0</v>
      </c>
      <c r="I154" s="441">
        <f>'1'!I61+'2'!I61+'3'!I61+'4'!I61+'5'!I61+'6'!I61+'7'!I61+'8'!I61+'9'!I61+'10'!I61+'11'!I61+'12'!I61+'13'!I61+'14'!I61+'15'!I61+'16'!I61+'17'!I61+'18'!I61+'19'!I61+'20'!I61</f>
        <v>0</v>
      </c>
      <c r="J154" s="80"/>
      <c r="K154" s="50"/>
      <c r="M154" s="99"/>
      <c r="N154" s="99"/>
      <c r="O154" s="99"/>
      <c r="P154" s="99"/>
    </row>
    <row r="155" spans="2:16">
      <c r="B155" s="63"/>
      <c r="C155" s="528"/>
      <c r="D155" s="78" t="s">
        <v>241</v>
      </c>
      <c r="E155" s="85"/>
      <c r="F155" s="441">
        <f>act!G29</f>
        <v>0</v>
      </c>
      <c r="G155" s="441">
        <f>act!H29</f>
        <v>0</v>
      </c>
      <c r="H155" s="441">
        <f>act!I29</f>
        <v>0</v>
      </c>
      <c r="I155" s="441">
        <f>act!J29</f>
        <v>0</v>
      </c>
      <c r="J155" s="80"/>
      <c r="K155" s="50"/>
    </row>
    <row r="156" spans="2:16">
      <c r="B156" s="63"/>
      <c r="C156" s="528"/>
      <c r="D156" s="193" t="s">
        <v>77</v>
      </c>
      <c r="E156" s="85"/>
      <c r="F156" s="254">
        <f>SUM(F154:F155)</f>
        <v>0</v>
      </c>
      <c r="G156" s="254">
        <f>SUM(G154:G155)</f>
        <v>0</v>
      </c>
      <c r="H156" s="254">
        <f>SUM(H154:H155)</f>
        <v>0</v>
      </c>
      <c r="I156" s="254">
        <f>SUM(I154:I155)</f>
        <v>0</v>
      </c>
      <c r="J156" s="80"/>
      <c r="K156" s="50"/>
    </row>
    <row r="157" spans="2:16" s="102" customFormat="1">
      <c r="B157" s="415"/>
      <c r="C157" s="554"/>
      <c r="D157" s="562" t="s">
        <v>109</v>
      </c>
      <c r="E157" s="448"/>
      <c r="F157" s="561" t="e">
        <f>F156/(F$15+F$18+F$24)</f>
        <v>#DIV/0!</v>
      </c>
      <c r="G157" s="561" t="e">
        <f>G156/(G$15+G$18+G$24)</f>
        <v>#DIV/0!</v>
      </c>
      <c r="H157" s="561" t="e">
        <f>H156/(H$15+H$18+H$24)</f>
        <v>#DIV/0!</v>
      </c>
      <c r="I157" s="561" t="e">
        <f>I156/(I$15+I$18+I$24)</f>
        <v>#DIV/0!</v>
      </c>
      <c r="J157" s="450"/>
      <c r="K157" s="416"/>
    </row>
    <row r="158" spans="2:16">
      <c r="B158" s="63"/>
      <c r="C158" s="77"/>
      <c r="D158" s="81"/>
      <c r="E158" s="79"/>
      <c r="F158" s="546"/>
      <c r="G158" s="546"/>
      <c r="H158" s="546"/>
      <c r="I158" s="546"/>
      <c r="J158" s="80"/>
      <c r="K158" s="50"/>
    </row>
    <row r="159" spans="2:16">
      <c r="B159" s="63"/>
      <c r="C159" s="77"/>
      <c r="D159" s="352" t="s">
        <v>229</v>
      </c>
      <c r="E159" s="195"/>
      <c r="F159" s="211"/>
      <c r="G159" s="211"/>
      <c r="H159" s="211"/>
      <c r="I159" s="211"/>
      <c r="J159" s="80"/>
      <c r="K159" s="50"/>
    </row>
    <row r="160" spans="2:16">
      <c r="B160" s="63"/>
      <c r="C160" s="528"/>
      <c r="D160" s="78" t="s">
        <v>111</v>
      </c>
      <c r="E160" s="85"/>
      <c r="F160" s="441">
        <f>'1'!F62+'2'!F62+'3'!F62+'4'!F62+'5'!F62+'6'!F62+'7'!F62+'8'!F62+'9'!F62+'10'!F62+'11'!F62+'12'!F62+'13'!F62+'14'!F62+'15'!F62+'16'!F62+'17'!F62+'18'!F62+'19'!F62+'20'!F62</f>
        <v>0</v>
      </c>
      <c r="G160" s="441">
        <f>'1'!G62+'2'!G62+'3'!G62+'4'!G62+'5'!G62+'6'!G62+'7'!G62+'8'!G62+'9'!G62+'10'!G62+'11'!G62+'12'!G62+'13'!G62+'14'!G62+'15'!G62+'16'!G62+'17'!G62+'18'!G62+'19'!G62+'20'!G62</f>
        <v>0</v>
      </c>
      <c r="H160" s="441">
        <f>'1'!H62+'2'!H62+'3'!H62+'4'!H62+'5'!H62+'6'!H62+'7'!H62+'8'!H62+'9'!H62+'10'!H62+'11'!H62+'12'!H62+'13'!H62+'14'!H62+'15'!H62+'16'!H62+'17'!H62+'18'!H62+'19'!H62+'20'!H62</f>
        <v>0</v>
      </c>
      <c r="I160" s="441">
        <f>'1'!I62+'2'!I62+'3'!I62+'4'!I62+'5'!I62+'6'!I62+'7'!I62+'8'!I62+'9'!I62+'10'!I62+'11'!I62+'12'!I62+'13'!I62+'14'!I62+'15'!I62+'16'!I62+'17'!I62+'18'!I62+'19'!I62+'20'!I62</f>
        <v>0</v>
      </c>
      <c r="J160" s="80"/>
      <c r="K160" s="50"/>
    </row>
    <row r="161" spans="2:11">
      <c r="B161" s="63"/>
      <c r="C161" s="528"/>
      <c r="D161" s="78" t="s">
        <v>241</v>
      </c>
      <c r="E161" s="85"/>
      <c r="F161" s="441">
        <f>mop!G17</f>
        <v>0</v>
      </c>
      <c r="G161" s="441">
        <f>mop!H17</f>
        <v>0</v>
      </c>
      <c r="H161" s="441">
        <f>mop!I17</f>
        <v>0</v>
      </c>
      <c r="I161" s="441">
        <f>mop!J17</f>
        <v>0</v>
      </c>
      <c r="J161" s="80"/>
      <c r="K161" s="50"/>
    </row>
    <row r="162" spans="2:11">
      <c r="B162" s="63"/>
      <c r="C162" s="528"/>
      <c r="D162" s="193" t="s">
        <v>77</v>
      </c>
      <c r="E162" s="85"/>
      <c r="F162" s="254">
        <f>SUM(F160:F161)</f>
        <v>0</v>
      </c>
      <c r="G162" s="254">
        <f>SUM(G160:G161)</f>
        <v>0</v>
      </c>
      <c r="H162" s="254">
        <f>SUM(H160:H161)</f>
        <v>0</v>
      </c>
      <c r="I162" s="254">
        <f>SUM(I160:I161)</f>
        <v>0</v>
      </c>
      <c r="J162" s="80"/>
      <c r="K162" s="50"/>
    </row>
    <row r="163" spans="2:11" s="102" customFormat="1">
      <c r="B163" s="415"/>
      <c r="C163" s="554"/>
      <c r="D163" s="562" t="s">
        <v>109</v>
      </c>
      <c r="E163" s="448"/>
      <c r="F163" s="561" t="e">
        <f>F162/(F$15+F$18+F$24)</f>
        <v>#DIV/0!</v>
      </c>
      <c r="G163" s="561" t="e">
        <f>G162/(G$15+G$18+G$24)</f>
        <v>#DIV/0!</v>
      </c>
      <c r="H163" s="561" t="e">
        <f>H162/(H$15+H$18+H$24)</f>
        <v>#DIV/0!</v>
      </c>
      <c r="I163" s="561" t="e">
        <f>I162/(I$15+I$18+I$24)</f>
        <v>#DIV/0!</v>
      </c>
      <c r="J163" s="450"/>
      <c r="K163" s="416"/>
    </row>
    <row r="164" spans="2:11">
      <c r="B164" s="63"/>
      <c r="C164" s="88"/>
      <c r="D164" s="559"/>
      <c r="E164" s="89"/>
      <c r="F164" s="547"/>
      <c r="G164" s="547"/>
      <c r="H164" s="547"/>
      <c r="I164" s="547"/>
      <c r="J164" s="91"/>
      <c r="K164" s="50"/>
    </row>
    <row r="165" spans="2:11">
      <c r="B165" s="63"/>
      <c r="C165" s="49"/>
      <c r="D165" s="62"/>
      <c r="E165" s="49"/>
      <c r="F165" s="275"/>
      <c r="G165" s="275"/>
      <c r="H165" s="275"/>
      <c r="I165" s="275"/>
      <c r="J165" s="49"/>
      <c r="K165" s="50"/>
    </row>
    <row r="166" spans="2:11">
      <c r="B166" s="63"/>
      <c r="C166" s="49"/>
      <c r="D166" s="62"/>
      <c r="E166" s="49"/>
      <c r="F166" s="275"/>
      <c r="G166" s="275"/>
      <c r="H166" s="275"/>
      <c r="I166" s="275"/>
      <c r="J166" s="49"/>
      <c r="K166" s="50"/>
    </row>
    <row r="167" spans="2:11" ht="15">
      <c r="B167" s="417"/>
      <c r="C167" s="70"/>
      <c r="D167" s="173"/>
      <c r="E167" s="70"/>
      <c r="F167" s="418"/>
      <c r="G167" s="418"/>
      <c r="H167" s="418"/>
      <c r="I167" s="418"/>
      <c r="J167" s="177" t="s">
        <v>280</v>
      </c>
      <c r="K167" s="72"/>
    </row>
    <row r="170" spans="2:11">
      <c r="G170" s="97"/>
      <c r="H170" s="97"/>
      <c r="I170" s="97"/>
    </row>
    <row r="171" spans="2:11">
      <c r="G171" s="97"/>
      <c r="H171" s="97"/>
      <c r="I171" s="97"/>
    </row>
    <row r="172" spans="2:11">
      <c r="G172" s="97"/>
      <c r="H172" s="97"/>
      <c r="I172" s="97"/>
    </row>
    <row r="173" spans="2:11">
      <c r="G173" s="97"/>
      <c r="H173" s="97"/>
      <c r="I173" s="97"/>
    </row>
    <row r="174" spans="2:11">
      <c r="G174" s="97"/>
      <c r="H174" s="97"/>
      <c r="I174" s="97"/>
    </row>
    <row r="175" spans="2:11">
      <c r="G175" s="97"/>
      <c r="H175" s="97"/>
      <c r="I175" s="97"/>
    </row>
    <row r="176" spans="2:11">
      <c r="G176" s="97"/>
      <c r="H176" s="97"/>
      <c r="I176" s="97"/>
    </row>
    <row r="177" spans="7:9">
      <c r="G177" s="97"/>
      <c r="H177" s="97"/>
      <c r="I177" s="97"/>
    </row>
    <row r="178" spans="7:9">
      <c r="G178" s="97"/>
      <c r="H178" s="97"/>
      <c r="I178" s="97"/>
    </row>
    <row r="179" spans="7:9">
      <c r="G179" s="97"/>
      <c r="H179" s="97"/>
      <c r="I179" s="97"/>
    </row>
    <row r="180" spans="7:9">
      <c r="G180" s="97"/>
      <c r="H180" s="97"/>
      <c r="I180" s="97"/>
    </row>
    <row r="181" spans="7:9">
      <c r="G181" s="97"/>
      <c r="H181" s="97"/>
      <c r="I181" s="97"/>
    </row>
    <row r="182" spans="7:9">
      <c r="G182" s="97"/>
      <c r="H182" s="97"/>
      <c r="I182" s="97"/>
    </row>
    <row r="183" spans="7:9">
      <c r="G183" s="97"/>
      <c r="H183" s="97"/>
      <c r="I183" s="97"/>
    </row>
  </sheetData>
  <sheetProtection password="DFB1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88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32</vt:i4>
      </vt:variant>
    </vt:vector>
  </HeadingPairs>
  <TitlesOfParts>
    <vt:vector size="62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tab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schaal</vt:lpstr>
    </vt:vector>
  </TitlesOfParts>
  <Company>VOS/ABB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 2007</dc:title>
  <dc:creator>drs. R.M. Goedhart/ Bé Keizer</dc:creator>
  <cp:lastModifiedBy>Keizer</cp:lastModifiedBy>
  <cp:lastPrinted>2013-11-30T16:57:44Z</cp:lastPrinted>
  <dcterms:created xsi:type="dcterms:W3CDTF">2002-03-02T17:48:17Z</dcterms:created>
  <dcterms:modified xsi:type="dcterms:W3CDTF">2014-03-31T13:06:03Z</dcterms:modified>
</cp:coreProperties>
</file>