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7.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Users\B. Keizer\Documents\Instrumenten\toolbox 2017\basisschool\"/>
    </mc:Choice>
  </mc:AlternateContent>
  <bookViews>
    <workbookView xWindow="0" yWindow="0" windowWidth="19200" windowHeight="11595" tabRatio="926" activeTab="1"/>
  </bookViews>
  <sheets>
    <sheet name="toel" sheetId="20" r:id="rId1"/>
    <sheet name="geg" sheetId="1" r:id="rId2"/>
    <sheet name="pers" sheetId="2" r:id="rId3"/>
    <sheet name="form t" sheetId="21" r:id="rId4"/>
    <sheet name="form t+1" sheetId="23" r:id="rId5"/>
    <sheet name="sim" sheetId="29" r:id="rId6"/>
    <sheet name="fiebouw" sheetId="3" r:id="rId7"/>
    <sheet name="persbel" sheetId="26" r:id="rId8"/>
    <sheet name="mat" sheetId="4" r:id="rId9"/>
    <sheet name="mop" sheetId="22" r:id="rId10"/>
    <sheet name="mip" sheetId="6" r:id="rId11"/>
    <sheet name="act" sheetId="7" r:id="rId12"/>
    <sheet name="beleid" sheetId="30" state="hidden" r:id="rId13"/>
    <sheet name="begr" sheetId="8" r:id="rId14"/>
    <sheet name="ken" sheetId="9" state="hidden" r:id="rId15"/>
    <sheet name="som" sheetId="15" r:id="rId16"/>
    <sheet name="tab" sheetId="25" r:id="rId17"/>
    <sheet name="Module1" sheetId="11" state="veryHidden" r:id="rId18"/>
  </sheets>
  <definedNames>
    <definedName name="_xlnm.Print_Area" localSheetId="11">act!$B$2:$L$64</definedName>
    <definedName name="_xlnm.Print_Area" localSheetId="13">begr!$B$2:$L$55</definedName>
    <definedName name="_xlnm.Print_Area" localSheetId="12">beleid!$B$2:$W$72</definedName>
    <definedName name="_xlnm.Print_Area" localSheetId="6">fiebouw!$B$2:$Z$59</definedName>
    <definedName name="_xlnm.Print_Area" localSheetId="3">'form t'!$B$2:$T$115</definedName>
    <definedName name="_xlnm.Print_Area" localSheetId="4">'form t+1'!$B$2:$T$115</definedName>
    <definedName name="_xlnm.Print_Area" localSheetId="1">geg!$B$2:$M$70</definedName>
    <definedName name="_xlnm.Print_Area" localSheetId="14">ken!$B$2:$K$79</definedName>
    <definedName name="_xlnm.Print_Area" localSheetId="8">mat!$B$2:$N$179</definedName>
    <definedName name="_xlnm.Print_Area" localSheetId="10">mip!$B$2:$AA$144</definedName>
    <definedName name="_xlnm.Print_Area" localSheetId="9">mop!$B$2:$Q$32</definedName>
    <definedName name="_xlnm.Print_Area" localSheetId="2">pers!$B$2:$T$106</definedName>
    <definedName name="_xlnm.Print_Area" localSheetId="7">persbel!$B$2:$N$104</definedName>
    <definedName name="_xlnm.Print_Area" localSheetId="5">sim!$B$2:$R$59</definedName>
    <definedName name="_xlnm.Print_Area" localSheetId="15">som!$B$2:$K$88</definedName>
    <definedName name="_xlnm.Print_Area" localSheetId="16">tab!$A$1:$K$176</definedName>
    <definedName name="_xlnm.Print_Area" localSheetId="0">toel!$B$2:$O$148</definedName>
    <definedName name="FPE_LA">tab!$D$52:$E$94</definedName>
    <definedName name="FPE_LB">tab!$F$52:$G$94</definedName>
    <definedName name="groepenleerlingennu">tab!$A$122:$A$171</definedName>
    <definedName name="Postcode_gebieden">tab!$D$174:$D$1142</definedName>
    <definedName name="rugzakmat">tab!#REF!</definedName>
    <definedName name="rugzakpers">tab!#REF!</definedName>
    <definedName name="vloeroppervlaknu">tab!$D$122:$D$171</definedName>
  </definedNames>
  <calcPr calcId="152511"/>
</workbook>
</file>

<file path=xl/calcChain.xml><?xml version="1.0" encoding="utf-8"?>
<calcChain xmlns="http://schemas.openxmlformats.org/spreadsheetml/2006/main">
  <c r="E37" i="25" l="1"/>
  <c r="F20" i="25" l="1"/>
  <c r="F21" i="25"/>
  <c r="F22" i="25"/>
  <c r="F23" i="25"/>
  <c r="S67" i="30" l="1"/>
  <c r="P67" i="30"/>
  <c r="P19" i="30"/>
  <c r="S19" i="30"/>
  <c r="E4" i="25"/>
  <c r="F4" i="25" s="1"/>
  <c r="G4" i="25" s="1"/>
  <c r="H4" i="25" s="1"/>
  <c r="I4" i="25" s="1"/>
  <c r="F27" i="9" l="1"/>
  <c r="G27" i="9"/>
  <c r="H27" i="9"/>
  <c r="I27" i="9"/>
  <c r="I28" i="9" s="1"/>
  <c r="F28" i="9"/>
  <c r="G28" i="9"/>
  <c r="H28" i="9"/>
  <c r="F34" i="9"/>
  <c r="G34" i="9"/>
  <c r="H34" i="9"/>
  <c r="I34" i="9"/>
  <c r="F35" i="9"/>
  <c r="G35" i="9"/>
  <c r="H35" i="9"/>
  <c r="I35" i="9"/>
  <c r="F53" i="9"/>
  <c r="G53" i="9"/>
  <c r="H53" i="9"/>
  <c r="I53" i="9"/>
  <c r="F60" i="9"/>
  <c r="G60" i="9"/>
  <c r="H60" i="9"/>
  <c r="I60" i="9"/>
  <c r="H35" i="2"/>
  <c r="J73" i="8" l="1"/>
  <c r="J72" i="8"/>
  <c r="I73" i="8"/>
  <c r="I72" i="8"/>
  <c r="H73" i="8"/>
  <c r="H72" i="8"/>
  <c r="G73" i="8"/>
  <c r="G72" i="8"/>
  <c r="F73" i="8"/>
  <c r="F72" i="8"/>
  <c r="F65" i="8"/>
  <c r="J61" i="8"/>
  <c r="I61" i="8"/>
  <c r="H61" i="8"/>
  <c r="G61" i="8"/>
  <c r="F61" i="8"/>
  <c r="H46" i="4" l="1"/>
  <c r="I28" i="4"/>
  <c r="J28" i="4" s="1"/>
  <c r="K28" i="4" s="1"/>
  <c r="L28" i="4" s="1"/>
  <c r="H32" i="4"/>
  <c r="I21" i="4"/>
  <c r="J21" i="4" s="1"/>
  <c r="K21" i="4" s="1"/>
  <c r="L21" i="4" s="1"/>
  <c r="I31" i="4"/>
  <c r="J31" i="4" s="1"/>
  <c r="K31" i="4" s="1"/>
  <c r="L31" i="4" s="1"/>
  <c r="I30" i="4"/>
  <c r="J30" i="4" s="1"/>
  <c r="K30" i="4" s="1"/>
  <c r="L30" i="4" s="1"/>
  <c r="I29" i="4"/>
  <c r="J29" i="4" s="1"/>
  <c r="K29" i="4" s="1"/>
  <c r="L29" i="4" s="1"/>
  <c r="I27" i="4"/>
  <c r="H28" i="2"/>
  <c r="L35" i="2"/>
  <c r="K35" i="2"/>
  <c r="J35" i="2"/>
  <c r="I35" i="2"/>
  <c r="J122" i="2" l="1"/>
  <c r="I32" i="4"/>
  <c r="J27" i="4"/>
  <c r="J32" i="4" s="1"/>
  <c r="I122" i="2"/>
  <c r="L122" i="2"/>
  <c r="K122" i="2"/>
  <c r="H51" i="2"/>
  <c r="K27" i="4" l="1"/>
  <c r="K32" i="4" s="1"/>
  <c r="L27" i="4" l="1"/>
  <c r="L32" i="4" s="1"/>
  <c r="F104" i="25"/>
  <c r="F103" i="25"/>
  <c r="F102" i="25"/>
  <c r="F101" i="25"/>
  <c r="F100" i="25"/>
  <c r="F99" i="25"/>
  <c r="F48" i="25"/>
  <c r="F47" i="25"/>
  <c r="I22" i="26" s="1"/>
  <c r="F27" i="25"/>
  <c r="F25" i="25"/>
  <c r="F24" i="25"/>
  <c r="F19" i="25"/>
  <c r="I23" i="4" l="1"/>
  <c r="J23" i="4" s="1"/>
  <c r="K23" i="4" s="1"/>
  <c r="L23" i="4" s="1"/>
  <c r="I24" i="4"/>
  <c r="J24" i="4" s="1"/>
  <c r="K24" i="4" s="1"/>
  <c r="L24" i="4" s="1"/>
  <c r="I73" i="4"/>
  <c r="I78" i="2"/>
  <c r="F51" i="29"/>
  <c r="G51" i="29" s="1"/>
  <c r="F44" i="3" l="1"/>
  <c r="J51" i="29"/>
  <c r="G44" i="3" l="1"/>
  <c r="F65" i="15"/>
  <c r="K51" i="29"/>
  <c r="N51" i="29"/>
  <c r="O51" i="29" l="1"/>
  <c r="F38" i="8" l="1"/>
  <c r="F22" i="8"/>
  <c r="F21" i="8"/>
  <c r="F19" i="8"/>
  <c r="H12" i="23" l="1"/>
  <c r="H13" i="23"/>
  <c r="H14" i="23"/>
  <c r="H15" i="23"/>
  <c r="H16" i="23"/>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H55" i="23"/>
  <c r="H56" i="23"/>
  <c r="H57" i="23"/>
  <c r="H58" i="23"/>
  <c r="H59" i="23"/>
  <c r="H60" i="23"/>
  <c r="H61" i="23"/>
  <c r="H62" i="23"/>
  <c r="H63" i="23"/>
  <c r="H64" i="23"/>
  <c r="H65" i="23"/>
  <c r="H66" i="23"/>
  <c r="H67" i="23"/>
  <c r="H68" i="23"/>
  <c r="H69" i="23"/>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104" i="23"/>
  <c r="H105" i="23"/>
  <c r="H106" i="23"/>
  <c r="H107" i="23"/>
  <c r="H108" i="23"/>
  <c r="H109" i="23"/>
  <c r="H110" i="23"/>
  <c r="F11" i="23"/>
  <c r="G11" i="23"/>
  <c r="H11" i="23"/>
  <c r="G12" i="23" l="1"/>
  <c r="G13" i="23"/>
  <c r="G14" i="23"/>
  <c r="G15" i="23"/>
  <c r="J44" i="3" s="1"/>
  <c r="G65" i="15" s="1"/>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G99" i="23"/>
  <c r="G100" i="23"/>
  <c r="G101" i="23"/>
  <c r="G102" i="23"/>
  <c r="G103" i="23"/>
  <c r="G104" i="23"/>
  <c r="G105" i="23"/>
  <c r="G106" i="23"/>
  <c r="G107" i="23"/>
  <c r="G108" i="23"/>
  <c r="G109" i="23"/>
  <c r="G110" i="23"/>
  <c r="K44" i="3" l="1"/>
  <c r="N44" i="3"/>
  <c r="H65" i="15" s="1"/>
  <c r="I26" i="1"/>
  <c r="J26" i="1" s="1"/>
  <c r="K26" i="1" s="1"/>
  <c r="I25" i="1"/>
  <c r="J25" i="1" s="1"/>
  <c r="K25" i="1" s="1"/>
  <c r="C5" i="30"/>
  <c r="O44" i="3" l="1"/>
  <c r="R44" i="3"/>
  <c r="I65" i="15" s="1"/>
  <c r="S55" i="30"/>
  <c r="P55" i="30"/>
  <c r="S43" i="30"/>
  <c r="P43" i="30"/>
  <c r="S31" i="30"/>
  <c r="P31" i="30"/>
  <c r="M8" i="23"/>
  <c r="L8" i="23"/>
  <c r="S44" i="3" l="1"/>
  <c r="V44" i="3"/>
  <c r="W44" i="3" s="1"/>
  <c r="H73" i="26"/>
  <c r="M8" i="21"/>
  <c r="L8" i="21"/>
  <c r="J108" i="25" l="1"/>
  <c r="D108" i="25"/>
  <c r="H44" i="1" l="1"/>
  <c r="H43" i="1"/>
  <c r="H40" i="1"/>
  <c r="I23" i="1"/>
  <c r="J23" i="1" s="1"/>
  <c r="K23" i="1" s="1"/>
  <c r="I22" i="1"/>
  <c r="J22" i="1" s="1"/>
  <c r="K22" i="1" s="1"/>
  <c r="H82" i="2"/>
  <c r="F66" i="8" s="1"/>
  <c r="C5" i="1" l="1"/>
  <c r="H42" i="1"/>
  <c r="G42" i="1"/>
  <c r="H96" i="26"/>
  <c r="I49" i="26"/>
  <c r="J49" i="26" s="1"/>
  <c r="I50" i="26"/>
  <c r="J50" i="26" s="1"/>
  <c r="K50" i="26" s="1"/>
  <c r="L50" i="26" s="1"/>
  <c r="I51" i="26"/>
  <c r="J51" i="26" s="1"/>
  <c r="K51" i="26" s="1"/>
  <c r="L51" i="26" s="1"/>
  <c r="H53" i="26"/>
  <c r="I59" i="26"/>
  <c r="J59" i="26" s="1"/>
  <c r="I60" i="26"/>
  <c r="J60" i="26" s="1"/>
  <c r="I61" i="26"/>
  <c r="J61" i="26" s="1"/>
  <c r="I62" i="26"/>
  <c r="J62" i="26" s="1"/>
  <c r="K62" i="26" s="1"/>
  <c r="L62" i="26" s="1"/>
  <c r="I63" i="26"/>
  <c r="J63" i="26" s="1"/>
  <c r="K63" i="26" s="1"/>
  <c r="L63" i="26" s="1"/>
  <c r="H65" i="26"/>
  <c r="I94" i="26"/>
  <c r="J94" i="26" s="1"/>
  <c r="K94" i="26" s="1"/>
  <c r="L94" i="26" s="1"/>
  <c r="I93" i="26"/>
  <c r="J93" i="26" s="1"/>
  <c r="K93" i="26" s="1"/>
  <c r="L93" i="26" s="1"/>
  <c r="I92" i="26"/>
  <c r="J92" i="26" s="1"/>
  <c r="I91" i="26"/>
  <c r="J91" i="26" s="1"/>
  <c r="K91" i="26" s="1"/>
  <c r="L91" i="26" s="1"/>
  <c r="I90" i="26"/>
  <c r="J90" i="26" s="1"/>
  <c r="K90" i="26" s="1"/>
  <c r="L90" i="26" s="1"/>
  <c r="I89" i="26"/>
  <c r="J89" i="26" s="1"/>
  <c r="K89" i="26" s="1"/>
  <c r="L89" i="26" s="1"/>
  <c r="I88" i="26"/>
  <c r="J88" i="26" s="1"/>
  <c r="K88" i="26" s="1"/>
  <c r="L88" i="26" s="1"/>
  <c r="I87" i="26"/>
  <c r="J87" i="26" s="1"/>
  <c r="K87" i="26" s="1"/>
  <c r="L87" i="26" s="1"/>
  <c r="I86" i="26"/>
  <c r="J86" i="26" s="1"/>
  <c r="K86" i="26" s="1"/>
  <c r="L86" i="26" s="1"/>
  <c r="I85" i="26"/>
  <c r="J85" i="26" s="1"/>
  <c r="K85" i="26" s="1"/>
  <c r="L85" i="26" s="1"/>
  <c r="I84" i="26"/>
  <c r="J84" i="26" s="1"/>
  <c r="K84" i="26" s="1"/>
  <c r="L84" i="26" s="1"/>
  <c r="I83" i="26"/>
  <c r="J83" i="26" s="1"/>
  <c r="K83" i="26" s="1"/>
  <c r="I82" i="26"/>
  <c r="I74" i="26"/>
  <c r="J74" i="26" s="1"/>
  <c r="I72" i="26"/>
  <c r="J72" i="26" s="1"/>
  <c r="H71" i="26"/>
  <c r="L38" i="26"/>
  <c r="K38" i="26"/>
  <c r="J38" i="26"/>
  <c r="I38" i="26"/>
  <c r="H38" i="26"/>
  <c r="I25" i="26"/>
  <c r="J25" i="26" s="1"/>
  <c r="K25" i="26" s="1"/>
  <c r="L25" i="26" s="1"/>
  <c r="I24" i="26"/>
  <c r="J24" i="26" s="1"/>
  <c r="K24" i="26" s="1"/>
  <c r="L24" i="26" s="1"/>
  <c r="I23" i="26"/>
  <c r="J23" i="26" s="1"/>
  <c r="K23" i="26" s="1"/>
  <c r="L23" i="26" s="1"/>
  <c r="C5" i="26"/>
  <c r="E38" i="25"/>
  <c r="E41" i="25"/>
  <c r="E44" i="25"/>
  <c r="E42" i="25"/>
  <c r="E40" i="25"/>
  <c r="E39" i="25"/>
  <c r="E36" i="25"/>
  <c r="E35" i="25"/>
  <c r="E34" i="25"/>
  <c r="E33" i="25"/>
  <c r="E32" i="25"/>
  <c r="E31" i="25"/>
  <c r="E30" i="25"/>
  <c r="E29" i="25"/>
  <c r="J82" i="26"/>
  <c r="K82" i="26" s="1"/>
  <c r="L82" i="26" s="1"/>
  <c r="G114" i="1"/>
  <c r="G127" i="1"/>
  <c r="G130" i="1"/>
  <c r="F44" i="25"/>
  <c r="F42" i="25"/>
  <c r="F33" i="25"/>
  <c r="H129" i="25"/>
  <c r="H130" i="25" s="1"/>
  <c r="H131" i="25" s="1"/>
  <c r="H132" i="25" s="1"/>
  <c r="H133" i="25" s="1"/>
  <c r="H134" i="25" s="1"/>
  <c r="H135" i="25" s="1"/>
  <c r="H136" i="25" s="1"/>
  <c r="H137" i="25" s="1"/>
  <c r="H138" i="25" s="1"/>
  <c r="H139" i="25" s="1"/>
  <c r="H140" i="25" s="1"/>
  <c r="H141" i="25" s="1"/>
  <c r="H142" i="25" s="1"/>
  <c r="H143" i="25" s="1"/>
  <c r="H144" i="25" s="1"/>
  <c r="H145" i="25" s="1"/>
  <c r="H146" i="25" s="1"/>
  <c r="H147" i="25" s="1"/>
  <c r="H148" i="25" s="1"/>
  <c r="H149" i="25" s="1"/>
  <c r="H150" i="25" s="1"/>
  <c r="H151" i="25" s="1"/>
  <c r="H152" i="25" s="1"/>
  <c r="H153" i="25" s="1"/>
  <c r="H154" i="25" s="1"/>
  <c r="H155" i="25" s="1"/>
  <c r="H156" i="25" s="1"/>
  <c r="H157" i="25" s="1"/>
  <c r="H158" i="25" s="1"/>
  <c r="H159" i="25" s="1"/>
  <c r="H160" i="25" s="1"/>
  <c r="H161" i="25" s="1"/>
  <c r="H162" i="25" s="1"/>
  <c r="H163" i="25" s="1"/>
  <c r="H164" i="25" s="1"/>
  <c r="H165" i="25" s="1"/>
  <c r="H166" i="25" s="1"/>
  <c r="H167" i="25" s="1"/>
  <c r="H168" i="25" s="1"/>
  <c r="H169" i="25" s="1"/>
  <c r="H170" i="25" s="1"/>
  <c r="H171" i="25" s="1"/>
  <c r="F128" i="25"/>
  <c r="G128" i="25" s="1"/>
  <c r="G127" i="25"/>
  <c r="G126" i="25"/>
  <c r="G125" i="25"/>
  <c r="G124" i="25"/>
  <c r="F109" i="23"/>
  <c r="E109" i="23"/>
  <c r="D109" i="23"/>
  <c r="F38" i="25"/>
  <c r="F30" i="25"/>
  <c r="F40" i="25"/>
  <c r="F36" i="25"/>
  <c r="F32" i="25"/>
  <c r="F35" i="25"/>
  <c r="G39" i="1"/>
  <c r="G31" i="1"/>
  <c r="H24" i="1"/>
  <c r="H31" i="1"/>
  <c r="H27" i="1"/>
  <c r="G24" i="1"/>
  <c r="G30" i="1"/>
  <c r="H30" i="1" s="1"/>
  <c r="I30" i="1" s="1"/>
  <c r="J30" i="1" s="1"/>
  <c r="K30" i="1" s="1"/>
  <c r="F24" i="7"/>
  <c r="F35" i="7"/>
  <c r="H102" i="4" s="1"/>
  <c r="G24" i="7"/>
  <c r="G35" i="7"/>
  <c r="H24" i="7"/>
  <c r="H35" i="7"/>
  <c r="I24" i="7"/>
  <c r="I35" i="7"/>
  <c r="G27" i="1"/>
  <c r="F108" i="23"/>
  <c r="E108" i="23"/>
  <c r="D108" i="23"/>
  <c r="M14" i="21"/>
  <c r="I57" i="4"/>
  <c r="J57" i="4" s="1"/>
  <c r="K57" i="4" s="1"/>
  <c r="L57" i="4" s="1"/>
  <c r="I58" i="4"/>
  <c r="J58" i="4" s="1"/>
  <c r="K58" i="4" s="1"/>
  <c r="L58" i="4" s="1"/>
  <c r="I59" i="4"/>
  <c r="J59" i="4" s="1"/>
  <c r="K59" i="4" s="1"/>
  <c r="I60" i="4"/>
  <c r="I61" i="4"/>
  <c r="J61" i="4" s="1"/>
  <c r="I69" i="4"/>
  <c r="J69" i="4" s="1"/>
  <c r="K69" i="4" s="1"/>
  <c r="L69" i="4" s="1"/>
  <c r="L190" i="4" s="1"/>
  <c r="I70" i="4"/>
  <c r="I71" i="4"/>
  <c r="I72" i="4"/>
  <c r="J72" i="4" s="1"/>
  <c r="K72" i="4" s="1"/>
  <c r="L72" i="4" s="1"/>
  <c r="I74" i="4"/>
  <c r="J74" i="4" s="1"/>
  <c r="I75" i="4"/>
  <c r="I76" i="4"/>
  <c r="J76" i="4" s="1"/>
  <c r="I77" i="4"/>
  <c r="J77" i="4" s="1"/>
  <c r="K77" i="4" s="1"/>
  <c r="L77" i="4" s="1"/>
  <c r="J15" i="6"/>
  <c r="K15" i="6"/>
  <c r="I22" i="4"/>
  <c r="J22" i="4" s="1"/>
  <c r="J75" i="4"/>
  <c r="K75" i="4" s="1"/>
  <c r="L75" i="4" s="1"/>
  <c r="F31" i="29"/>
  <c r="F24" i="3" s="1"/>
  <c r="G24" i="3" s="1"/>
  <c r="H24" i="3" s="1"/>
  <c r="E110" i="23"/>
  <c r="E107" i="23"/>
  <c r="E106" i="23"/>
  <c r="E105" i="23"/>
  <c r="E104" i="23"/>
  <c r="E103" i="23"/>
  <c r="E102" i="23"/>
  <c r="E101" i="23"/>
  <c r="E100" i="23"/>
  <c r="E99" i="23"/>
  <c r="E98" i="23"/>
  <c r="E97" i="23"/>
  <c r="E96" i="23"/>
  <c r="E95" i="23"/>
  <c r="E94" i="23"/>
  <c r="E93" i="23"/>
  <c r="E92" i="23"/>
  <c r="E91" i="23"/>
  <c r="E90" i="23"/>
  <c r="E89" i="23"/>
  <c r="E88" i="23"/>
  <c r="E87" i="23"/>
  <c r="E86" i="23"/>
  <c r="E85" i="23"/>
  <c r="E84"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L12" i="23"/>
  <c r="F110" i="23"/>
  <c r="D110" i="23"/>
  <c r="F107" i="23"/>
  <c r="D107" i="23"/>
  <c r="F106" i="23"/>
  <c r="D106" i="23"/>
  <c r="F105" i="23"/>
  <c r="D105" i="23"/>
  <c r="F104" i="23"/>
  <c r="D104" i="23"/>
  <c r="F103" i="23"/>
  <c r="D103" i="23"/>
  <c r="F102" i="23"/>
  <c r="D102" i="23"/>
  <c r="F101" i="23"/>
  <c r="D101" i="23"/>
  <c r="F100" i="23"/>
  <c r="D100" i="23"/>
  <c r="F99" i="23"/>
  <c r="D99" i="23"/>
  <c r="F98" i="23"/>
  <c r="D98" i="23"/>
  <c r="F97" i="23"/>
  <c r="D97" i="23"/>
  <c r="F96" i="23"/>
  <c r="D96" i="23"/>
  <c r="F95" i="23"/>
  <c r="D95" i="23"/>
  <c r="F94" i="23"/>
  <c r="D94" i="23"/>
  <c r="F93" i="23"/>
  <c r="D93" i="23"/>
  <c r="F92" i="23"/>
  <c r="D92" i="23"/>
  <c r="F91" i="23"/>
  <c r="D91" i="23"/>
  <c r="F90" i="23"/>
  <c r="D90" i="23"/>
  <c r="F89" i="23"/>
  <c r="D89" i="23"/>
  <c r="F88" i="23"/>
  <c r="D88" i="23"/>
  <c r="F87" i="23"/>
  <c r="D87" i="23"/>
  <c r="F86" i="23"/>
  <c r="D86" i="23"/>
  <c r="F85" i="23"/>
  <c r="D85" i="23"/>
  <c r="F84" i="23"/>
  <c r="D84" i="23"/>
  <c r="F83" i="23"/>
  <c r="D83" i="23"/>
  <c r="F82" i="23"/>
  <c r="D82" i="23"/>
  <c r="F81" i="23"/>
  <c r="D81" i="23"/>
  <c r="F80" i="23"/>
  <c r="D80" i="23"/>
  <c r="F79" i="23"/>
  <c r="D79" i="23"/>
  <c r="F78" i="23"/>
  <c r="D78" i="23"/>
  <c r="F77" i="23"/>
  <c r="D77" i="23"/>
  <c r="F76" i="23"/>
  <c r="D76" i="23"/>
  <c r="F75" i="23"/>
  <c r="D75" i="23"/>
  <c r="F74" i="23"/>
  <c r="D74" i="23"/>
  <c r="F73" i="23"/>
  <c r="D73" i="23"/>
  <c r="F72" i="23"/>
  <c r="D72" i="23"/>
  <c r="F71" i="23"/>
  <c r="D71" i="23"/>
  <c r="F70" i="23"/>
  <c r="D70" i="23"/>
  <c r="F69" i="23"/>
  <c r="D69" i="23"/>
  <c r="F68" i="23"/>
  <c r="D68" i="23"/>
  <c r="F67" i="23"/>
  <c r="D67" i="23"/>
  <c r="F66" i="23"/>
  <c r="D66" i="23"/>
  <c r="F65" i="23"/>
  <c r="D65" i="23"/>
  <c r="F64" i="23"/>
  <c r="D64" i="23"/>
  <c r="F63" i="23"/>
  <c r="D63" i="23"/>
  <c r="F62" i="23"/>
  <c r="D62" i="23"/>
  <c r="F61" i="23"/>
  <c r="D61" i="23"/>
  <c r="F60" i="23"/>
  <c r="D60" i="23"/>
  <c r="F59" i="23"/>
  <c r="D59" i="23"/>
  <c r="F58" i="23"/>
  <c r="D58" i="23"/>
  <c r="F57" i="23"/>
  <c r="D57" i="23"/>
  <c r="F56" i="23"/>
  <c r="D56" i="23"/>
  <c r="F55" i="23"/>
  <c r="D55" i="23"/>
  <c r="F54" i="23"/>
  <c r="D54" i="23"/>
  <c r="F53" i="23"/>
  <c r="D53" i="23"/>
  <c r="F52" i="23"/>
  <c r="D52" i="23"/>
  <c r="F51" i="23"/>
  <c r="D51" i="23"/>
  <c r="F50" i="23"/>
  <c r="D50" i="23"/>
  <c r="F49" i="23"/>
  <c r="D49" i="23"/>
  <c r="F48" i="23"/>
  <c r="D48" i="23"/>
  <c r="F47" i="23"/>
  <c r="D47" i="23"/>
  <c r="F46" i="23"/>
  <c r="D46" i="23"/>
  <c r="F45" i="23"/>
  <c r="D45" i="23"/>
  <c r="F44" i="23"/>
  <c r="D44" i="23"/>
  <c r="F43" i="23"/>
  <c r="D43" i="23"/>
  <c r="F42" i="23"/>
  <c r="D42" i="23"/>
  <c r="F41" i="23"/>
  <c r="D41" i="23"/>
  <c r="F40" i="23"/>
  <c r="D40" i="23"/>
  <c r="F39" i="23"/>
  <c r="D39" i="23"/>
  <c r="F38" i="23"/>
  <c r="D38" i="23"/>
  <c r="F37" i="23"/>
  <c r="D37" i="23"/>
  <c r="F36" i="23"/>
  <c r="D36" i="23"/>
  <c r="F35" i="23"/>
  <c r="D35" i="23"/>
  <c r="F34" i="23"/>
  <c r="D34" i="23"/>
  <c r="F33" i="23"/>
  <c r="D33" i="23"/>
  <c r="F32" i="23"/>
  <c r="D32" i="23"/>
  <c r="F31" i="23"/>
  <c r="D31" i="23"/>
  <c r="F30" i="23"/>
  <c r="D30" i="23"/>
  <c r="F29" i="23"/>
  <c r="D29" i="23"/>
  <c r="F28" i="23"/>
  <c r="D28" i="23"/>
  <c r="F27" i="23"/>
  <c r="D27" i="23"/>
  <c r="F26" i="23"/>
  <c r="D26" i="23"/>
  <c r="F25" i="23"/>
  <c r="D25" i="23"/>
  <c r="F24" i="23"/>
  <c r="D24" i="23"/>
  <c r="F23" i="23"/>
  <c r="D23" i="23"/>
  <c r="F22" i="23"/>
  <c r="D22" i="23"/>
  <c r="F21" i="23"/>
  <c r="D21" i="23"/>
  <c r="F20" i="23"/>
  <c r="D20" i="23"/>
  <c r="F19" i="23"/>
  <c r="D19" i="23"/>
  <c r="F18" i="23"/>
  <c r="D18" i="23"/>
  <c r="F17" i="23"/>
  <c r="D17" i="23"/>
  <c r="F16" i="23"/>
  <c r="D16" i="23"/>
  <c r="L15" i="23"/>
  <c r="F15" i="23"/>
  <c r="D15" i="23"/>
  <c r="F14" i="23"/>
  <c r="D14" i="23"/>
  <c r="L13" i="23"/>
  <c r="F13" i="23"/>
  <c r="D13" i="23"/>
  <c r="F12" i="23"/>
  <c r="D12" i="23"/>
  <c r="D11" i="23"/>
  <c r="C5" i="15"/>
  <c r="C5" i="9"/>
  <c r="C5" i="7"/>
  <c r="C5" i="8"/>
  <c r="K108" i="6"/>
  <c r="J108" i="6"/>
  <c r="L108" i="6" s="1"/>
  <c r="K107" i="6"/>
  <c r="J107" i="6"/>
  <c r="L107" i="6" s="1"/>
  <c r="K106" i="6"/>
  <c r="J106" i="6"/>
  <c r="L106" i="6" s="1"/>
  <c r="K105" i="6"/>
  <c r="J105" i="6"/>
  <c r="L105" i="6" s="1"/>
  <c r="K104" i="6"/>
  <c r="J104" i="6"/>
  <c r="L104" i="6" s="1"/>
  <c r="K103" i="6"/>
  <c r="J103" i="6"/>
  <c r="L103" i="6" s="1"/>
  <c r="K102" i="6"/>
  <c r="J102" i="6"/>
  <c r="L102" i="6" s="1"/>
  <c r="K101" i="6"/>
  <c r="J101" i="6"/>
  <c r="L101" i="6" s="1"/>
  <c r="K100" i="6"/>
  <c r="J100" i="6"/>
  <c r="L100" i="6" s="1"/>
  <c r="K99" i="6"/>
  <c r="J99" i="6"/>
  <c r="L99" i="6" s="1"/>
  <c r="K98" i="6"/>
  <c r="J98" i="6"/>
  <c r="L98" i="6" s="1"/>
  <c r="K97" i="6"/>
  <c r="J97" i="6"/>
  <c r="L97" i="6" s="1"/>
  <c r="K96" i="6"/>
  <c r="J96" i="6"/>
  <c r="L96" i="6" s="1"/>
  <c r="K95" i="6"/>
  <c r="J95" i="6"/>
  <c r="L95" i="6" s="1"/>
  <c r="K94" i="6"/>
  <c r="J94" i="6"/>
  <c r="L94" i="6" s="1"/>
  <c r="K93" i="6"/>
  <c r="J93" i="6"/>
  <c r="L93" i="6" s="1"/>
  <c r="K92" i="6"/>
  <c r="J92" i="6"/>
  <c r="L92" i="6" s="1"/>
  <c r="K91" i="6"/>
  <c r="J91" i="6"/>
  <c r="L91" i="6" s="1"/>
  <c r="K90" i="6"/>
  <c r="J90" i="6"/>
  <c r="L90" i="6" s="1"/>
  <c r="K89" i="6"/>
  <c r="J89" i="6"/>
  <c r="L89" i="6" s="1"/>
  <c r="K88" i="6"/>
  <c r="J88" i="6"/>
  <c r="L88" i="6" s="1"/>
  <c r="K87" i="6"/>
  <c r="J87" i="6"/>
  <c r="L87" i="6"/>
  <c r="C5" i="6"/>
  <c r="C5" i="22"/>
  <c r="C5" i="4"/>
  <c r="C5" i="3"/>
  <c r="C5" i="29"/>
  <c r="C5" i="23"/>
  <c r="C5" i="21"/>
  <c r="L18" i="4"/>
  <c r="F20" i="29"/>
  <c r="F13" i="3" s="1"/>
  <c r="G13" i="3" s="1"/>
  <c r="F22" i="29"/>
  <c r="G22" i="29" s="1"/>
  <c r="H22" i="29" s="1"/>
  <c r="F23" i="29"/>
  <c r="J23" i="29" s="1"/>
  <c r="F24" i="29"/>
  <c r="J24" i="29" s="1"/>
  <c r="F25" i="29"/>
  <c r="F18" i="3" s="1"/>
  <c r="G18" i="3" s="1"/>
  <c r="F26" i="29"/>
  <c r="G26" i="29" s="1"/>
  <c r="H26" i="29" s="1"/>
  <c r="F27" i="29"/>
  <c r="J27" i="29" s="1"/>
  <c r="F28" i="29"/>
  <c r="J28" i="29" s="1"/>
  <c r="K28" i="29" s="1"/>
  <c r="F29" i="29"/>
  <c r="J29" i="29" s="1"/>
  <c r="N29" i="29" s="1"/>
  <c r="F30" i="29"/>
  <c r="G30" i="29" s="1"/>
  <c r="H30" i="29" s="1"/>
  <c r="F34" i="29"/>
  <c r="G34" i="29" s="1"/>
  <c r="H34" i="29" s="1"/>
  <c r="F35" i="29"/>
  <c r="J35" i="29" s="1"/>
  <c r="F36" i="29"/>
  <c r="F29" i="3" s="1"/>
  <c r="F50" i="15" s="1"/>
  <c r="F37" i="29"/>
  <c r="G37" i="29" s="1"/>
  <c r="H37" i="29" s="1"/>
  <c r="F38" i="29"/>
  <c r="G38" i="29" s="1"/>
  <c r="H38" i="29" s="1"/>
  <c r="F39" i="29"/>
  <c r="J39" i="29" s="1"/>
  <c r="F40" i="29"/>
  <c r="J40" i="29" s="1"/>
  <c r="F41" i="29"/>
  <c r="G41" i="29" s="1"/>
  <c r="H41" i="29" s="1"/>
  <c r="F42" i="29"/>
  <c r="G42" i="29" s="1"/>
  <c r="H42" i="29" s="1"/>
  <c r="F43" i="29"/>
  <c r="J43" i="29" s="1"/>
  <c r="F44" i="29"/>
  <c r="J44" i="29" s="1"/>
  <c r="F45" i="29"/>
  <c r="G45" i="29" s="1"/>
  <c r="H45" i="29" s="1"/>
  <c r="F46" i="29"/>
  <c r="G46" i="29" s="1"/>
  <c r="H46" i="29" s="1"/>
  <c r="F47" i="29"/>
  <c r="J47" i="29" s="1"/>
  <c r="F48" i="29"/>
  <c r="J48" i="29" s="1"/>
  <c r="F49" i="29"/>
  <c r="G49" i="29" s="1"/>
  <c r="H49" i="29" s="1"/>
  <c r="F50" i="29"/>
  <c r="G50" i="29" s="1"/>
  <c r="H50" i="29" s="1"/>
  <c r="F53" i="29"/>
  <c r="J53" i="29" s="1"/>
  <c r="N53" i="29" s="1"/>
  <c r="F54" i="29"/>
  <c r="G54" i="29" s="1"/>
  <c r="C5" i="2"/>
  <c r="G124" i="1"/>
  <c r="G101" i="1"/>
  <c r="G103" i="1"/>
  <c r="H103" i="1" s="1"/>
  <c r="I103" i="1" s="1"/>
  <c r="J103" i="1" s="1"/>
  <c r="K103" i="1" s="1"/>
  <c r="H127" i="1"/>
  <c r="H114" i="1"/>
  <c r="H101" i="1"/>
  <c r="M10" i="6"/>
  <c r="O9" i="6" s="1"/>
  <c r="O19" i="6" s="1"/>
  <c r="I77" i="2"/>
  <c r="I96" i="1"/>
  <c r="J96" i="1" s="1"/>
  <c r="K96" i="1" s="1"/>
  <c r="I97" i="1"/>
  <c r="J97" i="1" s="1"/>
  <c r="I99" i="1"/>
  <c r="J99" i="1" s="1"/>
  <c r="I100" i="1"/>
  <c r="J100" i="1" s="1"/>
  <c r="K100" i="1" s="1"/>
  <c r="I112" i="1"/>
  <c r="J112" i="1" s="1"/>
  <c r="I113" i="1"/>
  <c r="I109" i="1"/>
  <c r="J109" i="1" s="1"/>
  <c r="I110" i="1"/>
  <c r="J110" i="1" s="1"/>
  <c r="K110" i="1" s="1"/>
  <c r="I125" i="1"/>
  <c r="J125" i="1" s="1"/>
  <c r="I126" i="1"/>
  <c r="I122" i="1"/>
  <c r="J122" i="1" s="1"/>
  <c r="K122" i="1" s="1"/>
  <c r="I123" i="1"/>
  <c r="J123" i="1" s="1"/>
  <c r="H98" i="1"/>
  <c r="H84" i="1" s="1"/>
  <c r="H111" i="1"/>
  <c r="H59" i="1" s="1"/>
  <c r="H66" i="1" s="1"/>
  <c r="H124" i="1"/>
  <c r="H60" i="1" s="1"/>
  <c r="H67" i="1" s="1"/>
  <c r="G98" i="1"/>
  <c r="G84" i="1" s="1"/>
  <c r="G111" i="1"/>
  <c r="G59" i="1" s="1"/>
  <c r="G66" i="1" s="1"/>
  <c r="I52" i="1"/>
  <c r="I53" i="1" s="1"/>
  <c r="J17" i="4" s="1"/>
  <c r="I76" i="2"/>
  <c r="I116" i="26"/>
  <c r="J71" i="4"/>
  <c r="I75" i="2"/>
  <c r="I115" i="26"/>
  <c r="J70" i="4"/>
  <c r="J46" i="4"/>
  <c r="K46" i="4"/>
  <c r="L46" i="4"/>
  <c r="I46" i="4"/>
  <c r="J114" i="4"/>
  <c r="I115" i="4"/>
  <c r="J115" i="4" s="1"/>
  <c r="I116" i="4"/>
  <c r="J116" i="4" s="1"/>
  <c r="K116" i="4" s="1"/>
  <c r="L116" i="4" s="1"/>
  <c r="I117" i="4"/>
  <c r="J117" i="4" s="1"/>
  <c r="K117" i="4" s="1"/>
  <c r="L117" i="4" s="1"/>
  <c r="I118" i="4"/>
  <c r="J118" i="4" s="1"/>
  <c r="K118" i="4" s="1"/>
  <c r="L118" i="4" s="1"/>
  <c r="I119" i="4"/>
  <c r="J119" i="4" s="1"/>
  <c r="K119" i="4" s="1"/>
  <c r="L119" i="4" s="1"/>
  <c r="I120" i="4"/>
  <c r="J120" i="4" s="1"/>
  <c r="K120" i="4" s="1"/>
  <c r="L120" i="4" s="1"/>
  <c r="I121" i="4"/>
  <c r="J121" i="4" s="1"/>
  <c r="K121" i="4" s="1"/>
  <c r="L121" i="4" s="1"/>
  <c r="I122" i="4"/>
  <c r="J122" i="4" s="1"/>
  <c r="K122" i="4" s="1"/>
  <c r="L122" i="4" s="1"/>
  <c r="I123" i="4"/>
  <c r="J123" i="4" s="1"/>
  <c r="K123" i="4" s="1"/>
  <c r="L123" i="4" s="1"/>
  <c r="K114" i="4"/>
  <c r="L114" i="4"/>
  <c r="I131" i="4"/>
  <c r="J131" i="4" s="1"/>
  <c r="I132" i="4"/>
  <c r="I133" i="4"/>
  <c r="J133" i="4" s="1"/>
  <c r="K133" i="4" s="1"/>
  <c r="L133" i="4" s="1"/>
  <c r="I134" i="4"/>
  <c r="J134" i="4" s="1"/>
  <c r="K134" i="4" s="1"/>
  <c r="L134" i="4" s="1"/>
  <c r="I135" i="4"/>
  <c r="J135" i="4" s="1"/>
  <c r="K135" i="4" s="1"/>
  <c r="L135" i="4" s="1"/>
  <c r="I136" i="4"/>
  <c r="J136" i="4" s="1"/>
  <c r="K136" i="4" s="1"/>
  <c r="L136" i="4" s="1"/>
  <c r="I137" i="4"/>
  <c r="J137" i="4" s="1"/>
  <c r="K137" i="4" s="1"/>
  <c r="L137" i="4" s="1"/>
  <c r="I138" i="4"/>
  <c r="J138" i="4" s="1"/>
  <c r="K138" i="4" s="1"/>
  <c r="L138" i="4" s="1"/>
  <c r="I139" i="4"/>
  <c r="J139" i="4" s="1"/>
  <c r="K139" i="4" s="1"/>
  <c r="L139" i="4" s="1"/>
  <c r="I140" i="4"/>
  <c r="J140" i="4" s="1"/>
  <c r="K140" i="4" s="1"/>
  <c r="L140" i="4" s="1"/>
  <c r="I141" i="4"/>
  <c r="J141" i="4" s="1"/>
  <c r="K141" i="4" s="1"/>
  <c r="L141" i="4" s="1"/>
  <c r="I142" i="4"/>
  <c r="J142" i="4" s="1"/>
  <c r="K142" i="4" s="1"/>
  <c r="L142" i="4" s="1"/>
  <c r="I143" i="4"/>
  <c r="J143" i="4" s="1"/>
  <c r="K143" i="4" s="1"/>
  <c r="L143" i="4" s="1"/>
  <c r="I144" i="4"/>
  <c r="J144" i="4" s="1"/>
  <c r="K144" i="4" s="1"/>
  <c r="L144" i="4" s="1"/>
  <c r="I145" i="4"/>
  <c r="J145" i="4" s="1"/>
  <c r="K145" i="4" s="1"/>
  <c r="L145" i="4" s="1"/>
  <c r="I146" i="4"/>
  <c r="J146" i="4" s="1"/>
  <c r="K146" i="4" s="1"/>
  <c r="L146" i="4" s="1"/>
  <c r="I147" i="4"/>
  <c r="J147" i="4" s="1"/>
  <c r="K147" i="4" s="1"/>
  <c r="L147" i="4" s="1"/>
  <c r="I148" i="4"/>
  <c r="J148" i="4" s="1"/>
  <c r="K148" i="4" s="1"/>
  <c r="L148" i="4" s="1"/>
  <c r="I149" i="4"/>
  <c r="J149" i="4" s="1"/>
  <c r="K149" i="4" s="1"/>
  <c r="L149" i="4" s="1"/>
  <c r="I150" i="4"/>
  <c r="J150" i="4" s="1"/>
  <c r="K150" i="4" s="1"/>
  <c r="L150" i="4" s="1"/>
  <c r="I151" i="4"/>
  <c r="J151" i="4" s="1"/>
  <c r="K151" i="4" s="1"/>
  <c r="L151" i="4" s="1"/>
  <c r="I152" i="4"/>
  <c r="J152" i="4" s="1"/>
  <c r="K152" i="4" s="1"/>
  <c r="L152" i="4" s="1"/>
  <c r="I153" i="4"/>
  <c r="J153" i="4" s="1"/>
  <c r="K153" i="4" s="1"/>
  <c r="L153" i="4" s="1"/>
  <c r="I154" i="4"/>
  <c r="J154" i="4" s="1"/>
  <c r="K154" i="4" s="1"/>
  <c r="L154" i="4" s="1"/>
  <c r="I155" i="4"/>
  <c r="J155" i="4" s="1"/>
  <c r="K155" i="4" s="1"/>
  <c r="L155" i="4" s="1"/>
  <c r="I156" i="4"/>
  <c r="J156" i="4" s="1"/>
  <c r="K156" i="4" s="1"/>
  <c r="L156" i="4" s="1"/>
  <c r="I157" i="4"/>
  <c r="J157" i="4" s="1"/>
  <c r="K157" i="4" s="1"/>
  <c r="L157" i="4" s="1"/>
  <c r="I158" i="4"/>
  <c r="J158" i="4" s="1"/>
  <c r="K158" i="4" s="1"/>
  <c r="L158" i="4" s="1"/>
  <c r="I159" i="4"/>
  <c r="J159" i="4" s="1"/>
  <c r="K159" i="4" s="1"/>
  <c r="L159" i="4" s="1"/>
  <c r="I160" i="4"/>
  <c r="J160" i="4" s="1"/>
  <c r="K160" i="4" s="1"/>
  <c r="L160" i="4" s="1"/>
  <c r="I161" i="4"/>
  <c r="J161" i="4" s="1"/>
  <c r="K161" i="4" s="1"/>
  <c r="L161" i="4" s="1"/>
  <c r="I162" i="4"/>
  <c r="J162" i="4" s="1"/>
  <c r="K162" i="4" s="1"/>
  <c r="L162" i="4" s="1"/>
  <c r="I163" i="4"/>
  <c r="J163" i="4" s="1"/>
  <c r="K163" i="4" s="1"/>
  <c r="L163" i="4" s="1"/>
  <c r="I164" i="4"/>
  <c r="J164" i="4" s="1"/>
  <c r="K164" i="4" s="1"/>
  <c r="L164" i="4" s="1"/>
  <c r="I165" i="4"/>
  <c r="J165" i="4" s="1"/>
  <c r="K165" i="4" s="1"/>
  <c r="L165" i="4" s="1"/>
  <c r="I114" i="4"/>
  <c r="I51" i="2"/>
  <c r="J51" i="2"/>
  <c r="K128" i="25"/>
  <c r="L128" i="25" s="1"/>
  <c r="M129" i="25"/>
  <c r="M130" i="25" s="1"/>
  <c r="M131" i="25" s="1"/>
  <c r="M132" i="25" s="1"/>
  <c r="M133" i="25" s="1"/>
  <c r="M134" i="25" s="1"/>
  <c r="M135" i="25" s="1"/>
  <c r="M136" i="25" s="1"/>
  <c r="M137" i="25" s="1"/>
  <c r="M138" i="25" s="1"/>
  <c r="M139" i="25" s="1"/>
  <c r="M140" i="25" s="1"/>
  <c r="M141" i="25" s="1"/>
  <c r="M142" i="25" s="1"/>
  <c r="M143" i="25" s="1"/>
  <c r="M144" i="25" s="1"/>
  <c r="M145" i="25" s="1"/>
  <c r="M146" i="25" s="1"/>
  <c r="M147" i="25" s="1"/>
  <c r="M148" i="25" s="1"/>
  <c r="M149" i="25" s="1"/>
  <c r="M150" i="25" s="1"/>
  <c r="M151" i="25" s="1"/>
  <c r="M152" i="25" s="1"/>
  <c r="M153" i="25" s="1"/>
  <c r="M154" i="25" s="1"/>
  <c r="M155" i="25" s="1"/>
  <c r="M156" i="25" s="1"/>
  <c r="M157" i="25" s="1"/>
  <c r="M158" i="25" s="1"/>
  <c r="M159" i="25" s="1"/>
  <c r="M160" i="25" s="1"/>
  <c r="M161" i="25" s="1"/>
  <c r="M162" i="25" s="1"/>
  <c r="M163" i="25" s="1"/>
  <c r="M164" i="25" s="1"/>
  <c r="M165" i="25" s="1"/>
  <c r="M166" i="25" s="1"/>
  <c r="M167" i="25" s="1"/>
  <c r="M168" i="25" s="1"/>
  <c r="M169" i="25" s="1"/>
  <c r="M170" i="25" s="1"/>
  <c r="M171" i="25" s="1"/>
  <c r="F75" i="9"/>
  <c r="K51" i="2"/>
  <c r="L51" i="2"/>
  <c r="I62" i="2"/>
  <c r="O62" i="2" s="1"/>
  <c r="I63" i="2"/>
  <c r="I64" i="2"/>
  <c r="I65" i="2"/>
  <c r="I66" i="2"/>
  <c r="I74" i="2"/>
  <c r="O74" i="2" s="1"/>
  <c r="I79" i="2"/>
  <c r="I80" i="2"/>
  <c r="J73" i="4"/>
  <c r="K73" i="4" s="1"/>
  <c r="H68" i="2"/>
  <c r="F64" i="8" s="1"/>
  <c r="H114" i="4"/>
  <c r="H125" i="4" s="1"/>
  <c r="F25" i="8" s="1"/>
  <c r="J38" i="7"/>
  <c r="J36" i="7"/>
  <c r="L103" i="4" s="1"/>
  <c r="J35" i="7"/>
  <c r="J34" i="7"/>
  <c r="I38" i="7"/>
  <c r="I36" i="7"/>
  <c r="K103" i="4" s="1"/>
  <c r="I34" i="7"/>
  <c r="H52" i="9" s="1"/>
  <c r="H56" i="9" s="1"/>
  <c r="H57" i="9" s="1"/>
  <c r="H38" i="7"/>
  <c r="G44" i="9" s="1"/>
  <c r="G46" i="9" s="1"/>
  <c r="G47" i="9" s="1"/>
  <c r="H36" i="7"/>
  <c r="J103" i="4" s="1"/>
  <c r="H34" i="7"/>
  <c r="G52" i="9" s="1"/>
  <c r="G56" i="9" s="1"/>
  <c r="G57" i="9" s="1"/>
  <c r="G38" i="7"/>
  <c r="G36" i="7"/>
  <c r="I103" i="4" s="1"/>
  <c r="G34" i="7"/>
  <c r="F38" i="7"/>
  <c r="H105" i="4" s="1"/>
  <c r="F36" i="7"/>
  <c r="H103" i="4" s="1"/>
  <c r="F34" i="7"/>
  <c r="H101" i="4" s="1"/>
  <c r="L11" i="23"/>
  <c r="G53" i="1"/>
  <c r="H17" i="4" s="1"/>
  <c r="H18" i="4"/>
  <c r="G17" i="1"/>
  <c r="M105" i="21"/>
  <c r="H63" i="4"/>
  <c r="H79" i="4"/>
  <c r="H167" i="4"/>
  <c r="F26" i="8" s="1"/>
  <c r="H16" i="1"/>
  <c r="I8" i="26" s="1"/>
  <c r="I16" i="1"/>
  <c r="J8" i="26" s="1"/>
  <c r="J16" i="1"/>
  <c r="J77" i="1" s="1"/>
  <c r="K16" i="1"/>
  <c r="L8" i="26" s="1"/>
  <c r="G16" i="1"/>
  <c r="H8" i="26" s="1"/>
  <c r="I92" i="2"/>
  <c r="I90" i="2"/>
  <c r="H130" i="1"/>
  <c r="G129" i="1"/>
  <c r="H129" i="1" s="1"/>
  <c r="I129" i="1" s="1"/>
  <c r="J129" i="1" s="1"/>
  <c r="K129" i="1" s="1"/>
  <c r="H117" i="1"/>
  <c r="G117" i="1"/>
  <c r="G116" i="1"/>
  <c r="H116" i="1" s="1"/>
  <c r="I116" i="1" s="1"/>
  <c r="J116" i="1" s="1"/>
  <c r="K116" i="1" s="1"/>
  <c r="G104" i="1"/>
  <c r="G90" i="1"/>
  <c r="K90" i="1" s="1"/>
  <c r="L127" i="25"/>
  <c r="L126" i="25"/>
  <c r="L125" i="25"/>
  <c r="L124" i="25"/>
  <c r="H104" i="1"/>
  <c r="G48" i="7"/>
  <c r="F23" i="7"/>
  <c r="F25" i="7"/>
  <c r="F27" i="7"/>
  <c r="G25" i="7"/>
  <c r="H25" i="7"/>
  <c r="I25" i="7"/>
  <c r="J25" i="7"/>
  <c r="J24" i="7"/>
  <c r="G23" i="7"/>
  <c r="H23" i="7"/>
  <c r="I23" i="7"/>
  <c r="J23" i="7"/>
  <c r="F18" i="7"/>
  <c r="F48" i="7"/>
  <c r="H48" i="7"/>
  <c r="J48" i="7"/>
  <c r="I48" i="7"/>
  <c r="G27" i="7"/>
  <c r="H27" i="7"/>
  <c r="I27" i="7"/>
  <c r="J27" i="7"/>
  <c r="F19" i="22"/>
  <c r="G16" i="22" s="1"/>
  <c r="G19" i="22" s="1"/>
  <c r="H16" i="22" s="1"/>
  <c r="H19" i="22" s="1"/>
  <c r="I16" i="22" s="1"/>
  <c r="I19" i="22" s="1"/>
  <c r="J16" i="22" s="1"/>
  <c r="J19" i="22" s="1"/>
  <c r="K16" i="22" s="1"/>
  <c r="K19" i="22" s="1"/>
  <c r="L16" i="22" s="1"/>
  <c r="L19" i="22" s="1"/>
  <c r="M16" i="22" s="1"/>
  <c r="M19" i="22" s="1"/>
  <c r="N16" i="22" s="1"/>
  <c r="N19" i="22" s="1"/>
  <c r="O16" i="22" s="1"/>
  <c r="O19" i="22" s="1"/>
  <c r="F26" i="22" s="1"/>
  <c r="F29" i="22" s="1"/>
  <c r="G26" i="22" s="1"/>
  <c r="G29" i="22" s="1"/>
  <c r="H26" i="22" s="1"/>
  <c r="H29" i="22" s="1"/>
  <c r="I26" i="22" s="1"/>
  <c r="I29" i="22" s="1"/>
  <c r="J26" i="22" s="1"/>
  <c r="J29" i="22" s="1"/>
  <c r="K26" i="22" s="1"/>
  <c r="K29" i="22" s="1"/>
  <c r="L26" i="22" s="1"/>
  <c r="L29" i="22" s="1"/>
  <c r="M26" i="22" s="1"/>
  <c r="M29" i="22" s="1"/>
  <c r="N26" i="22" s="1"/>
  <c r="N29" i="22" s="1"/>
  <c r="O26" i="22" s="1"/>
  <c r="O29" i="22" s="1"/>
  <c r="G38" i="8"/>
  <c r="I89" i="2"/>
  <c r="I91" i="2"/>
  <c r="M107" i="23"/>
  <c r="M104" i="23"/>
  <c r="L102" i="23"/>
  <c r="M99" i="23"/>
  <c r="M96" i="23"/>
  <c r="L94" i="23"/>
  <c r="M91" i="23"/>
  <c r="M88" i="23"/>
  <c r="L86" i="23"/>
  <c r="M83" i="23"/>
  <c r="M80" i="23"/>
  <c r="L78" i="23"/>
  <c r="M75" i="23"/>
  <c r="M72" i="23"/>
  <c r="L70" i="23"/>
  <c r="M67" i="23"/>
  <c r="M64" i="23"/>
  <c r="L62" i="23"/>
  <c r="M59" i="23"/>
  <c r="M56" i="23"/>
  <c r="L54" i="23"/>
  <c r="M51" i="23"/>
  <c r="M48" i="23"/>
  <c r="L46" i="23"/>
  <c r="M43" i="23"/>
  <c r="M40" i="23"/>
  <c r="L38" i="23"/>
  <c r="M35" i="23"/>
  <c r="M32" i="23"/>
  <c r="L30" i="23"/>
  <c r="M27" i="23"/>
  <c r="M24" i="23"/>
  <c r="L22" i="23"/>
  <c r="M19" i="23"/>
  <c r="D57" i="1"/>
  <c r="D64" i="1" s="1"/>
  <c r="E77" i="1"/>
  <c r="E78" i="1"/>
  <c r="D60" i="1"/>
  <c r="D67" i="1" s="1"/>
  <c r="D59" i="1"/>
  <c r="D66" i="1" s="1"/>
  <c r="D58" i="1"/>
  <c r="D65" i="1" s="1"/>
  <c r="H85" i="4"/>
  <c r="H86" i="4"/>
  <c r="H87" i="4"/>
  <c r="H88" i="4"/>
  <c r="I86" i="4"/>
  <c r="J80" i="6"/>
  <c r="L80" i="6" s="1"/>
  <c r="K80" i="6"/>
  <c r="J19" i="6"/>
  <c r="L19" i="6" s="1"/>
  <c r="K19" i="6"/>
  <c r="J16" i="6"/>
  <c r="K16" i="6"/>
  <c r="J17" i="6"/>
  <c r="L17" i="6" s="1"/>
  <c r="K17" i="6"/>
  <c r="J18" i="6"/>
  <c r="L18" i="6" s="1"/>
  <c r="K18" i="6"/>
  <c r="J20" i="6"/>
  <c r="L20" i="6" s="1"/>
  <c r="K20" i="6"/>
  <c r="J21" i="6"/>
  <c r="L21" i="6" s="1"/>
  <c r="K21" i="6"/>
  <c r="J22" i="6"/>
  <c r="L22" i="6" s="1"/>
  <c r="K22" i="6"/>
  <c r="J23" i="6"/>
  <c r="L23" i="6" s="1"/>
  <c r="K23" i="6"/>
  <c r="J24" i="6"/>
  <c r="L24" i="6" s="1"/>
  <c r="K24" i="6"/>
  <c r="J25" i="6"/>
  <c r="L25" i="6" s="1"/>
  <c r="K25" i="6"/>
  <c r="J26" i="6"/>
  <c r="L26" i="6" s="1"/>
  <c r="K26" i="6"/>
  <c r="J27" i="6"/>
  <c r="L27" i="6" s="1"/>
  <c r="K27" i="6"/>
  <c r="J28" i="6"/>
  <c r="L28" i="6" s="1"/>
  <c r="K28" i="6"/>
  <c r="J29" i="6"/>
  <c r="L29" i="6" s="1"/>
  <c r="K29" i="6"/>
  <c r="J30" i="6"/>
  <c r="L30" i="6" s="1"/>
  <c r="K30" i="6"/>
  <c r="J31" i="6"/>
  <c r="L31" i="6" s="1"/>
  <c r="K31" i="6"/>
  <c r="J32" i="6"/>
  <c r="L32" i="6"/>
  <c r="K32" i="6"/>
  <c r="J33" i="6"/>
  <c r="L33" i="6" s="1"/>
  <c r="K33" i="6"/>
  <c r="J34" i="6"/>
  <c r="L34" i="6" s="1"/>
  <c r="K34" i="6"/>
  <c r="J35" i="6"/>
  <c r="L35" i="6" s="1"/>
  <c r="K35" i="6"/>
  <c r="J36" i="6"/>
  <c r="L36" i="6" s="1"/>
  <c r="K36" i="6"/>
  <c r="J37" i="6"/>
  <c r="L37" i="6" s="1"/>
  <c r="K37" i="6"/>
  <c r="J38" i="6"/>
  <c r="L38" i="6" s="1"/>
  <c r="K38" i="6"/>
  <c r="J39" i="6"/>
  <c r="L39" i="6" s="1"/>
  <c r="K39" i="6"/>
  <c r="J40" i="6"/>
  <c r="L40" i="6" s="1"/>
  <c r="K40" i="6"/>
  <c r="J41" i="6"/>
  <c r="L41" i="6" s="1"/>
  <c r="K41" i="6"/>
  <c r="J42" i="6"/>
  <c r="L42" i="6" s="1"/>
  <c r="K42" i="6"/>
  <c r="J43" i="6"/>
  <c r="L43" i="6" s="1"/>
  <c r="K43" i="6"/>
  <c r="J44" i="6"/>
  <c r="L44" i="6" s="1"/>
  <c r="K44" i="6"/>
  <c r="J45" i="6"/>
  <c r="L45" i="6" s="1"/>
  <c r="K45" i="6"/>
  <c r="J46" i="6"/>
  <c r="L46" i="6" s="1"/>
  <c r="K46" i="6"/>
  <c r="J47" i="6"/>
  <c r="L47" i="6" s="1"/>
  <c r="K47" i="6"/>
  <c r="J48" i="6"/>
  <c r="L48" i="6" s="1"/>
  <c r="K48" i="6"/>
  <c r="J49" i="6"/>
  <c r="L49" i="6" s="1"/>
  <c r="K49" i="6"/>
  <c r="J50" i="6"/>
  <c r="L50" i="6" s="1"/>
  <c r="K50" i="6"/>
  <c r="J51" i="6"/>
  <c r="L51" i="6" s="1"/>
  <c r="K51" i="6"/>
  <c r="J52" i="6"/>
  <c r="L52" i="6" s="1"/>
  <c r="K52" i="6"/>
  <c r="J53" i="6"/>
  <c r="L53" i="6" s="1"/>
  <c r="K53" i="6"/>
  <c r="J54" i="6"/>
  <c r="L54" i="6" s="1"/>
  <c r="K54" i="6"/>
  <c r="J55" i="6"/>
  <c r="L55" i="6" s="1"/>
  <c r="K55" i="6"/>
  <c r="J56" i="6"/>
  <c r="L56" i="6" s="1"/>
  <c r="K56" i="6"/>
  <c r="J57" i="6"/>
  <c r="L57" i="6" s="1"/>
  <c r="K57" i="6"/>
  <c r="J58" i="6"/>
  <c r="L58" i="6" s="1"/>
  <c r="K58" i="6"/>
  <c r="J59" i="6"/>
  <c r="L59" i="6" s="1"/>
  <c r="K59" i="6"/>
  <c r="J60" i="6"/>
  <c r="L60" i="6" s="1"/>
  <c r="K60" i="6"/>
  <c r="J61" i="6"/>
  <c r="L61" i="6" s="1"/>
  <c r="K61" i="6"/>
  <c r="J62" i="6"/>
  <c r="L62" i="6" s="1"/>
  <c r="K62" i="6"/>
  <c r="J63" i="6"/>
  <c r="L63" i="6" s="1"/>
  <c r="K63" i="6"/>
  <c r="J64" i="6"/>
  <c r="L64" i="6" s="1"/>
  <c r="K64" i="6"/>
  <c r="J65" i="6"/>
  <c r="L65" i="6" s="1"/>
  <c r="K65" i="6"/>
  <c r="J66" i="6"/>
  <c r="L66" i="6" s="1"/>
  <c r="K66" i="6"/>
  <c r="J67" i="6"/>
  <c r="L67" i="6" s="1"/>
  <c r="K67" i="6"/>
  <c r="J68" i="6"/>
  <c r="L68" i="6" s="1"/>
  <c r="K68" i="6"/>
  <c r="J69" i="6"/>
  <c r="L69" i="6" s="1"/>
  <c r="K69" i="6"/>
  <c r="J70" i="6"/>
  <c r="L70" i="6" s="1"/>
  <c r="K70" i="6"/>
  <c r="J71" i="6"/>
  <c r="L71" i="6" s="1"/>
  <c r="K71" i="6"/>
  <c r="J72" i="6"/>
  <c r="L72" i="6"/>
  <c r="K72" i="6"/>
  <c r="J73" i="6"/>
  <c r="L73" i="6" s="1"/>
  <c r="K73" i="6"/>
  <c r="J74" i="6"/>
  <c r="L74" i="6" s="1"/>
  <c r="K74" i="6"/>
  <c r="J75" i="6"/>
  <c r="L75" i="6" s="1"/>
  <c r="K75" i="6"/>
  <c r="J76" i="6"/>
  <c r="L76" i="6" s="1"/>
  <c r="K76" i="6"/>
  <c r="J77" i="6"/>
  <c r="L77" i="6" s="1"/>
  <c r="K77" i="6"/>
  <c r="J78" i="6"/>
  <c r="L78" i="6" s="1"/>
  <c r="K78" i="6"/>
  <c r="J79" i="6"/>
  <c r="L79" i="6" s="1"/>
  <c r="K79" i="6"/>
  <c r="J81" i="6"/>
  <c r="L81" i="6" s="1"/>
  <c r="K81" i="6"/>
  <c r="J82" i="6"/>
  <c r="L82" i="6" s="1"/>
  <c r="K82" i="6"/>
  <c r="J83" i="6"/>
  <c r="L83" i="6" s="1"/>
  <c r="K83" i="6"/>
  <c r="J84" i="6"/>
  <c r="L84" i="6" s="1"/>
  <c r="K84" i="6"/>
  <c r="J85" i="6"/>
  <c r="L85" i="6" s="1"/>
  <c r="K85" i="6"/>
  <c r="J86" i="6"/>
  <c r="L86" i="6" s="1"/>
  <c r="K86" i="6"/>
  <c r="J109" i="6"/>
  <c r="L109" i="6" s="1"/>
  <c r="K109" i="6"/>
  <c r="J110" i="6"/>
  <c r="L110" i="6" s="1"/>
  <c r="K110" i="6"/>
  <c r="J111" i="6"/>
  <c r="L111" i="6" s="1"/>
  <c r="K111" i="6"/>
  <c r="J112" i="6"/>
  <c r="L112" i="6" s="1"/>
  <c r="K112" i="6"/>
  <c r="J113" i="6"/>
  <c r="L113" i="6" s="1"/>
  <c r="K113" i="6"/>
  <c r="J114" i="6"/>
  <c r="L114" i="6" s="1"/>
  <c r="K114" i="6"/>
  <c r="J115" i="6"/>
  <c r="L115" i="6" s="1"/>
  <c r="K115" i="6"/>
  <c r="J116" i="6"/>
  <c r="L116" i="6" s="1"/>
  <c r="K116" i="6"/>
  <c r="J117" i="6"/>
  <c r="L117" i="6" s="1"/>
  <c r="K117" i="6"/>
  <c r="J118" i="6"/>
  <c r="L118" i="6" s="1"/>
  <c r="K118" i="6"/>
  <c r="J119" i="6"/>
  <c r="L119" i="6" s="1"/>
  <c r="K119" i="6"/>
  <c r="J120" i="6"/>
  <c r="L120" i="6" s="1"/>
  <c r="K120" i="6"/>
  <c r="J121" i="6"/>
  <c r="L121" i="6" s="1"/>
  <c r="K121" i="6"/>
  <c r="J122" i="6"/>
  <c r="L122" i="6" s="1"/>
  <c r="K122" i="6"/>
  <c r="J123" i="6"/>
  <c r="L123" i="6" s="1"/>
  <c r="K123" i="6"/>
  <c r="J124" i="6"/>
  <c r="L124" i="6" s="1"/>
  <c r="K124" i="6"/>
  <c r="J125" i="6"/>
  <c r="L125" i="6" s="1"/>
  <c r="K125" i="6"/>
  <c r="J126" i="6"/>
  <c r="L126" i="6" s="1"/>
  <c r="K126" i="6"/>
  <c r="J127" i="6"/>
  <c r="L127" i="6"/>
  <c r="K127" i="6"/>
  <c r="J128" i="6"/>
  <c r="L128" i="6" s="1"/>
  <c r="K128" i="6"/>
  <c r="J129" i="6"/>
  <c r="L129" i="6" s="1"/>
  <c r="K129" i="6"/>
  <c r="J130" i="6"/>
  <c r="L130" i="6" s="1"/>
  <c r="K130" i="6"/>
  <c r="J131" i="6"/>
  <c r="L131" i="6" s="1"/>
  <c r="K131" i="6"/>
  <c r="J132" i="6"/>
  <c r="L132" i="6" s="1"/>
  <c r="K132" i="6"/>
  <c r="J133" i="6"/>
  <c r="L133" i="6" s="1"/>
  <c r="K133" i="6"/>
  <c r="J134" i="6"/>
  <c r="L134" i="6" s="1"/>
  <c r="K134" i="6"/>
  <c r="J135" i="6"/>
  <c r="L135" i="6" s="1"/>
  <c r="K135" i="6"/>
  <c r="J136" i="6"/>
  <c r="L136" i="6" s="1"/>
  <c r="K136" i="6"/>
  <c r="J137" i="6"/>
  <c r="L137" i="6" s="1"/>
  <c r="K137" i="6"/>
  <c r="J138" i="6"/>
  <c r="L138" i="6" s="1"/>
  <c r="K138" i="6"/>
  <c r="J139" i="6"/>
  <c r="L139" i="6" s="1"/>
  <c r="K139" i="6"/>
  <c r="J140" i="6"/>
  <c r="L140" i="6" s="1"/>
  <c r="K140" i="6"/>
  <c r="J141" i="6"/>
  <c r="L141" i="6" s="1"/>
  <c r="K141" i="6"/>
  <c r="I71" i="15"/>
  <c r="H71" i="15"/>
  <c r="G71" i="15"/>
  <c r="F71" i="15"/>
  <c r="G82" i="15"/>
  <c r="H82" i="15"/>
  <c r="I82" i="15"/>
  <c r="F82" i="15"/>
  <c r="F21" i="15"/>
  <c r="F20" i="15"/>
  <c r="F19" i="15"/>
  <c r="G80" i="15"/>
  <c r="G79" i="15"/>
  <c r="F80" i="15"/>
  <c r="F79" i="15"/>
  <c r="G22" i="15"/>
  <c r="F22" i="15"/>
  <c r="F23" i="15"/>
  <c r="F25" i="15"/>
  <c r="D156" i="25"/>
  <c r="D157" i="25" s="1"/>
  <c r="D158" i="25" s="1"/>
  <c r="D159" i="25" s="1"/>
  <c r="D160" i="25" s="1"/>
  <c r="D161" i="25" s="1"/>
  <c r="D162" i="25" s="1"/>
  <c r="D163" i="25" s="1"/>
  <c r="D164" i="25" s="1"/>
  <c r="D165" i="25" s="1"/>
  <c r="D166" i="25" s="1"/>
  <c r="D167" i="25" s="1"/>
  <c r="D168" i="25" s="1"/>
  <c r="D169" i="25" s="1"/>
  <c r="D170" i="25" s="1"/>
  <c r="D171" i="25" s="1"/>
  <c r="H53" i="1"/>
  <c r="I17" i="4" s="1"/>
  <c r="F13" i="22"/>
  <c r="G13" i="22" s="1"/>
  <c r="H13" i="22" s="1"/>
  <c r="I13" i="22" s="1"/>
  <c r="J13" i="22" s="1"/>
  <c r="K13" i="22" s="1"/>
  <c r="L13" i="22" s="1"/>
  <c r="M13" i="22" s="1"/>
  <c r="N13" i="22" s="1"/>
  <c r="O13" i="22" s="1"/>
  <c r="F23" i="22" s="1"/>
  <c r="G23" i="22" s="1"/>
  <c r="H23" i="22" s="1"/>
  <c r="I23" i="22" s="1"/>
  <c r="J23" i="22" s="1"/>
  <c r="K23" i="22" s="1"/>
  <c r="L23" i="22" s="1"/>
  <c r="M23" i="22" s="1"/>
  <c r="N23" i="22" s="1"/>
  <c r="O23" i="22" s="1"/>
  <c r="H8" i="4"/>
  <c r="H96" i="4" s="1"/>
  <c r="F8" i="7"/>
  <c r="G8" i="7" s="1"/>
  <c r="H8" i="7" s="1"/>
  <c r="I8" i="7" s="1"/>
  <c r="J8" i="7" s="1"/>
  <c r="I114" i="26"/>
  <c r="J60" i="4"/>
  <c r="K60" i="4" s="1"/>
  <c r="L60" i="4" s="1"/>
  <c r="F28" i="7"/>
  <c r="J28" i="7"/>
  <c r="H38" i="8"/>
  <c r="M22" i="21"/>
  <c r="M24" i="21"/>
  <c r="M30" i="21"/>
  <c r="M32" i="21"/>
  <c r="M38" i="21"/>
  <c r="M40" i="21"/>
  <c r="M46" i="21"/>
  <c r="M48" i="21"/>
  <c r="M54" i="21"/>
  <c r="M56" i="21"/>
  <c r="M62" i="21"/>
  <c r="M64" i="21"/>
  <c r="M70" i="21"/>
  <c r="M72" i="21"/>
  <c r="M78" i="21"/>
  <c r="M80" i="21"/>
  <c r="M86" i="21"/>
  <c r="M88" i="21"/>
  <c r="M94" i="21"/>
  <c r="M96" i="21"/>
  <c r="M106" i="21"/>
  <c r="M103" i="21"/>
  <c r="M23" i="21"/>
  <c r="M25" i="21"/>
  <c r="M31" i="21"/>
  <c r="M33" i="21"/>
  <c r="M39" i="21"/>
  <c r="M41" i="21"/>
  <c r="M47" i="21"/>
  <c r="M49" i="21"/>
  <c r="M55" i="21"/>
  <c r="M57" i="21"/>
  <c r="M63" i="21"/>
  <c r="M65" i="21"/>
  <c r="M71" i="21"/>
  <c r="M73" i="21"/>
  <c r="M79" i="21"/>
  <c r="M81" i="21"/>
  <c r="M87" i="21"/>
  <c r="M89" i="21"/>
  <c r="M95" i="21"/>
  <c r="M97" i="21"/>
  <c r="I88" i="4"/>
  <c r="J39" i="7"/>
  <c r="L106" i="4" s="1"/>
  <c r="F39" i="7"/>
  <c r="H106" i="4" s="1"/>
  <c r="G28" i="7"/>
  <c r="G39" i="7"/>
  <c r="I106" i="4" s="1"/>
  <c r="H28" i="7"/>
  <c r="H39" i="7"/>
  <c r="J106" i="4" s="1"/>
  <c r="I28" i="7"/>
  <c r="I39" i="7"/>
  <c r="K106" i="4" s="1"/>
  <c r="H80" i="15"/>
  <c r="I80" i="15"/>
  <c r="L17" i="23"/>
  <c r="L21" i="23"/>
  <c r="L25" i="23"/>
  <c r="L29" i="23"/>
  <c r="L33" i="23"/>
  <c r="L37" i="23"/>
  <c r="L41" i="23"/>
  <c r="L45" i="23"/>
  <c r="L49" i="23"/>
  <c r="L53" i="23"/>
  <c r="L57" i="23"/>
  <c r="L61" i="23"/>
  <c r="L65" i="23"/>
  <c r="L69" i="23"/>
  <c r="L73" i="23"/>
  <c r="L77" i="23"/>
  <c r="L81" i="23"/>
  <c r="L85" i="23"/>
  <c r="L89" i="23"/>
  <c r="L93" i="23"/>
  <c r="L97" i="23"/>
  <c r="L101" i="23"/>
  <c r="L105" i="23"/>
  <c r="L110" i="23"/>
  <c r="M107" i="21"/>
  <c r="M102" i="21"/>
  <c r="M91" i="21"/>
  <c r="M83" i="21"/>
  <c r="M75" i="21"/>
  <c r="M67" i="21"/>
  <c r="M59" i="21"/>
  <c r="M51" i="21"/>
  <c r="M43" i="21"/>
  <c r="M35" i="21"/>
  <c r="M27" i="21"/>
  <c r="M19" i="21"/>
  <c r="M98" i="21"/>
  <c r="M90" i="21"/>
  <c r="M82" i="21"/>
  <c r="M74" i="21"/>
  <c r="M66" i="21"/>
  <c r="M58" i="21"/>
  <c r="M50" i="21"/>
  <c r="M42" i="21"/>
  <c r="M34" i="21"/>
  <c r="M26" i="21"/>
  <c r="M18" i="21"/>
  <c r="M93" i="21"/>
  <c r="M85" i="21"/>
  <c r="M77" i="21"/>
  <c r="M69" i="21"/>
  <c r="M61" i="21"/>
  <c r="M53" i="21"/>
  <c r="M45" i="21"/>
  <c r="M37" i="21"/>
  <c r="M29" i="21"/>
  <c r="M21" i="21"/>
  <c r="M100" i="21"/>
  <c r="M101" i="21"/>
  <c r="M92" i="21"/>
  <c r="M84" i="21"/>
  <c r="M76" i="21"/>
  <c r="M68" i="21"/>
  <c r="M60" i="21"/>
  <c r="M52" i="21"/>
  <c r="M44" i="21"/>
  <c r="M36" i="21"/>
  <c r="M28" i="21"/>
  <c r="M20" i="21"/>
  <c r="M12" i="21"/>
  <c r="L44" i="21"/>
  <c r="M17" i="21"/>
  <c r="L71" i="21"/>
  <c r="M99" i="21"/>
  <c r="M104" i="21"/>
  <c r="M11" i="21"/>
  <c r="L41" i="21"/>
  <c r="J52" i="1"/>
  <c r="K52" i="1" s="1"/>
  <c r="K53" i="1" s="1"/>
  <c r="L17" i="4" s="1"/>
  <c r="H79" i="15"/>
  <c r="I38" i="8"/>
  <c r="K71" i="4"/>
  <c r="L71" i="4" s="1"/>
  <c r="K70" i="4"/>
  <c r="L70" i="4" s="1"/>
  <c r="I79" i="15"/>
  <c r="J38" i="8"/>
  <c r="J19" i="3"/>
  <c r="M15" i="21"/>
  <c r="L15" i="6"/>
  <c r="M13" i="21"/>
  <c r="I18" i="4"/>
  <c r="K76" i="4"/>
  <c r="L76" i="4" s="1"/>
  <c r="J101" i="1"/>
  <c r="I98" i="1"/>
  <c r="I86" i="1" s="1"/>
  <c r="I101" i="1"/>
  <c r="I105" i="1" s="1"/>
  <c r="I102" i="1" s="1"/>
  <c r="G87" i="1"/>
  <c r="L87" i="21"/>
  <c r="L11" i="21"/>
  <c r="L21" i="21"/>
  <c r="L106" i="21"/>
  <c r="J18" i="3"/>
  <c r="K18" i="3" s="1"/>
  <c r="L18" i="3" s="1"/>
  <c r="J43" i="3"/>
  <c r="N43" i="3" s="1"/>
  <c r="J38" i="3"/>
  <c r="K38" i="3" s="1"/>
  <c r="L38" i="3" s="1"/>
  <c r="L73" i="21"/>
  <c r="L67" i="21"/>
  <c r="L68" i="21"/>
  <c r="L62" i="21"/>
  <c r="L99" i="21"/>
  <c r="L74" i="21"/>
  <c r="J37" i="3"/>
  <c r="G58" i="15" s="1"/>
  <c r="L61" i="21"/>
  <c r="L25" i="21"/>
  <c r="L75" i="21"/>
  <c r="L39" i="21"/>
  <c r="L84" i="21"/>
  <c r="L20" i="21"/>
  <c r="L38" i="21"/>
  <c r="L18" i="21"/>
  <c r="L50" i="21"/>
  <c r="L82" i="21"/>
  <c r="L13" i="21"/>
  <c r="L15" i="21"/>
  <c r="J24" i="3"/>
  <c r="K24" i="3" s="1"/>
  <c r="L24" i="3" s="1"/>
  <c r="L89" i="21"/>
  <c r="L49" i="21"/>
  <c r="L95" i="21"/>
  <c r="L63" i="21"/>
  <c r="L27" i="21"/>
  <c r="L60" i="21"/>
  <c r="L69" i="21"/>
  <c r="L54" i="21"/>
  <c r="L105" i="21"/>
  <c r="L46" i="21"/>
  <c r="L32" i="21"/>
  <c r="L64" i="21"/>
  <c r="L96" i="21"/>
  <c r="J89" i="2"/>
  <c r="J78" i="2"/>
  <c r="J62" i="2"/>
  <c r="J126" i="1"/>
  <c r="K126" i="1" s="1"/>
  <c r="J104" i="1"/>
  <c r="J113" i="1"/>
  <c r="K113" i="1" s="1"/>
  <c r="G23" i="15"/>
  <c r="K99" i="1"/>
  <c r="K104" i="1" s="1"/>
  <c r="I111" i="1"/>
  <c r="I59" i="1" s="1"/>
  <c r="I66" i="1" s="1"/>
  <c r="I124" i="1"/>
  <c r="I60" i="1" s="1"/>
  <c r="I67" i="1" s="1"/>
  <c r="I104" i="1"/>
  <c r="J33" i="3"/>
  <c r="N33" i="3" s="1"/>
  <c r="O33" i="3" s="1"/>
  <c r="P33" i="3" s="1"/>
  <c r="G60" i="1"/>
  <c r="G67" i="1" s="1"/>
  <c r="G131" i="1"/>
  <c r="G128" i="1" s="1"/>
  <c r="O24" i="23"/>
  <c r="O43" i="23"/>
  <c r="O56" i="23"/>
  <c r="R56" i="23" s="1"/>
  <c r="O75" i="23"/>
  <c r="R75" i="23" s="1"/>
  <c r="O107" i="23"/>
  <c r="O67" i="23"/>
  <c r="O95" i="23"/>
  <c r="J35" i="3"/>
  <c r="G56" i="15" s="1"/>
  <c r="J29" i="3"/>
  <c r="G50" i="15" s="1"/>
  <c r="J47" i="3"/>
  <c r="G68" i="15" s="1"/>
  <c r="J28" i="3"/>
  <c r="N28" i="3" s="1"/>
  <c r="R28" i="3" s="1"/>
  <c r="I49" i="15" s="1"/>
  <c r="J46" i="3"/>
  <c r="G67" i="15" s="1"/>
  <c r="J16" i="3"/>
  <c r="J27" i="3"/>
  <c r="G48" i="15" s="1"/>
  <c r="O32" i="23"/>
  <c r="J26" i="3"/>
  <c r="G47" i="15" s="1"/>
  <c r="J31" i="3"/>
  <c r="N31" i="3" s="1"/>
  <c r="H52" i="15" s="1"/>
  <c r="J23" i="3"/>
  <c r="N23" i="3" s="1"/>
  <c r="H44" i="15" s="1"/>
  <c r="J42" i="3"/>
  <c r="K42" i="3" s="1"/>
  <c r="L42" i="3" s="1"/>
  <c r="J22" i="3"/>
  <c r="G43" i="15" s="1"/>
  <c r="J41" i="3"/>
  <c r="O22" i="23"/>
  <c r="J20" i="3"/>
  <c r="G41" i="15" s="1"/>
  <c r="J39" i="3"/>
  <c r="J15" i="3"/>
  <c r="N15" i="3" s="1"/>
  <c r="J34" i="3"/>
  <c r="N34" i="3" s="1"/>
  <c r="O34" i="3" s="1"/>
  <c r="P34" i="3" s="1"/>
  <c r="J30" i="3"/>
  <c r="G51" i="15" s="1"/>
  <c r="M108" i="21"/>
  <c r="M109" i="21"/>
  <c r="L109" i="21"/>
  <c r="J17" i="3"/>
  <c r="G38" i="15" s="1"/>
  <c r="J40" i="3"/>
  <c r="G61" i="15" s="1"/>
  <c r="J21" i="3"/>
  <c r="K21" i="3" s="1"/>
  <c r="L21" i="3" s="1"/>
  <c r="J32" i="3"/>
  <c r="K32" i="3" s="1"/>
  <c r="L32" i="3" s="1"/>
  <c r="J13" i="3"/>
  <c r="N13" i="3" s="1"/>
  <c r="J36" i="3"/>
  <c r="K36" i="3" s="1"/>
  <c r="L36" i="3" s="1"/>
  <c r="L16" i="6"/>
  <c r="O51" i="6"/>
  <c r="I27" i="1"/>
  <c r="G86" i="1"/>
  <c r="H22" i="15"/>
  <c r="G118" i="1"/>
  <c r="G115" i="1" s="1"/>
  <c r="H131" i="1"/>
  <c r="H128" i="1" s="1"/>
  <c r="H118" i="1"/>
  <c r="H115" i="1" s="1"/>
  <c r="I24" i="1"/>
  <c r="J16" i="26" s="1"/>
  <c r="J14" i="3"/>
  <c r="N14" i="3" s="1"/>
  <c r="M110" i="21"/>
  <c r="J111" i="1"/>
  <c r="J59" i="1" s="1"/>
  <c r="J66" i="1" s="1"/>
  <c r="K109" i="1"/>
  <c r="K111" i="1" s="1"/>
  <c r="K59" i="1" s="1"/>
  <c r="K66" i="1" s="1"/>
  <c r="G58" i="1"/>
  <c r="G65" i="1" s="1"/>
  <c r="G83" i="1"/>
  <c r="H87" i="1"/>
  <c r="I31" i="1"/>
  <c r="H86" i="1"/>
  <c r="J24" i="1"/>
  <c r="K22" i="26" s="1"/>
  <c r="I22" i="15"/>
  <c r="H23" i="15"/>
  <c r="F21" i="29"/>
  <c r="G21" i="29" s="1"/>
  <c r="H21" i="29" s="1"/>
  <c r="J31" i="1"/>
  <c r="J27" i="1"/>
  <c r="K24" i="1"/>
  <c r="I23" i="15"/>
  <c r="M63" i="30" l="1"/>
  <c r="U63" i="30" s="1"/>
  <c r="M14" i="30"/>
  <c r="U14" i="30" s="1"/>
  <c r="M17" i="30"/>
  <c r="U17" i="30" s="1"/>
  <c r="M65" i="30"/>
  <c r="U65" i="30" s="1"/>
  <c r="M16" i="30"/>
  <c r="U16" i="30" s="1"/>
  <c r="M64" i="30"/>
  <c r="U64" i="30" s="1"/>
  <c r="M13" i="30"/>
  <c r="M66" i="30"/>
  <c r="U66" i="30" s="1"/>
  <c r="M62" i="30"/>
  <c r="U62" i="30" s="1"/>
  <c r="M15" i="30"/>
  <c r="U15" i="30" s="1"/>
  <c r="M18" i="30"/>
  <c r="U18" i="30" s="1"/>
  <c r="M61" i="30"/>
  <c r="O130" i="6"/>
  <c r="M36" i="6"/>
  <c r="O140" i="6"/>
  <c r="O65" i="6"/>
  <c r="O16" i="6"/>
  <c r="M52" i="6"/>
  <c r="O84" i="6"/>
  <c r="O69" i="6"/>
  <c r="O49" i="6"/>
  <c r="M58" i="6"/>
  <c r="O72" i="6"/>
  <c r="O122" i="6"/>
  <c r="O126" i="6"/>
  <c r="O132" i="6"/>
  <c r="O112" i="6"/>
  <c r="O108" i="6"/>
  <c r="O114" i="6"/>
  <c r="G40" i="29"/>
  <c r="H40" i="29" s="1"/>
  <c r="O79" i="6"/>
  <c r="O67" i="6"/>
  <c r="O27" i="6"/>
  <c r="M95" i="6"/>
  <c r="O138" i="6"/>
  <c r="G20" i="29"/>
  <c r="H20" i="29" s="1"/>
  <c r="J20" i="29"/>
  <c r="N20" i="29" s="1"/>
  <c r="O80" i="6"/>
  <c r="I101" i="4"/>
  <c r="F52" i="9"/>
  <c r="F56" i="9" s="1"/>
  <c r="F57" i="9" s="1"/>
  <c r="K105" i="4"/>
  <c r="H44" i="9"/>
  <c r="H46" i="9" s="1"/>
  <c r="H47" i="9" s="1"/>
  <c r="L105" i="4"/>
  <c r="I44" i="9"/>
  <c r="I46" i="9" s="1"/>
  <c r="I47" i="9" s="1"/>
  <c r="L101" i="4"/>
  <c r="I52" i="9"/>
  <c r="I56" i="9" s="1"/>
  <c r="I57" i="9" s="1"/>
  <c r="K102" i="4"/>
  <c r="I102" i="4"/>
  <c r="I105" i="4"/>
  <c r="F44" i="9"/>
  <c r="F46" i="9" s="1"/>
  <c r="F47" i="9" s="1"/>
  <c r="L102" i="4"/>
  <c r="J102" i="4"/>
  <c r="N89" i="2"/>
  <c r="N77" i="2"/>
  <c r="N66" i="2"/>
  <c r="N62" i="2"/>
  <c r="N47" i="2"/>
  <c r="N41" i="2"/>
  <c r="N33" i="2"/>
  <c r="N27" i="2"/>
  <c r="N92" i="2"/>
  <c r="N80" i="2"/>
  <c r="N76" i="2"/>
  <c r="N65" i="2"/>
  <c r="N50" i="2"/>
  <c r="N46" i="2"/>
  <c r="N40" i="2"/>
  <c r="N32" i="2"/>
  <c r="N26" i="2"/>
  <c r="N91" i="2"/>
  <c r="N79" i="2"/>
  <c r="N75" i="2"/>
  <c r="N64" i="2"/>
  <c r="N49" i="2"/>
  <c r="N43" i="2"/>
  <c r="N39" i="2"/>
  <c r="N31" i="2"/>
  <c r="N25" i="2"/>
  <c r="N90" i="2"/>
  <c r="N78" i="2"/>
  <c r="N74" i="2"/>
  <c r="N63" i="2"/>
  <c r="N48" i="2"/>
  <c r="N42" i="2"/>
  <c r="N34" i="2"/>
  <c r="N30" i="2"/>
  <c r="O50" i="2"/>
  <c r="P49" i="2"/>
  <c r="Q48" i="2"/>
  <c r="R47" i="2"/>
  <c r="O46" i="2"/>
  <c r="P43" i="2"/>
  <c r="Q42" i="2"/>
  <c r="R41" i="2"/>
  <c r="O40" i="2"/>
  <c r="P39" i="2"/>
  <c r="Q34" i="2"/>
  <c r="R33" i="2"/>
  <c r="O32" i="2"/>
  <c r="P31" i="2"/>
  <c r="Q30" i="2"/>
  <c r="R27" i="2"/>
  <c r="O26" i="2"/>
  <c r="P25" i="2"/>
  <c r="R50" i="2"/>
  <c r="O49" i="2"/>
  <c r="P48" i="2"/>
  <c r="Q47" i="2"/>
  <c r="R46" i="2"/>
  <c r="O43" i="2"/>
  <c r="P42" i="2"/>
  <c r="Q41" i="2"/>
  <c r="R40" i="2"/>
  <c r="O39" i="2"/>
  <c r="P34" i="2"/>
  <c r="Q33" i="2"/>
  <c r="R32" i="2"/>
  <c r="O31" i="2"/>
  <c r="P30" i="2"/>
  <c r="P35" i="2" s="1"/>
  <c r="Q27" i="2"/>
  <c r="R26" i="2"/>
  <c r="O25" i="2"/>
  <c r="Q50" i="2"/>
  <c r="R49" i="2"/>
  <c r="O48" i="2"/>
  <c r="P47" i="2"/>
  <c r="Q46" i="2"/>
  <c r="R43" i="2"/>
  <c r="O42" i="2"/>
  <c r="P41" i="2"/>
  <c r="Q40" i="2"/>
  <c r="R39" i="2"/>
  <c r="O34" i="2"/>
  <c r="P33" i="2"/>
  <c r="Q32" i="2"/>
  <c r="R31" i="2"/>
  <c r="O30" i="2"/>
  <c r="P27" i="2"/>
  <c r="Q26" i="2"/>
  <c r="R25" i="2"/>
  <c r="P50" i="2"/>
  <c r="Q49" i="2"/>
  <c r="R48" i="2"/>
  <c r="O47" i="2"/>
  <c r="P46" i="2"/>
  <c r="Q43" i="2"/>
  <c r="R42" i="2"/>
  <c r="O41" i="2"/>
  <c r="P40" i="2"/>
  <c r="Q39" i="2"/>
  <c r="R34" i="2"/>
  <c r="O33" i="2"/>
  <c r="P32" i="2"/>
  <c r="Q31" i="2"/>
  <c r="R30" i="2"/>
  <c r="R35" i="2" s="1"/>
  <c r="O27" i="2"/>
  <c r="P26" i="2"/>
  <c r="Q25" i="2"/>
  <c r="O78" i="2"/>
  <c r="H88" i="1"/>
  <c r="J105" i="4"/>
  <c r="F55" i="7"/>
  <c r="G12" i="7" s="1"/>
  <c r="J73" i="26"/>
  <c r="P89" i="2"/>
  <c r="I85" i="4"/>
  <c r="O92" i="2"/>
  <c r="J66" i="2"/>
  <c r="O66" i="2"/>
  <c r="J77" i="2"/>
  <c r="O77" i="2"/>
  <c r="I87" i="4"/>
  <c r="O90" i="2"/>
  <c r="K62" i="2"/>
  <c r="P62" i="2"/>
  <c r="I71" i="26"/>
  <c r="O91" i="2"/>
  <c r="J80" i="2"/>
  <c r="O80" i="2"/>
  <c r="J65" i="2"/>
  <c r="O65" i="2"/>
  <c r="I118" i="2"/>
  <c r="O76" i="2"/>
  <c r="J63" i="2"/>
  <c r="O63" i="2"/>
  <c r="K78" i="2"/>
  <c r="P78" i="2"/>
  <c r="I73" i="26"/>
  <c r="O89" i="2"/>
  <c r="J79" i="2"/>
  <c r="O79" i="2"/>
  <c r="J64" i="2"/>
  <c r="O64" i="2"/>
  <c r="J75" i="2"/>
  <c r="O75" i="2"/>
  <c r="G48" i="29"/>
  <c r="H48" i="29" s="1"/>
  <c r="F47" i="3"/>
  <c r="G47" i="3" s="1"/>
  <c r="H47" i="3" s="1"/>
  <c r="I116" i="2"/>
  <c r="G65" i="8"/>
  <c r="J74" i="2"/>
  <c r="P74" i="2" s="1"/>
  <c r="K101" i="1"/>
  <c r="I83" i="1"/>
  <c r="G88" i="1"/>
  <c r="J53" i="1"/>
  <c r="K17" i="4" s="1"/>
  <c r="H54" i="29"/>
  <c r="H18" i="3"/>
  <c r="G105" i="1"/>
  <c r="G102" i="1" s="1"/>
  <c r="L28" i="29"/>
  <c r="N49" i="21"/>
  <c r="J92" i="2"/>
  <c r="J76" i="2"/>
  <c r="G17" i="8"/>
  <c r="F72" i="15" s="1"/>
  <c r="K89" i="2"/>
  <c r="J117" i="2"/>
  <c r="I117" i="2"/>
  <c r="J91" i="2"/>
  <c r="P91" i="2" s="1"/>
  <c r="I167" i="4"/>
  <c r="G26" i="8" s="1"/>
  <c r="F78" i="15" s="1"/>
  <c r="H190" i="4"/>
  <c r="J132" i="4"/>
  <c r="K132" i="4" s="1"/>
  <c r="L132" i="4" s="1"/>
  <c r="I190" i="4"/>
  <c r="I63" i="4"/>
  <c r="H188" i="4" s="1"/>
  <c r="I79" i="4"/>
  <c r="I68" i="2"/>
  <c r="J90" i="2"/>
  <c r="I82" i="2"/>
  <c r="I87" i="1"/>
  <c r="I88" i="1" s="1"/>
  <c r="I117" i="1"/>
  <c r="H83" i="1"/>
  <c r="I114" i="1"/>
  <c r="H58" i="1"/>
  <c r="H65" i="1" s="1"/>
  <c r="I127" i="1"/>
  <c r="I130" i="1"/>
  <c r="F39" i="3"/>
  <c r="F60" i="15" s="1"/>
  <c r="G23" i="29"/>
  <c r="H23" i="29" s="1"/>
  <c r="F35" i="3"/>
  <c r="F56" i="15" s="1"/>
  <c r="G77" i="1"/>
  <c r="F20" i="3"/>
  <c r="G20" i="3" s="1"/>
  <c r="H20" i="3" s="1"/>
  <c r="N64" i="21"/>
  <c r="J50" i="29"/>
  <c r="N50" i="29" s="1"/>
  <c r="J116" i="2"/>
  <c r="I84" i="1"/>
  <c r="I125" i="4"/>
  <c r="G25" i="8" s="1"/>
  <c r="F77" i="15" s="1"/>
  <c r="O115" i="6"/>
  <c r="O85" i="6"/>
  <c r="O56" i="6"/>
  <c r="R33" i="3"/>
  <c r="S33" i="3" s="1"/>
  <c r="T33" i="3" s="1"/>
  <c r="K9" i="2"/>
  <c r="Q8" i="3" s="1"/>
  <c r="K61" i="4"/>
  <c r="L61" i="4" s="1"/>
  <c r="J63" i="4"/>
  <c r="K123" i="1"/>
  <c r="K124" i="1" s="1"/>
  <c r="K60" i="1" s="1"/>
  <c r="K67" i="1" s="1"/>
  <c r="J124" i="1"/>
  <c r="J60" i="1" s="1"/>
  <c r="J67" i="1" s="1"/>
  <c r="K22" i="4"/>
  <c r="I96" i="26"/>
  <c r="I119" i="26" s="1"/>
  <c r="G22" i="8" s="1"/>
  <c r="F75" i="15" s="1"/>
  <c r="H51" i="29"/>
  <c r="L51" i="29"/>
  <c r="H44" i="3"/>
  <c r="P51" i="29"/>
  <c r="G75" i="9"/>
  <c r="F76" i="9"/>
  <c r="L44" i="3"/>
  <c r="P44" i="3"/>
  <c r="X44" i="3"/>
  <c r="T44" i="3"/>
  <c r="L22" i="26"/>
  <c r="J68" i="2"/>
  <c r="H64" i="8" s="1"/>
  <c r="H196" i="4"/>
  <c r="H191" i="4"/>
  <c r="K74" i="4"/>
  <c r="L74" i="4" s="1"/>
  <c r="J79" i="4"/>
  <c r="I191" i="4" s="1"/>
  <c r="O125" i="6"/>
  <c r="O54" i="6"/>
  <c r="O46" i="6"/>
  <c r="O30" i="6"/>
  <c r="H9" i="26"/>
  <c r="O77" i="6"/>
  <c r="I65" i="26"/>
  <c r="I117" i="26" s="1"/>
  <c r="G64" i="15"/>
  <c r="K8" i="26"/>
  <c r="H54" i="15"/>
  <c r="O75" i="6"/>
  <c r="O23" i="6"/>
  <c r="O123" i="6"/>
  <c r="O121" i="6"/>
  <c r="O43" i="6"/>
  <c r="O128" i="6"/>
  <c r="O133" i="6"/>
  <c r="O118" i="6"/>
  <c r="O104" i="6"/>
  <c r="O28" i="6"/>
  <c r="O55" i="6"/>
  <c r="O60" i="6"/>
  <c r="M123" i="6"/>
  <c r="M121" i="6"/>
  <c r="O90" i="6"/>
  <c r="M80" i="6"/>
  <c r="O40" i="6"/>
  <c r="O110" i="6"/>
  <c r="M136" i="6"/>
  <c r="M69" i="6"/>
  <c r="M72" i="6"/>
  <c r="M74" i="6"/>
  <c r="O131" i="6"/>
  <c r="O18" i="6"/>
  <c r="O82" i="6"/>
  <c r="O25" i="6"/>
  <c r="O136" i="6"/>
  <c r="F16" i="3"/>
  <c r="G16" i="3" s="1"/>
  <c r="H16" i="3" s="1"/>
  <c r="F27" i="3"/>
  <c r="F48" i="15" s="1"/>
  <c r="J42" i="29"/>
  <c r="K42" i="29" s="1"/>
  <c r="L42" i="29" s="1"/>
  <c r="F31" i="3"/>
  <c r="F52" i="15" s="1"/>
  <c r="G44" i="29"/>
  <c r="H44" i="29" s="1"/>
  <c r="F41" i="3"/>
  <c r="G41" i="3" s="1"/>
  <c r="H41" i="3" s="1"/>
  <c r="F33" i="3"/>
  <c r="G33" i="3" s="1"/>
  <c r="H33" i="3" s="1"/>
  <c r="J54" i="29"/>
  <c r="N54" i="29" s="1"/>
  <c r="N96" i="21"/>
  <c r="N32" i="21"/>
  <c r="N89" i="21"/>
  <c r="N25" i="21"/>
  <c r="N99" i="21"/>
  <c r="N73" i="21"/>
  <c r="G27" i="29"/>
  <c r="H27" i="29" s="1"/>
  <c r="N41" i="21"/>
  <c r="O58" i="6"/>
  <c r="O50" i="6"/>
  <c r="G37" i="1"/>
  <c r="J101" i="4"/>
  <c r="H77" i="1"/>
  <c r="O93" i="6"/>
  <c r="O101" i="6"/>
  <c r="G39" i="15"/>
  <c r="K115" i="4"/>
  <c r="J125" i="4"/>
  <c r="L59" i="4"/>
  <c r="L63" i="4" s="1"/>
  <c r="L188" i="4" s="1"/>
  <c r="H91" i="1"/>
  <c r="G91" i="1"/>
  <c r="K131" i="4"/>
  <c r="L131" i="4" s="1"/>
  <c r="K30" i="3"/>
  <c r="L30" i="3" s="1"/>
  <c r="O28" i="3"/>
  <c r="P28" i="3" s="1"/>
  <c r="Q56" i="23"/>
  <c r="G85" i="1"/>
  <c r="J130" i="1"/>
  <c r="K125" i="1"/>
  <c r="J127" i="1"/>
  <c r="K112" i="1"/>
  <c r="K114" i="1" s="1"/>
  <c r="K118" i="1" s="1"/>
  <c r="K115" i="1" s="1"/>
  <c r="J117" i="1"/>
  <c r="J114" i="1"/>
  <c r="J118" i="1" s="1"/>
  <c r="J115" i="1" s="1"/>
  <c r="K97" i="1"/>
  <c r="K98" i="1" s="1"/>
  <c r="J98" i="1"/>
  <c r="J105" i="1" s="1"/>
  <c r="J102" i="1" s="1"/>
  <c r="I118" i="1"/>
  <c r="I115" i="1" s="1"/>
  <c r="I58" i="1"/>
  <c r="I65" i="1" s="1"/>
  <c r="M51" i="30"/>
  <c r="U51" i="30" s="1"/>
  <c r="M41" i="30"/>
  <c r="U41" i="30" s="1"/>
  <c r="M37" i="30"/>
  <c r="M27" i="30"/>
  <c r="U27" i="30" s="1"/>
  <c r="M42" i="30"/>
  <c r="U42" i="30" s="1"/>
  <c r="M52" i="30"/>
  <c r="U52" i="30" s="1"/>
  <c r="M28" i="30"/>
  <c r="U28" i="30" s="1"/>
  <c r="M53" i="30"/>
  <c r="U53" i="30" s="1"/>
  <c r="M49" i="30"/>
  <c r="M39" i="30"/>
  <c r="U39" i="30" s="1"/>
  <c r="M29" i="30"/>
  <c r="U29" i="30" s="1"/>
  <c r="M25" i="30"/>
  <c r="M54" i="30"/>
  <c r="U54" i="30" s="1"/>
  <c r="M50" i="30"/>
  <c r="U50" i="30" s="1"/>
  <c r="M40" i="30"/>
  <c r="U40" i="30" s="1"/>
  <c r="M30" i="30"/>
  <c r="U30" i="30" s="1"/>
  <c r="M26" i="30"/>
  <c r="U26" i="30" s="1"/>
  <c r="M38" i="30"/>
  <c r="U38" i="30" s="1"/>
  <c r="K105" i="1"/>
  <c r="K102" i="1" s="1"/>
  <c r="J38" i="29"/>
  <c r="K38" i="29" s="1"/>
  <c r="L38" i="29" s="1"/>
  <c r="J46" i="29"/>
  <c r="J34" i="29"/>
  <c r="N34" i="29" s="1"/>
  <c r="L73" i="4"/>
  <c r="K33" i="3"/>
  <c r="L33" i="3" s="1"/>
  <c r="I9" i="2"/>
  <c r="I8" i="3" s="1"/>
  <c r="H37" i="1"/>
  <c r="K101" i="4"/>
  <c r="J36" i="29"/>
  <c r="N36" i="29" s="1"/>
  <c r="G36" i="29"/>
  <c r="H36" i="29" s="1"/>
  <c r="G29" i="29"/>
  <c r="H29" i="29" s="1"/>
  <c r="F22" i="3"/>
  <c r="G25" i="29"/>
  <c r="H25" i="29" s="1"/>
  <c r="J25" i="29"/>
  <c r="L88" i="21"/>
  <c r="N88" i="21" s="1"/>
  <c r="L76" i="21"/>
  <c r="L70" i="21"/>
  <c r="N70" i="21" s="1"/>
  <c r="L72" i="21"/>
  <c r="N72" i="21" s="1"/>
  <c r="L77" i="21"/>
  <c r="N77" i="21" s="1"/>
  <c r="L101" i="21"/>
  <c r="N101" i="21" s="1"/>
  <c r="L56" i="21"/>
  <c r="N56" i="21" s="1"/>
  <c r="L14" i="21"/>
  <c r="N14" i="21" s="1"/>
  <c r="L33" i="21"/>
  <c r="N33" i="21" s="1"/>
  <c r="L31" i="21"/>
  <c r="N31" i="21" s="1"/>
  <c r="L37" i="21"/>
  <c r="N37" i="21" s="1"/>
  <c r="L51" i="21"/>
  <c r="N51" i="21" s="1"/>
  <c r="L42" i="21"/>
  <c r="N42" i="21" s="1"/>
  <c r="L108" i="21"/>
  <c r="N108" i="21" s="1"/>
  <c r="L102" i="21"/>
  <c r="N102" i="21" s="1"/>
  <c r="L109" i="23"/>
  <c r="L108" i="23"/>
  <c r="L16" i="23"/>
  <c r="L14" i="23"/>
  <c r="L106" i="23"/>
  <c r="L104" i="23"/>
  <c r="N104" i="23" s="1"/>
  <c r="O104" i="23" s="1"/>
  <c r="L100" i="23"/>
  <c r="L98" i="23"/>
  <c r="L96" i="23"/>
  <c r="N96" i="23" s="1"/>
  <c r="O96" i="23" s="1"/>
  <c r="Q96" i="23" s="1"/>
  <c r="L92" i="23"/>
  <c r="L90" i="23"/>
  <c r="L88" i="23"/>
  <c r="N88" i="23" s="1"/>
  <c r="O88" i="23" s="1"/>
  <c r="Q88" i="23" s="1"/>
  <c r="L84" i="23"/>
  <c r="L82" i="23"/>
  <c r="L80" i="23"/>
  <c r="N80" i="23" s="1"/>
  <c r="O80" i="23" s="1"/>
  <c r="L76" i="23"/>
  <c r="L74" i="23"/>
  <c r="L72" i="23"/>
  <c r="N72" i="23" s="1"/>
  <c r="O72" i="23" s="1"/>
  <c r="L68" i="23"/>
  <c r="L66" i="23"/>
  <c r="L64" i="23"/>
  <c r="N64" i="23" s="1"/>
  <c r="O64" i="23" s="1"/>
  <c r="Q64" i="23" s="1"/>
  <c r="L60" i="23"/>
  <c r="L58" i="23"/>
  <c r="L56" i="23"/>
  <c r="N56" i="23" s="1"/>
  <c r="L52" i="23"/>
  <c r="L50" i="23"/>
  <c r="L48" i="23"/>
  <c r="N48" i="23" s="1"/>
  <c r="O48" i="23" s="1"/>
  <c r="Q48" i="23" s="1"/>
  <c r="L44" i="23"/>
  <c r="L42" i="23"/>
  <c r="L40" i="23"/>
  <c r="N40" i="23" s="1"/>
  <c r="O40" i="23" s="1"/>
  <c r="L36" i="23"/>
  <c r="L34" i="23"/>
  <c r="L32" i="23"/>
  <c r="N32" i="23" s="1"/>
  <c r="L28" i="23"/>
  <c r="L26" i="23"/>
  <c r="L24" i="23"/>
  <c r="N24" i="23" s="1"/>
  <c r="L20" i="23"/>
  <c r="L18" i="23"/>
  <c r="L19" i="23"/>
  <c r="N19" i="23" s="1"/>
  <c r="L23" i="23"/>
  <c r="L27" i="23"/>
  <c r="N27" i="23" s="1"/>
  <c r="L31" i="23"/>
  <c r="L35" i="23"/>
  <c r="N35" i="23" s="1"/>
  <c r="L39" i="23"/>
  <c r="L43" i="23"/>
  <c r="N43" i="23" s="1"/>
  <c r="L47" i="23"/>
  <c r="L51" i="23"/>
  <c r="N51" i="23" s="1"/>
  <c r="O51" i="23" s="1"/>
  <c r="L55" i="23"/>
  <c r="L59" i="23"/>
  <c r="N59" i="23" s="1"/>
  <c r="L63" i="23"/>
  <c r="L67" i="23"/>
  <c r="N67" i="23" s="1"/>
  <c r="L71" i="23"/>
  <c r="L75" i="23"/>
  <c r="N75" i="23" s="1"/>
  <c r="L79" i="23"/>
  <c r="L83" i="23"/>
  <c r="N83" i="23" s="1"/>
  <c r="O83" i="23" s="1"/>
  <c r="Q83" i="23" s="1"/>
  <c r="L87" i="23"/>
  <c r="L91" i="23"/>
  <c r="N91" i="23" s="1"/>
  <c r="L95" i="23"/>
  <c r="L99" i="23"/>
  <c r="N99" i="23" s="1"/>
  <c r="O99" i="23" s="1"/>
  <c r="R99" i="23" s="1"/>
  <c r="L103" i="23"/>
  <c r="L107" i="23"/>
  <c r="N107" i="23" s="1"/>
  <c r="F57" i="7"/>
  <c r="G14" i="7" s="1"/>
  <c r="G57" i="7" s="1"/>
  <c r="H14" i="7" s="1"/>
  <c r="H57" i="7" s="1"/>
  <c r="I14" i="7" s="1"/>
  <c r="I57" i="7" s="1"/>
  <c r="J14" i="7" s="1"/>
  <c r="J57" i="7" s="1"/>
  <c r="I33" i="1"/>
  <c r="J16" i="4" s="1"/>
  <c r="K129" i="25"/>
  <c r="K130" i="25" s="1"/>
  <c r="K41" i="3"/>
  <c r="L41" i="3" s="1"/>
  <c r="N41" i="3"/>
  <c r="O41" i="3" s="1"/>
  <c r="P41" i="3" s="1"/>
  <c r="N61" i="21"/>
  <c r="G31" i="29"/>
  <c r="H31" i="29" s="1"/>
  <c r="J31" i="29"/>
  <c r="N31" i="29" s="1"/>
  <c r="L16" i="21"/>
  <c r="L24" i="21"/>
  <c r="N24" i="21" s="1"/>
  <c r="L30" i="21"/>
  <c r="N30" i="21" s="1"/>
  <c r="L57" i="21"/>
  <c r="N57" i="21" s="1"/>
  <c r="L19" i="21"/>
  <c r="N19" i="21" s="1"/>
  <c r="L35" i="21"/>
  <c r="N35" i="21" s="1"/>
  <c r="L104" i="21"/>
  <c r="N104" i="21" s="1"/>
  <c r="L97" i="21"/>
  <c r="N97" i="21" s="1"/>
  <c r="L55" i="21"/>
  <c r="N55" i="21" s="1"/>
  <c r="L40" i="21"/>
  <c r="N40" i="21" s="1"/>
  <c r="L93" i="21"/>
  <c r="N93" i="21" s="1"/>
  <c r="L53" i="21"/>
  <c r="N53" i="21" s="1"/>
  <c r="L83" i="21"/>
  <c r="N83" i="21" s="1"/>
  <c r="L47" i="21"/>
  <c r="N47" i="21" s="1"/>
  <c r="L100" i="21"/>
  <c r="N100" i="21" s="1"/>
  <c r="L36" i="21"/>
  <c r="N36" i="21" s="1"/>
  <c r="L94" i="21"/>
  <c r="N94" i="21" s="1"/>
  <c r="L22" i="21"/>
  <c r="N22" i="21" s="1"/>
  <c r="L107" i="21"/>
  <c r="N107" i="21" s="1"/>
  <c r="L26" i="21"/>
  <c r="N26" i="21" s="1"/>
  <c r="L58" i="21"/>
  <c r="N58" i="21" s="1"/>
  <c r="L90" i="21"/>
  <c r="N90" i="21" s="1"/>
  <c r="L85" i="21"/>
  <c r="N85" i="21" s="1"/>
  <c r="L45" i="21"/>
  <c r="N45" i="21" s="1"/>
  <c r="L91" i="21"/>
  <c r="N91" i="21" s="1"/>
  <c r="L59" i="21"/>
  <c r="N59" i="21" s="1"/>
  <c r="L23" i="21"/>
  <c r="N23" i="21" s="1"/>
  <c r="L52" i="21"/>
  <c r="N52" i="21" s="1"/>
  <c r="L78" i="21"/>
  <c r="N78" i="21" s="1"/>
  <c r="L103" i="21"/>
  <c r="N103" i="21" s="1"/>
  <c r="L34" i="21"/>
  <c r="N34" i="21" s="1"/>
  <c r="L66" i="21"/>
  <c r="N66" i="21" s="1"/>
  <c r="L98" i="21"/>
  <c r="N98" i="21" s="1"/>
  <c r="N8" i="21"/>
  <c r="O99" i="21" s="1"/>
  <c r="R99" i="21" s="1"/>
  <c r="L65" i="21"/>
  <c r="N65" i="21" s="1"/>
  <c r="L29" i="21"/>
  <c r="N29" i="21" s="1"/>
  <c r="L79" i="21"/>
  <c r="N79" i="21" s="1"/>
  <c r="L43" i="21"/>
  <c r="N43" i="21" s="1"/>
  <c r="O43" i="21" s="1"/>
  <c r="R43" i="21" s="1"/>
  <c r="L92" i="21"/>
  <c r="N92" i="21" s="1"/>
  <c r="L28" i="21"/>
  <c r="N28" i="21" s="1"/>
  <c r="L86" i="21"/>
  <c r="N86" i="21" s="1"/>
  <c r="L17" i="21"/>
  <c r="N17" i="21" s="1"/>
  <c r="O17" i="21" s="1"/>
  <c r="R17" i="21" s="1"/>
  <c r="L81" i="21"/>
  <c r="N81" i="21" s="1"/>
  <c r="L12" i="21"/>
  <c r="N12" i="21" s="1"/>
  <c r="L48" i="21"/>
  <c r="N48" i="21" s="1"/>
  <c r="L80" i="21"/>
  <c r="N80" i="21" s="1"/>
  <c r="O80" i="21" s="1"/>
  <c r="Q80" i="21" s="1"/>
  <c r="L110" i="21"/>
  <c r="N110" i="21" s="1"/>
  <c r="H39" i="1"/>
  <c r="F129" i="25"/>
  <c r="F130" i="25" s="1"/>
  <c r="G78" i="1"/>
  <c r="H17" i="1"/>
  <c r="I17" i="1" s="1"/>
  <c r="F37" i="25"/>
  <c r="F41" i="25"/>
  <c r="F39" i="25"/>
  <c r="F29" i="25"/>
  <c r="J15" i="2" s="1"/>
  <c r="P15" i="2" s="1"/>
  <c r="H105" i="1"/>
  <c r="H102" i="1" s="1"/>
  <c r="I131" i="1"/>
  <c r="I128" i="1" s="1"/>
  <c r="M12" i="23"/>
  <c r="N12" i="23" s="1"/>
  <c r="M16" i="23"/>
  <c r="I85" i="1"/>
  <c r="J21" i="2"/>
  <c r="P21" i="2" s="1"/>
  <c r="J22" i="26"/>
  <c r="K190" i="4"/>
  <c r="J190" i="4"/>
  <c r="K21" i="2"/>
  <c r="Q21" i="2" s="1"/>
  <c r="N69" i="21"/>
  <c r="L83" i="26"/>
  <c r="K92" i="26"/>
  <c r="L92" i="26" s="1"/>
  <c r="J96" i="26"/>
  <c r="I26" i="26"/>
  <c r="K23" i="3"/>
  <c r="L23" i="3" s="1"/>
  <c r="K27" i="3"/>
  <c r="L27" i="3" s="1"/>
  <c r="R23" i="3"/>
  <c r="S23" i="3" s="1"/>
  <c r="T23" i="3" s="1"/>
  <c r="N27" i="3"/>
  <c r="O27" i="3" s="1"/>
  <c r="P27" i="3" s="1"/>
  <c r="N47" i="3"/>
  <c r="H68" i="15" s="1"/>
  <c r="K47" i="3"/>
  <c r="L47" i="3" s="1"/>
  <c r="H22" i="26"/>
  <c r="H26" i="26" s="1"/>
  <c r="G55" i="7"/>
  <c r="H12" i="7" s="1"/>
  <c r="H55" i="7" s="1"/>
  <c r="I12" i="7" s="1"/>
  <c r="I55" i="7" s="1"/>
  <c r="J12" i="7" s="1"/>
  <c r="J55" i="7" s="1"/>
  <c r="K77" i="1"/>
  <c r="M18" i="23"/>
  <c r="M21" i="23"/>
  <c r="N21" i="23" s="1"/>
  <c r="O21" i="23" s="1"/>
  <c r="R21" i="23" s="1"/>
  <c r="M26" i="23"/>
  <c r="M29" i="23"/>
  <c r="N29" i="23" s="1"/>
  <c r="O29" i="23" s="1"/>
  <c r="R29" i="23" s="1"/>
  <c r="M34" i="23"/>
  <c r="M37" i="23"/>
  <c r="N37" i="23" s="1"/>
  <c r="O37" i="23" s="1"/>
  <c r="M42" i="23"/>
  <c r="M45" i="23"/>
  <c r="N45" i="23" s="1"/>
  <c r="O45" i="23" s="1"/>
  <c r="M50" i="23"/>
  <c r="M53" i="23"/>
  <c r="N53" i="23" s="1"/>
  <c r="O53" i="23" s="1"/>
  <c r="M58" i="23"/>
  <c r="M61" i="23"/>
  <c r="N61" i="23" s="1"/>
  <c r="O61" i="23" s="1"/>
  <c r="M66" i="23"/>
  <c r="M69" i="23"/>
  <c r="N69" i="23" s="1"/>
  <c r="O69" i="23" s="1"/>
  <c r="R69" i="23" s="1"/>
  <c r="M74" i="23"/>
  <c r="M77" i="23"/>
  <c r="N77" i="23" s="1"/>
  <c r="O77" i="23" s="1"/>
  <c r="R77" i="23" s="1"/>
  <c r="M82" i="23"/>
  <c r="M85" i="23"/>
  <c r="N85" i="23" s="1"/>
  <c r="O85" i="23" s="1"/>
  <c r="M90" i="23"/>
  <c r="M93" i="23"/>
  <c r="N93" i="23" s="1"/>
  <c r="O93" i="23" s="1"/>
  <c r="R93" i="23" s="1"/>
  <c r="M98" i="23"/>
  <c r="M101" i="23"/>
  <c r="N101" i="23" s="1"/>
  <c r="O101" i="23" s="1"/>
  <c r="M106" i="23"/>
  <c r="M11" i="23"/>
  <c r="N11" i="23" s="1"/>
  <c r="M14" i="23"/>
  <c r="M109" i="23"/>
  <c r="N35" i="3"/>
  <c r="H56" i="15" s="1"/>
  <c r="F15" i="3"/>
  <c r="G15" i="3" s="1"/>
  <c r="H15" i="3" s="1"/>
  <c r="M20" i="23"/>
  <c r="M23" i="23"/>
  <c r="M28" i="23"/>
  <c r="M31" i="23"/>
  <c r="M36" i="23"/>
  <c r="M39" i="23"/>
  <c r="M44" i="23"/>
  <c r="M47" i="23"/>
  <c r="M52" i="23"/>
  <c r="M55" i="23"/>
  <c r="M60" i="23"/>
  <c r="M63" i="23"/>
  <c r="M68" i="23"/>
  <c r="M71" i="23"/>
  <c r="M76" i="23"/>
  <c r="M79" i="23"/>
  <c r="M84" i="23"/>
  <c r="M87" i="23"/>
  <c r="M92" i="23"/>
  <c r="M95" i="23"/>
  <c r="M100" i="23"/>
  <c r="M103" i="23"/>
  <c r="N8" i="23"/>
  <c r="O109" i="23" s="1"/>
  <c r="R109" i="23" s="1"/>
  <c r="N22" i="3"/>
  <c r="O22" i="3" s="1"/>
  <c r="P22" i="3" s="1"/>
  <c r="Q75" i="23"/>
  <c r="M108" i="23"/>
  <c r="F56" i="7"/>
  <c r="G13" i="7" s="1"/>
  <c r="G56" i="7" s="1"/>
  <c r="H13" i="7" s="1"/>
  <c r="H56" i="7" s="1"/>
  <c r="I13" i="7" s="1"/>
  <c r="I56" i="7" s="1"/>
  <c r="J13" i="7" s="1"/>
  <c r="J56" i="7" s="1"/>
  <c r="N15" i="21"/>
  <c r="L9" i="2"/>
  <c r="R9" i="2" s="1"/>
  <c r="I8" i="4"/>
  <c r="I96" i="4" s="1"/>
  <c r="M17" i="23"/>
  <c r="N17" i="23" s="1"/>
  <c r="O17" i="23" s="1"/>
  <c r="M22" i="23"/>
  <c r="N22" i="23" s="1"/>
  <c r="M25" i="23"/>
  <c r="N25" i="23" s="1"/>
  <c r="O25" i="23" s="1"/>
  <c r="R25" i="23" s="1"/>
  <c r="M30" i="23"/>
  <c r="N30" i="23" s="1"/>
  <c r="O30" i="23" s="1"/>
  <c r="Q30" i="23" s="1"/>
  <c r="M33" i="23"/>
  <c r="N33" i="23" s="1"/>
  <c r="O33" i="23" s="1"/>
  <c r="M38" i="23"/>
  <c r="N38" i="23" s="1"/>
  <c r="O38" i="23" s="1"/>
  <c r="M41" i="23"/>
  <c r="N41" i="23" s="1"/>
  <c r="O41" i="23" s="1"/>
  <c r="Q41" i="23" s="1"/>
  <c r="M46" i="23"/>
  <c r="N46" i="23" s="1"/>
  <c r="O46" i="23" s="1"/>
  <c r="M49" i="23"/>
  <c r="N49" i="23" s="1"/>
  <c r="O49" i="23" s="1"/>
  <c r="M54" i="23"/>
  <c r="N54" i="23" s="1"/>
  <c r="O54" i="23" s="1"/>
  <c r="R54" i="23" s="1"/>
  <c r="M57" i="23"/>
  <c r="N57" i="23" s="1"/>
  <c r="O57" i="23" s="1"/>
  <c r="R57" i="23" s="1"/>
  <c r="M62" i="23"/>
  <c r="N62" i="23" s="1"/>
  <c r="O62" i="23" s="1"/>
  <c r="M65" i="23"/>
  <c r="N65" i="23" s="1"/>
  <c r="O65" i="23" s="1"/>
  <c r="R65" i="23" s="1"/>
  <c r="M70" i="23"/>
  <c r="N70" i="23" s="1"/>
  <c r="O70" i="23" s="1"/>
  <c r="R70" i="23" s="1"/>
  <c r="M73" i="23"/>
  <c r="N73" i="23" s="1"/>
  <c r="O73" i="23" s="1"/>
  <c r="R73" i="23" s="1"/>
  <c r="M78" i="23"/>
  <c r="N78" i="23" s="1"/>
  <c r="O78" i="23" s="1"/>
  <c r="R78" i="23" s="1"/>
  <c r="M81" i="23"/>
  <c r="N81" i="23" s="1"/>
  <c r="O81" i="23" s="1"/>
  <c r="M86" i="23"/>
  <c r="N86" i="23" s="1"/>
  <c r="O86" i="23" s="1"/>
  <c r="Q86" i="23" s="1"/>
  <c r="M89" i="23"/>
  <c r="N89" i="23" s="1"/>
  <c r="O89" i="23" s="1"/>
  <c r="R89" i="23" s="1"/>
  <c r="M94" i="23"/>
  <c r="N94" i="23" s="1"/>
  <c r="O94" i="23" s="1"/>
  <c r="M97" i="23"/>
  <c r="N97" i="23" s="1"/>
  <c r="O97" i="23" s="1"/>
  <c r="M102" i="23"/>
  <c r="N102" i="23" s="1"/>
  <c r="O102" i="23" s="1"/>
  <c r="R102" i="23" s="1"/>
  <c r="M105" i="23"/>
  <c r="N105" i="23" s="1"/>
  <c r="O105" i="23" s="1"/>
  <c r="M110" i="23"/>
  <c r="N110" i="23" s="1"/>
  <c r="O110" i="23" s="1"/>
  <c r="M13" i="23"/>
  <c r="N13" i="23" s="1"/>
  <c r="O13" i="23" s="1"/>
  <c r="R13" i="23" s="1"/>
  <c r="M15" i="23"/>
  <c r="N15" i="23" s="1"/>
  <c r="G49" i="1"/>
  <c r="H9" i="4"/>
  <c r="I9" i="4" s="1"/>
  <c r="J9" i="4" s="1"/>
  <c r="K9" i="4" s="1"/>
  <c r="L9" i="4" s="1"/>
  <c r="N30" i="3"/>
  <c r="O30" i="3" s="1"/>
  <c r="P30" i="3" s="1"/>
  <c r="G62" i="15"/>
  <c r="G36" i="15"/>
  <c r="N20" i="21"/>
  <c r="N74" i="21"/>
  <c r="O74" i="21" s="1"/>
  <c r="R74" i="21" s="1"/>
  <c r="N62" i="21"/>
  <c r="N68" i="21"/>
  <c r="N67" i="21"/>
  <c r="N76" i="21"/>
  <c r="J9" i="2"/>
  <c r="M8" i="3" s="1"/>
  <c r="K31" i="3"/>
  <c r="L31" i="3" s="1"/>
  <c r="N18" i="3"/>
  <c r="O18" i="3" s="1"/>
  <c r="P18" i="3" s="1"/>
  <c r="N84" i="21"/>
  <c r="F34" i="25"/>
  <c r="H15" i="2"/>
  <c r="F31" i="25"/>
  <c r="W56" i="3"/>
  <c r="H13" i="3"/>
  <c r="Q32" i="23"/>
  <c r="R32" i="23"/>
  <c r="Q95" i="23"/>
  <c r="R95" i="23"/>
  <c r="Q107" i="23"/>
  <c r="R107" i="23"/>
  <c r="Q24" i="23"/>
  <c r="R24" i="23"/>
  <c r="Q22" i="23"/>
  <c r="R22" i="23"/>
  <c r="Q67" i="23"/>
  <c r="R67" i="23"/>
  <c r="Q43" i="23"/>
  <c r="R43" i="23"/>
  <c r="L21" i="2"/>
  <c r="R21" i="2" s="1"/>
  <c r="H25" i="15"/>
  <c r="L16" i="26"/>
  <c r="K27" i="1"/>
  <c r="K31" i="1"/>
  <c r="K15" i="26"/>
  <c r="I25" i="15"/>
  <c r="L15" i="26"/>
  <c r="K33" i="1"/>
  <c r="L16" i="4" s="1"/>
  <c r="L17" i="26"/>
  <c r="L19" i="26"/>
  <c r="G56" i="3"/>
  <c r="H15" i="26"/>
  <c r="G33" i="1"/>
  <c r="H16" i="4" s="1"/>
  <c r="H21" i="2"/>
  <c r="N21" i="2" s="1"/>
  <c r="H85" i="1"/>
  <c r="I15" i="26"/>
  <c r="K56" i="3"/>
  <c r="I16" i="26"/>
  <c r="H33" i="1"/>
  <c r="I16" i="4" s="1"/>
  <c r="I21" i="2"/>
  <c r="O21" i="2" s="1"/>
  <c r="I17" i="26"/>
  <c r="I19" i="26"/>
  <c r="K16" i="26"/>
  <c r="J33" i="1"/>
  <c r="S56" i="3"/>
  <c r="J17" i="26"/>
  <c r="J19" i="26"/>
  <c r="H16" i="26"/>
  <c r="K17" i="26"/>
  <c r="G25" i="15"/>
  <c r="O56" i="3"/>
  <c r="J15" i="26"/>
  <c r="H17" i="26"/>
  <c r="K19" i="26"/>
  <c r="H19" i="2"/>
  <c r="N19" i="2" s="1"/>
  <c r="H19" i="26"/>
  <c r="G29" i="3"/>
  <c r="H29" i="3" s="1"/>
  <c r="F37" i="3"/>
  <c r="F58" i="15" s="1"/>
  <c r="G57" i="1"/>
  <c r="G80" i="1" s="1"/>
  <c r="H18" i="2" s="1"/>
  <c r="N18" i="2" s="1"/>
  <c r="G92" i="1"/>
  <c r="G89" i="1" s="1"/>
  <c r="G29" i="1" s="1"/>
  <c r="G28" i="1" s="1"/>
  <c r="H20" i="2"/>
  <c r="N20" i="2" s="1"/>
  <c r="K59" i="26"/>
  <c r="K114" i="26" s="1"/>
  <c r="J114" i="26"/>
  <c r="J65" i="26"/>
  <c r="J53" i="26"/>
  <c r="K49" i="26"/>
  <c r="J115" i="26"/>
  <c r="K60" i="26"/>
  <c r="K115" i="26" s="1"/>
  <c r="J116" i="26"/>
  <c r="K61" i="26"/>
  <c r="K116" i="26" s="1"/>
  <c r="I53" i="26"/>
  <c r="J86" i="4"/>
  <c r="K74" i="26"/>
  <c r="N109" i="21"/>
  <c r="M16" i="21"/>
  <c r="N75" i="21"/>
  <c r="K39" i="3"/>
  <c r="L39" i="3" s="1"/>
  <c r="N39" i="3"/>
  <c r="G60" i="15"/>
  <c r="K26" i="3"/>
  <c r="L26" i="3" s="1"/>
  <c r="N26" i="3"/>
  <c r="R26" i="3" s="1"/>
  <c r="I47" i="15" s="1"/>
  <c r="K16" i="3"/>
  <c r="L16" i="3" s="1"/>
  <c r="G37" i="15"/>
  <c r="N16" i="3"/>
  <c r="R16" i="3" s="1"/>
  <c r="S16" i="3" s="1"/>
  <c r="T16" i="3" s="1"/>
  <c r="K29" i="3"/>
  <c r="L29" i="3" s="1"/>
  <c r="N29" i="3"/>
  <c r="H50" i="15" s="1"/>
  <c r="N24" i="3"/>
  <c r="G45" i="15"/>
  <c r="K19" i="3"/>
  <c r="L19" i="3" s="1"/>
  <c r="G40" i="15"/>
  <c r="G42" i="15"/>
  <c r="G52" i="15"/>
  <c r="K34" i="3"/>
  <c r="L34" i="3" s="1"/>
  <c r="H49" i="15"/>
  <c r="F60" i="7"/>
  <c r="G17" i="7" s="1"/>
  <c r="G60" i="7" s="1"/>
  <c r="H17" i="7" s="1"/>
  <c r="H60" i="7" s="1"/>
  <c r="I17" i="7" s="1"/>
  <c r="I60" i="7" s="1"/>
  <c r="J17" i="7" s="1"/>
  <c r="J60" i="7" s="1"/>
  <c r="F38" i="3"/>
  <c r="O39" i="23"/>
  <c r="N38" i="3"/>
  <c r="H59" i="15" s="1"/>
  <c r="O63" i="23"/>
  <c r="O59" i="23"/>
  <c r="O27" i="23"/>
  <c r="O15" i="23"/>
  <c r="I77" i="1"/>
  <c r="N105" i="21"/>
  <c r="N27" i="21"/>
  <c r="N95" i="21"/>
  <c r="N50" i="21"/>
  <c r="N39" i="21"/>
  <c r="F59" i="7"/>
  <c r="G16" i="7" s="1"/>
  <c r="G59" i="7" s="1"/>
  <c r="H16" i="7" s="1"/>
  <c r="H59" i="7" s="1"/>
  <c r="I16" i="7" s="1"/>
  <c r="I59" i="7" s="1"/>
  <c r="J16" i="7" s="1"/>
  <c r="J59" i="7" s="1"/>
  <c r="O87" i="23"/>
  <c r="O79" i="23"/>
  <c r="O55" i="23"/>
  <c r="O31" i="23"/>
  <c r="O23" i="23"/>
  <c r="N44" i="21"/>
  <c r="N106" i="21"/>
  <c r="G59" i="15"/>
  <c r="O35" i="23"/>
  <c r="R35" i="23" s="1"/>
  <c r="O19" i="23"/>
  <c r="N46" i="21"/>
  <c r="N54" i="21"/>
  <c r="N60" i="21"/>
  <c r="N63" i="21"/>
  <c r="N82" i="21"/>
  <c r="N18" i="21"/>
  <c r="N38" i="21"/>
  <c r="N87" i="21"/>
  <c r="O91" i="23"/>
  <c r="N71" i="21"/>
  <c r="V33" i="3"/>
  <c r="W33" i="3" s="1"/>
  <c r="X33" i="3" s="1"/>
  <c r="O31" i="3"/>
  <c r="P31" i="3" s="1"/>
  <c r="K14" i="3"/>
  <c r="L14" i="3" s="1"/>
  <c r="N32" i="3"/>
  <c r="H53" i="15" s="1"/>
  <c r="G47" i="29"/>
  <c r="H47" i="29" s="1"/>
  <c r="G24" i="29"/>
  <c r="H24" i="29" s="1"/>
  <c r="G43" i="29"/>
  <c r="H43" i="29" s="1"/>
  <c r="F46" i="3"/>
  <c r="G46" i="3" s="1"/>
  <c r="H46" i="3" s="1"/>
  <c r="F28" i="3"/>
  <c r="F49" i="15" s="1"/>
  <c r="G39" i="29"/>
  <c r="H39" i="29" s="1"/>
  <c r="N28" i="29"/>
  <c r="K53" i="29"/>
  <c r="L53" i="29" s="1"/>
  <c r="F21" i="3"/>
  <c r="F17" i="3"/>
  <c r="G17" i="3" s="1"/>
  <c r="H17" i="3" s="1"/>
  <c r="F36" i="3"/>
  <c r="F57" i="15" s="1"/>
  <c r="K50" i="29"/>
  <c r="L50" i="29" s="1"/>
  <c r="H55" i="15"/>
  <c r="G53" i="15"/>
  <c r="K20" i="3"/>
  <c r="L20" i="3" s="1"/>
  <c r="N21" i="3"/>
  <c r="H42" i="15" s="1"/>
  <c r="G44" i="15"/>
  <c r="O23" i="3"/>
  <c r="P23" i="3" s="1"/>
  <c r="N36" i="3"/>
  <c r="O36" i="3" s="1"/>
  <c r="P36" i="3" s="1"/>
  <c r="G35" i="15"/>
  <c r="K13" i="3"/>
  <c r="L13" i="3" s="1"/>
  <c r="G57" i="15"/>
  <c r="K22" i="3"/>
  <c r="L22" i="3" s="1"/>
  <c r="K43" i="3"/>
  <c r="L43" i="3" s="1"/>
  <c r="N37" i="3"/>
  <c r="O37" i="3" s="1"/>
  <c r="P37" i="3" s="1"/>
  <c r="G34" i="15"/>
  <c r="K46" i="3"/>
  <c r="L46" i="3" s="1"/>
  <c r="K15" i="3"/>
  <c r="L15" i="3" s="1"/>
  <c r="K37" i="3"/>
  <c r="L37" i="3" s="1"/>
  <c r="N46" i="3"/>
  <c r="G35" i="3"/>
  <c r="H35" i="3" s="1"/>
  <c r="N21" i="21"/>
  <c r="K54" i="29"/>
  <c r="L54" i="29" s="1"/>
  <c r="J49" i="29"/>
  <c r="J30" i="29"/>
  <c r="F42" i="3"/>
  <c r="J22" i="29"/>
  <c r="F34" i="15"/>
  <c r="K34" i="29"/>
  <c r="L34" i="29" s="1"/>
  <c r="J45" i="29"/>
  <c r="J26" i="29"/>
  <c r="F30" i="3"/>
  <c r="G28" i="29"/>
  <c r="H28" i="29" s="1"/>
  <c r="F23" i="3"/>
  <c r="G23" i="3" s="1"/>
  <c r="H23" i="3" s="1"/>
  <c r="F19" i="3"/>
  <c r="F40" i="15" s="1"/>
  <c r="J41" i="29"/>
  <c r="N11" i="21"/>
  <c r="F32" i="3"/>
  <c r="F45" i="15"/>
  <c r="F34" i="3"/>
  <c r="J37" i="29"/>
  <c r="F40" i="3"/>
  <c r="G40" i="3" s="1"/>
  <c r="H40" i="3" s="1"/>
  <c r="G53" i="29"/>
  <c r="H53" i="29" s="1"/>
  <c r="G35" i="29"/>
  <c r="H35" i="29" s="1"/>
  <c r="R13" i="3"/>
  <c r="S13" i="3" s="1"/>
  <c r="T13" i="3" s="1"/>
  <c r="O13" i="3"/>
  <c r="P13" i="3" s="1"/>
  <c r="H35" i="15"/>
  <c r="R14" i="3"/>
  <c r="O14" i="3"/>
  <c r="P14" i="3" s="1"/>
  <c r="F43" i="3"/>
  <c r="J21" i="29"/>
  <c r="F14" i="3"/>
  <c r="G14" i="3" s="1"/>
  <c r="H14" i="3" s="1"/>
  <c r="H36" i="15"/>
  <c r="O15" i="3"/>
  <c r="P15" i="3" s="1"/>
  <c r="R15" i="3"/>
  <c r="R31" i="3"/>
  <c r="I54" i="15"/>
  <c r="N17" i="3"/>
  <c r="N20" i="3"/>
  <c r="N42" i="3"/>
  <c r="N40" i="3"/>
  <c r="K40" i="3"/>
  <c r="L40" i="3" s="1"/>
  <c r="G63" i="15"/>
  <c r="G54" i="15"/>
  <c r="F37" i="15"/>
  <c r="N19" i="3"/>
  <c r="H34" i="15"/>
  <c r="R34" i="3"/>
  <c r="K17" i="3"/>
  <c r="L17" i="3" s="1"/>
  <c r="G55" i="15"/>
  <c r="G49" i="15"/>
  <c r="K35" i="3"/>
  <c r="L35" i="3" s="1"/>
  <c r="O29" i="6"/>
  <c r="O124" i="6"/>
  <c r="M101" i="6"/>
  <c r="M25" i="6"/>
  <c r="M59" i="6"/>
  <c r="M42" i="6"/>
  <c r="M38" i="6"/>
  <c r="M111" i="6"/>
  <c r="M114" i="6"/>
  <c r="M130" i="6"/>
  <c r="M83" i="6"/>
  <c r="M81" i="6"/>
  <c r="M131" i="6"/>
  <c r="M108" i="6"/>
  <c r="M99" i="6"/>
  <c r="M64" i="6"/>
  <c r="M91" i="6"/>
  <c r="M47" i="6"/>
  <c r="M18" i="6"/>
  <c r="M140" i="6"/>
  <c r="M125" i="6"/>
  <c r="M110" i="6"/>
  <c r="M75" i="6"/>
  <c r="O139" i="6"/>
  <c r="M29" i="6"/>
  <c r="M124" i="6"/>
  <c r="M31" i="6"/>
  <c r="M43" i="6"/>
  <c r="M15" i="6"/>
  <c r="O53" i="6"/>
  <c r="M104" i="6"/>
  <c r="O100" i="6"/>
  <c r="O94" i="6"/>
  <c r="O137" i="6"/>
  <c r="M53" i="6"/>
  <c r="M141" i="6"/>
  <c r="M62" i="6"/>
  <c r="P9" i="6"/>
  <c r="O47" i="6"/>
  <c r="O35" i="6"/>
  <c r="O71" i="6"/>
  <c r="M126" i="6"/>
  <c r="M26" i="6"/>
  <c r="M65" i="6"/>
  <c r="M39" i="6"/>
  <c r="M50" i="6"/>
  <c r="M67" i="6"/>
  <c r="M100" i="6"/>
  <c r="O107" i="6"/>
  <c r="M109" i="6"/>
  <c r="O64" i="6"/>
  <c r="M48" i="6"/>
  <c r="M137" i="6"/>
  <c r="M63" i="6"/>
  <c r="M27" i="6"/>
  <c r="M66" i="6"/>
  <c r="M76" i="6"/>
  <c r="M77" i="6"/>
  <c r="M44" i="6"/>
  <c r="O141" i="6"/>
  <c r="M46" i="6"/>
  <c r="M138" i="6"/>
  <c r="O103" i="6"/>
  <c r="M87" i="6"/>
  <c r="O117" i="6"/>
  <c r="M60" i="6"/>
  <c r="O91" i="6"/>
  <c r="M16" i="6"/>
  <c r="M103" i="6"/>
  <c r="O68" i="6"/>
  <c r="M33" i="6"/>
  <c r="O22" i="6"/>
  <c r="O106" i="6"/>
  <c r="O70" i="6"/>
  <c r="M129" i="6"/>
  <c r="M21" i="6"/>
  <c r="M139" i="6"/>
  <c r="O88" i="6"/>
  <c r="O15" i="6"/>
  <c r="F37" i="7" s="1"/>
  <c r="O21" i="6"/>
  <c r="M113" i="6"/>
  <c r="M132" i="6"/>
  <c r="M112" i="6"/>
  <c r="O44" i="6"/>
  <c r="O39" i="6"/>
  <c r="M105" i="6"/>
  <c r="M70" i="6"/>
  <c r="O78" i="6"/>
  <c r="O86" i="6"/>
  <c r="M107" i="6"/>
  <c r="M92" i="6"/>
  <c r="M128" i="6"/>
  <c r="M97" i="6"/>
  <c r="M71" i="6"/>
  <c r="M37" i="6"/>
  <c r="M118" i="6"/>
  <c r="M56" i="6"/>
  <c r="M79" i="6"/>
  <c r="M35" i="6"/>
  <c r="M61" i="6"/>
  <c r="M89" i="6"/>
  <c r="M120" i="6"/>
  <c r="O120" i="6"/>
  <c r="M22" i="6"/>
  <c r="M116" i="6"/>
  <c r="M134" i="6"/>
  <c r="M51" i="6"/>
  <c r="M73" i="6"/>
  <c r="M96" i="6"/>
  <c r="M57" i="6"/>
  <c r="M78" i="6"/>
  <c r="O38" i="6"/>
  <c r="O26" i="6"/>
  <c r="O98" i="6"/>
  <c r="O74" i="6"/>
  <c r="O31" i="6"/>
  <c r="M17" i="6"/>
  <c r="M98" i="6"/>
  <c r="O17" i="6"/>
  <c r="Q9" i="6"/>
  <c r="U9" i="6"/>
  <c r="O59" i="6"/>
  <c r="O62" i="6"/>
  <c r="O37" i="6"/>
  <c r="O48" i="6"/>
  <c r="O113" i="6"/>
  <c r="O24" i="6"/>
  <c r="O129" i="6"/>
  <c r="O76" i="6"/>
  <c r="O41" i="6"/>
  <c r="M88" i="6"/>
  <c r="O119" i="6"/>
  <c r="O36" i="6"/>
  <c r="M93" i="6"/>
  <c r="M28" i="6"/>
  <c r="M119" i="6"/>
  <c r="M24" i="6"/>
  <c r="M23" i="6"/>
  <c r="M32" i="6"/>
  <c r="M90" i="6"/>
  <c r="O87" i="6"/>
  <c r="M82" i="6"/>
  <c r="M19" i="6"/>
  <c r="O34" i="6"/>
  <c r="O61" i="6"/>
  <c r="M45" i="6"/>
  <c r="M68" i="6"/>
  <c r="M85" i="6"/>
  <c r="M41" i="6"/>
  <c r="M127" i="6"/>
  <c r="M122" i="6"/>
  <c r="M20" i="6"/>
  <c r="O134" i="6"/>
  <c r="M133" i="6"/>
  <c r="M106" i="6"/>
  <c r="O81" i="6"/>
  <c r="O116" i="6"/>
  <c r="O73" i="6"/>
  <c r="M86" i="6"/>
  <c r="M40" i="6"/>
  <c r="M94" i="6"/>
  <c r="M30" i="6"/>
  <c r="M117" i="6"/>
  <c r="M54" i="6"/>
  <c r="M135" i="6"/>
  <c r="M84" i="6"/>
  <c r="O42" i="6"/>
  <c r="O105" i="6"/>
  <c r="O111" i="6"/>
  <c r="O102" i="6"/>
  <c r="M115" i="6"/>
  <c r="O97" i="6"/>
  <c r="M34" i="6"/>
  <c r="O96" i="6"/>
  <c r="R9" i="6"/>
  <c r="O57" i="6"/>
  <c r="O135" i="6"/>
  <c r="O127" i="6"/>
  <c r="O66" i="6"/>
  <c r="O52" i="6"/>
  <c r="M49" i="6"/>
  <c r="O20" i="6"/>
  <c r="O89" i="6"/>
  <c r="O45" i="6"/>
  <c r="O63" i="6"/>
  <c r="O33" i="6"/>
  <c r="O92" i="6"/>
  <c r="O95" i="6"/>
  <c r="O109" i="6"/>
  <c r="O83" i="6"/>
  <c r="M55" i="6"/>
  <c r="O32" i="6"/>
  <c r="O99" i="6"/>
  <c r="M102" i="6"/>
  <c r="S28" i="3"/>
  <c r="T28" i="3" s="1"/>
  <c r="V28" i="3"/>
  <c r="W28" i="3" s="1"/>
  <c r="X28" i="3" s="1"/>
  <c r="K43" i="29"/>
  <c r="L43" i="29" s="1"/>
  <c r="N43" i="29"/>
  <c r="K28" i="3"/>
  <c r="L28" i="3" s="1"/>
  <c r="O12" i="23"/>
  <c r="K29" i="29"/>
  <c r="L29" i="29" s="1"/>
  <c r="N13" i="21"/>
  <c r="F39" i="15"/>
  <c r="H9" i="2"/>
  <c r="R43" i="3"/>
  <c r="H64" i="15"/>
  <c r="O43" i="3"/>
  <c r="P43" i="3" s="1"/>
  <c r="K23" i="29"/>
  <c r="L23" i="29" s="1"/>
  <c r="N23" i="29"/>
  <c r="K47" i="29"/>
  <c r="L47" i="29" s="1"/>
  <c r="N47" i="29"/>
  <c r="K44" i="29"/>
  <c r="L44" i="29" s="1"/>
  <c r="N44" i="29"/>
  <c r="K35" i="29"/>
  <c r="L35" i="29" s="1"/>
  <c r="N35" i="29"/>
  <c r="N27" i="29"/>
  <c r="K27" i="29"/>
  <c r="L27" i="29" s="1"/>
  <c r="K24" i="29"/>
  <c r="L24" i="29" s="1"/>
  <c r="N24" i="29"/>
  <c r="N48" i="29"/>
  <c r="K48" i="29"/>
  <c r="L48" i="29" s="1"/>
  <c r="K39" i="29"/>
  <c r="L39" i="29" s="1"/>
  <c r="N39" i="29"/>
  <c r="J88" i="4"/>
  <c r="K72" i="26"/>
  <c r="K40" i="29"/>
  <c r="L40" i="29" s="1"/>
  <c r="N40" i="29"/>
  <c r="K20" i="29"/>
  <c r="L20" i="29" s="1"/>
  <c r="H16" i="2"/>
  <c r="N16" i="2" s="1"/>
  <c r="U61" i="30" l="1"/>
  <c r="M67" i="30"/>
  <c r="U67" i="30" s="1"/>
  <c r="U13" i="30"/>
  <c r="M19" i="30"/>
  <c r="U19" i="30" s="1"/>
  <c r="N35" i="2"/>
  <c r="O35" i="2"/>
  <c r="Q35" i="2"/>
  <c r="N58" i="23"/>
  <c r="O58" i="23" s="1"/>
  <c r="Q58" i="23" s="1"/>
  <c r="G39" i="3"/>
  <c r="H39" i="3" s="1"/>
  <c r="I92" i="1"/>
  <c r="I89" i="1" s="1"/>
  <c r="O13" i="21"/>
  <c r="R13" i="21" s="1"/>
  <c r="F68" i="15"/>
  <c r="O97" i="21"/>
  <c r="R97" i="21" s="1"/>
  <c r="N90" i="23"/>
  <c r="O90" i="23" s="1"/>
  <c r="R90" i="23" s="1"/>
  <c r="N26" i="23"/>
  <c r="O26" i="23" s="1"/>
  <c r="Q26" i="23" s="1"/>
  <c r="O64" i="21"/>
  <c r="R64" i="21" s="1"/>
  <c r="O89" i="21"/>
  <c r="R89" i="21" s="1"/>
  <c r="J85" i="4"/>
  <c r="P92" i="2"/>
  <c r="K92" i="2"/>
  <c r="Q92" i="2" s="1"/>
  <c r="K73" i="26"/>
  <c r="Q89" i="2"/>
  <c r="K75" i="2"/>
  <c r="P75" i="2"/>
  <c r="K79" i="2"/>
  <c r="P79" i="2"/>
  <c r="L78" i="2"/>
  <c r="R78" i="2" s="1"/>
  <c r="Q78" i="2"/>
  <c r="K80" i="2"/>
  <c r="P80" i="2"/>
  <c r="L62" i="2"/>
  <c r="R62" i="2" s="1"/>
  <c r="Q62" i="2"/>
  <c r="K77" i="2"/>
  <c r="P77" i="2"/>
  <c r="K90" i="2"/>
  <c r="Q90" i="2" s="1"/>
  <c r="P90" i="2"/>
  <c r="N15" i="2"/>
  <c r="J118" i="2"/>
  <c r="P76" i="2"/>
  <c r="K64" i="2"/>
  <c r="P64" i="2"/>
  <c r="K63" i="2"/>
  <c r="P63" i="2"/>
  <c r="K65" i="2"/>
  <c r="P65" i="2"/>
  <c r="K66" i="2"/>
  <c r="P66" i="2"/>
  <c r="N16" i="23"/>
  <c r="O16" i="23" s="1"/>
  <c r="Q16" i="23" s="1"/>
  <c r="O31" i="21"/>
  <c r="R31" i="21" s="1"/>
  <c r="N42" i="29"/>
  <c r="O39" i="21"/>
  <c r="Q39" i="21" s="1"/>
  <c r="O27" i="21"/>
  <c r="R27" i="21" s="1"/>
  <c r="K74" i="2"/>
  <c r="Q74" i="2" s="1"/>
  <c r="H65" i="8"/>
  <c r="Q9" i="2"/>
  <c r="I119" i="2"/>
  <c r="G18" i="8" s="1"/>
  <c r="F73" i="15" s="1"/>
  <c r="G66" i="8"/>
  <c r="I115" i="2"/>
  <c r="G64" i="8"/>
  <c r="J82" i="2"/>
  <c r="H66" i="8" s="1"/>
  <c r="K76" i="2"/>
  <c r="I91" i="1"/>
  <c r="O12" i="21"/>
  <c r="Q12" i="21" s="1"/>
  <c r="O53" i="21"/>
  <c r="R53" i="21" s="1"/>
  <c r="O67" i="21"/>
  <c r="O20" i="21"/>
  <c r="R20" i="21" s="1"/>
  <c r="O50" i="21"/>
  <c r="R50" i="21" s="1"/>
  <c r="O62" i="21"/>
  <c r="R62" i="21" s="1"/>
  <c r="N100" i="23"/>
  <c r="O100" i="23" s="1"/>
  <c r="R100" i="23" s="1"/>
  <c r="N68" i="23"/>
  <c r="O68" i="23" s="1"/>
  <c r="Q68" i="23" s="1"/>
  <c r="N36" i="23"/>
  <c r="O36" i="23" s="1"/>
  <c r="Q36" i="23" s="1"/>
  <c r="N109" i="23"/>
  <c r="I195" i="4"/>
  <c r="K63" i="4"/>
  <c r="L89" i="2"/>
  <c r="J115" i="2"/>
  <c r="K185" i="4"/>
  <c r="J167" i="4"/>
  <c r="H26" i="8" s="1"/>
  <c r="G78" i="15" s="1"/>
  <c r="L167" i="4"/>
  <c r="L196" i="4" s="1"/>
  <c r="J87" i="4"/>
  <c r="J71" i="26"/>
  <c r="K91" i="2"/>
  <c r="Q91" i="2" s="1"/>
  <c r="H195" i="4"/>
  <c r="I188" i="4"/>
  <c r="K167" i="4"/>
  <c r="I26" i="8" s="1"/>
  <c r="H78" i="15" s="1"/>
  <c r="H17" i="8"/>
  <c r="G72" i="15" s="1"/>
  <c r="J131" i="1"/>
  <c r="J128" i="1" s="1"/>
  <c r="O28" i="21"/>
  <c r="R28" i="21" s="1"/>
  <c r="O93" i="21"/>
  <c r="Q93" i="21" s="1"/>
  <c r="J8" i="4"/>
  <c r="J96" i="4" s="1"/>
  <c r="Q54" i="23"/>
  <c r="O57" i="21"/>
  <c r="R57" i="21" s="1"/>
  <c r="O25" i="21"/>
  <c r="Q25" i="21" s="1"/>
  <c r="I15" i="2"/>
  <c r="O15" i="2" s="1"/>
  <c r="J19" i="2"/>
  <c r="P19" i="2" s="1"/>
  <c r="N14" i="23"/>
  <c r="O14" i="23" s="1"/>
  <c r="Q14" i="23" s="1"/>
  <c r="N98" i="23"/>
  <c r="O98" i="23" s="1"/>
  <c r="R98" i="23" s="1"/>
  <c r="N82" i="23"/>
  <c r="O82" i="23" s="1"/>
  <c r="R82" i="23" s="1"/>
  <c r="N66" i="23"/>
  <c r="O66" i="23" s="1"/>
  <c r="Q66" i="23" s="1"/>
  <c r="N50" i="23"/>
  <c r="O50" i="23" s="1"/>
  <c r="Q50" i="23" s="1"/>
  <c r="N34" i="23"/>
  <c r="O34" i="23" s="1"/>
  <c r="R34" i="23" s="1"/>
  <c r="N18" i="23"/>
  <c r="O18" i="23" s="1"/>
  <c r="R18" i="23" s="1"/>
  <c r="O41" i="21"/>
  <c r="R41" i="21" s="1"/>
  <c r="G31" i="3"/>
  <c r="H31" i="3" s="1"/>
  <c r="F41" i="15"/>
  <c r="O51" i="21"/>
  <c r="R51" i="21" s="1"/>
  <c r="G27" i="3"/>
  <c r="H27" i="3" s="1"/>
  <c r="V23" i="3"/>
  <c r="W23" i="3" s="1"/>
  <c r="X23" i="3" s="1"/>
  <c r="K79" i="4"/>
  <c r="J191" i="4" s="1"/>
  <c r="K19" i="2"/>
  <c r="Q19" i="2" s="1"/>
  <c r="R64" i="23"/>
  <c r="K117" i="1"/>
  <c r="L79" i="4"/>
  <c r="L191" i="4" s="1"/>
  <c r="F62" i="15"/>
  <c r="K31" i="29"/>
  <c r="L31" i="29" s="1"/>
  <c r="N20" i="23"/>
  <c r="O20" i="23" s="1"/>
  <c r="R20" i="23" s="1"/>
  <c r="N106" i="23"/>
  <c r="O106" i="23" s="1"/>
  <c r="Q106" i="23" s="1"/>
  <c r="N74" i="23"/>
  <c r="O74" i="23" s="1"/>
  <c r="Q74" i="23" s="1"/>
  <c r="N42" i="23"/>
  <c r="O42" i="23" s="1"/>
  <c r="K36" i="29"/>
  <c r="L36" i="29" s="1"/>
  <c r="O42" i="29"/>
  <c r="P42" i="29" s="1"/>
  <c r="F54" i="15"/>
  <c r="J185" i="4"/>
  <c r="N16" i="21"/>
  <c r="O16" i="21" s="1"/>
  <c r="Q16" i="21" s="1"/>
  <c r="N108" i="23"/>
  <c r="O108" i="23" s="1"/>
  <c r="Q108" i="23" s="1"/>
  <c r="N103" i="23"/>
  <c r="O103" i="23" s="1"/>
  <c r="R103" i="23" s="1"/>
  <c r="N95" i="23"/>
  <c r="N87" i="23"/>
  <c r="N79" i="23"/>
  <c r="N71" i="23"/>
  <c r="O71" i="23" s="1"/>
  <c r="R71" i="23" s="1"/>
  <c r="N63" i="23"/>
  <c r="N55" i="23"/>
  <c r="N47" i="23"/>
  <c r="O47" i="23" s="1"/>
  <c r="R47" i="23" s="1"/>
  <c r="N39" i="23"/>
  <c r="N31" i="23"/>
  <c r="I19" i="2"/>
  <c r="O19" i="2" s="1"/>
  <c r="L96" i="26"/>
  <c r="H75" i="9"/>
  <c r="J25" i="4"/>
  <c r="L22" i="4"/>
  <c r="O11" i="23"/>
  <c r="J25" i="3" s="1"/>
  <c r="K25" i="3" s="1"/>
  <c r="L25" i="3" s="1"/>
  <c r="R86" i="23"/>
  <c r="J20" i="2"/>
  <c r="P20" i="2" s="1"/>
  <c r="I9" i="26"/>
  <c r="F8" i="8"/>
  <c r="J26" i="26"/>
  <c r="L19" i="2"/>
  <c r="R19" i="2" s="1"/>
  <c r="O69" i="21"/>
  <c r="R69" i="21" s="1"/>
  <c r="O29" i="21"/>
  <c r="R29" i="21" s="1"/>
  <c r="O52" i="21"/>
  <c r="R52" i="21" s="1"/>
  <c r="O45" i="21"/>
  <c r="R45" i="21" s="1"/>
  <c r="O26" i="21"/>
  <c r="R26" i="21" s="1"/>
  <c r="Q102" i="23"/>
  <c r="O59" i="21"/>
  <c r="R59" i="21" s="1"/>
  <c r="O90" i="21"/>
  <c r="R90" i="21" s="1"/>
  <c r="O47" i="21"/>
  <c r="Q47" i="21" s="1"/>
  <c r="O40" i="21"/>
  <c r="R40" i="21" s="1"/>
  <c r="O35" i="21"/>
  <c r="R35" i="21" s="1"/>
  <c r="O24" i="21"/>
  <c r="R24" i="21" s="1"/>
  <c r="O14" i="21"/>
  <c r="Q14" i="21" s="1"/>
  <c r="O49" i="21"/>
  <c r="R49" i="21" s="1"/>
  <c r="O47" i="3"/>
  <c r="P47" i="3" s="1"/>
  <c r="R47" i="3"/>
  <c r="I68" i="15" s="1"/>
  <c r="F36" i="15"/>
  <c r="O87" i="21"/>
  <c r="R87" i="21" s="1"/>
  <c r="O18" i="21"/>
  <c r="R18" i="21" s="1"/>
  <c r="O63" i="21"/>
  <c r="R63" i="21" s="1"/>
  <c r="O54" i="21"/>
  <c r="R54" i="21" s="1"/>
  <c r="O106" i="21"/>
  <c r="R106" i="21" s="1"/>
  <c r="O79" i="21"/>
  <c r="R79" i="21" s="1"/>
  <c r="O44" i="21"/>
  <c r="Q44" i="21" s="1"/>
  <c r="O105" i="21"/>
  <c r="Q105" i="21" s="1"/>
  <c r="O108" i="21"/>
  <c r="R108" i="21" s="1"/>
  <c r="O98" i="21"/>
  <c r="R98" i="21" s="1"/>
  <c r="O75" i="21"/>
  <c r="Q75" i="21" s="1"/>
  <c r="O109" i="21"/>
  <c r="R109" i="21" s="1"/>
  <c r="I20" i="2"/>
  <c r="O20" i="2" s="1"/>
  <c r="R80" i="21"/>
  <c r="R30" i="23"/>
  <c r="R16" i="23"/>
  <c r="O84" i="21"/>
  <c r="R84" i="21" s="1"/>
  <c r="O76" i="21"/>
  <c r="Q76" i="21" s="1"/>
  <c r="O15" i="21"/>
  <c r="Q15" i="21" s="1"/>
  <c r="O58" i="21"/>
  <c r="R58" i="21" s="1"/>
  <c r="O110" i="21"/>
  <c r="Q110" i="21" s="1"/>
  <c r="O86" i="21"/>
  <c r="R86" i="21" s="1"/>
  <c r="O92" i="21"/>
  <c r="R92" i="21" s="1"/>
  <c r="O78" i="21"/>
  <c r="R78" i="21" s="1"/>
  <c r="O23" i="21"/>
  <c r="R23" i="21" s="1"/>
  <c r="O91" i="21"/>
  <c r="Q91" i="21" s="1"/>
  <c r="O107" i="21"/>
  <c r="R107" i="21" s="1"/>
  <c r="O100" i="21"/>
  <c r="R100" i="21" s="1"/>
  <c r="O104" i="21"/>
  <c r="R104" i="21" s="1"/>
  <c r="O19" i="21"/>
  <c r="R19" i="21" s="1"/>
  <c r="N23" i="23"/>
  <c r="N28" i="23"/>
  <c r="O28" i="23" s="1"/>
  <c r="R28" i="23" s="1"/>
  <c r="N44" i="23"/>
  <c r="O44" i="23" s="1"/>
  <c r="R44" i="23" s="1"/>
  <c r="O102" i="21"/>
  <c r="R102" i="21" s="1"/>
  <c r="O70" i="21"/>
  <c r="R70" i="21" s="1"/>
  <c r="O88" i="21"/>
  <c r="Q88" i="21" s="1"/>
  <c r="O38" i="29"/>
  <c r="P38" i="29" s="1"/>
  <c r="O35" i="3"/>
  <c r="P35" i="3" s="1"/>
  <c r="R18" i="3"/>
  <c r="I39" i="15" s="1"/>
  <c r="H62" i="15"/>
  <c r="R35" i="3"/>
  <c r="I56" i="15" s="1"/>
  <c r="I185" i="4"/>
  <c r="P9" i="2"/>
  <c r="I29" i="1"/>
  <c r="I28" i="1" s="1"/>
  <c r="R83" i="23"/>
  <c r="N38" i="29"/>
  <c r="Q109" i="23"/>
  <c r="Q70" i="23"/>
  <c r="I44" i="15"/>
  <c r="R96" i="23"/>
  <c r="H39" i="15"/>
  <c r="R88" i="23"/>
  <c r="R41" i="23"/>
  <c r="R41" i="3"/>
  <c r="V41" i="3" s="1"/>
  <c r="W41" i="3" s="1"/>
  <c r="X41" i="3" s="1"/>
  <c r="K188" i="4"/>
  <c r="J188" i="4"/>
  <c r="H25" i="8"/>
  <c r="G77" i="15" s="1"/>
  <c r="G37" i="3"/>
  <c r="H37" i="3" s="1"/>
  <c r="R27" i="3"/>
  <c r="I48" i="15" s="1"/>
  <c r="G129" i="25"/>
  <c r="H49" i="1"/>
  <c r="L129" i="25"/>
  <c r="R48" i="23"/>
  <c r="N92" i="23"/>
  <c r="O92" i="23" s="1"/>
  <c r="Q92" i="23" s="1"/>
  <c r="N76" i="23"/>
  <c r="O76" i="23" s="1"/>
  <c r="R76" i="23" s="1"/>
  <c r="N60" i="23"/>
  <c r="O60" i="23" s="1"/>
  <c r="R60" i="23" s="1"/>
  <c r="K125" i="4"/>
  <c r="J195" i="4" s="1"/>
  <c r="L115" i="4"/>
  <c r="L125" i="4" s="1"/>
  <c r="I57" i="1"/>
  <c r="I64" i="1" s="1"/>
  <c r="H78" i="1"/>
  <c r="K130" i="1"/>
  <c r="K127" i="1"/>
  <c r="K131" i="1" s="1"/>
  <c r="K128" i="1" s="1"/>
  <c r="M31" i="30"/>
  <c r="U31" i="30" s="1"/>
  <c r="U25" i="30"/>
  <c r="J18" i="4"/>
  <c r="K87" i="1"/>
  <c r="K83" i="1"/>
  <c r="K84" i="1"/>
  <c r="K58" i="1"/>
  <c r="K65" i="1" s="1"/>
  <c r="K86" i="1"/>
  <c r="M55" i="30"/>
  <c r="U55" i="30" s="1"/>
  <c r="U49" i="30"/>
  <c r="M43" i="30"/>
  <c r="U43" i="30" s="1"/>
  <c r="U37" i="30"/>
  <c r="J58" i="1"/>
  <c r="J65" i="1" s="1"/>
  <c r="J87" i="1"/>
  <c r="J83" i="1"/>
  <c r="J86" i="1"/>
  <c r="J84" i="1"/>
  <c r="N46" i="29"/>
  <c r="K46" i="29"/>
  <c r="H48" i="15"/>
  <c r="I37" i="15"/>
  <c r="R37" i="3"/>
  <c r="I58" i="15" s="1"/>
  <c r="G19" i="3"/>
  <c r="H19" i="3" s="1"/>
  <c r="V16" i="3"/>
  <c r="W16" i="3" s="1"/>
  <c r="X16" i="3" s="1"/>
  <c r="H37" i="15"/>
  <c r="N52" i="23"/>
  <c r="O52" i="23" s="1"/>
  <c r="H58" i="15"/>
  <c r="O77" i="21"/>
  <c r="Q77" i="21" s="1"/>
  <c r="G21" i="3"/>
  <c r="H21" i="3" s="1"/>
  <c r="F42" i="15"/>
  <c r="U8" i="3"/>
  <c r="L185" i="4"/>
  <c r="Q51" i="23"/>
  <c r="R51" i="23"/>
  <c r="R39" i="3"/>
  <c r="V39" i="3" s="1"/>
  <c r="W39" i="3" s="1"/>
  <c r="X39" i="3" s="1"/>
  <c r="O39" i="3"/>
  <c r="P39" i="3" s="1"/>
  <c r="O32" i="21"/>
  <c r="O68" i="21"/>
  <c r="R68" i="21" s="1"/>
  <c r="O73" i="21"/>
  <c r="O34" i="21"/>
  <c r="R34" i="21" s="1"/>
  <c r="O37" i="21"/>
  <c r="R37" i="21" s="1"/>
  <c r="O56" i="21"/>
  <c r="R56" i="21" s="1"/>
  <c r="O85" i="21"/>
  <c r="R85" i="21" s="1"/>
  <c r="O42" i="21"/>
  <c r="O33" i="21"/>
  <c r="O96" i="21"/>
  <c r="Q96" i="21" s="1"/>
  <c r="O66" i="21"/>
  <c r="R66" i="21" s="1"/>
  <c r="O22" i="21"/>
  <c r="R22" i="21" s="1"/>
  <c r="O36" i="21"/>
  <c r="Q36" i="21" s="1"/>
  <c r="O101" i="21"/>
  <c r="Q101" i="21" s="1"/>
  <c r="O72" i="21"/>
  <c r="R72" i="21" s="1"/>
  <c r="N25" i="29"/>
  <c r="K25" i="29"/>
  <c r="G22" i="3"/>
  <c r="H22" i="3" s="1"/>
  <c r="F43" i="15"/>
  <c r="O11" i="21"/>
  <c r="O83" i="21"/>
  <c r="R83" i="21" s="1"/>
  <c r="O21" i="21"/>
  <c r="Q21" i="21" s="1"/>
  <c r="O71" i="21"/>
  <c r="O55" i="21"/>
  <c r="O94" i="21"/>
  <c r="R94" i="21" s="1"/>
  <c r="O38" i="21"/>
  <c r="R38" i="21" s="1"/>
  <c r="O82" i="21"/>
  <c r="Q82" i="21" s="1"/>
  <c r="O60" i="21"/>
  <c r="R60" i="21" s="1"/>
  <c r="O46" i="21"/>
  <c r="Q46" i="21" s="1"/>
  <c r="O95" i="21"/>
  <c r="Q95" i="21" s="1"/>
  <c r="O30" i="21"/>
  <c r="R30" i="21" s="1"/>
  <c r="N84" i="23"/>
  <c r="O84" i="23" s="1"/>
  <c r="O48" i="21"/>
  <c r="O81" i="21"/>
  <c r="O65" i="21"/>
  <c r="O9" i="2"/>
  <c r="E4" i="23"/>
  <c r="K15" i="2"/>
  <c r="Q15" i="2" s="1"/>
  <c r="L15" i="2"/>
  <c r="R15" i="2" s="1"/>
  <c r="O103" i="21"/>
  <c r="O61" i="21"/>
  <c r="N51" i="2"/>
  <c r="P68" i="2"/>
  <c r="K96" i="26"/>
  <c r="L119" i="26" s="1"/>
  <c r="J22" i="8" s="1"/>
  <c r="I75" i="15" s="1"/>
  <c r="J119" i="26"/>
  <c r="H22" i="8" s="1"/>
  <c r="G75" i="15" s="1"/>
  <c r="K26" i="26"/>
  <c r="Q101" i="23"/>
  <c r="R101" i="23"/>
  <c r="O16" i="3"/>
  <c r="P16" i="3" s="1"/>
  <c r="Q89" i="23"/>
  <c r="Q99" i="23"/>
  <c r="Q93" i="23"/>
  <c r="Q29" i="23"/>
  <c r="Q13" i="23"/>
  <c r="O68" i="2"/>
  <c r="Q61" i="23"/>
  <c r="R61" i="23"/>
  <c r="R45" i="23"/>
  <c r="Q45" i="23"/>
  <c r="O21" i="3"/>
  <c r="P21" i="3" s="1"/>
  <c r="Q57" i="23"/>
  <c r="R21" i="3"/>
  <c r="I42" i="15" s="1"/>
  <c r="R22" i="3"/>
  <c r="V22" i="3" s="1"/>
  <c r="W22" i="3" s="1"/>
  <c r="X22" i="3" s="1"/>
  <c r="Q77" i="23"/>
  <c r="Q65" i="23"/>
  <c r="Q100" i="23"/>
  <c r="H43" i="15"/>
  <c r="Q99" i="21"/>
  <c r="H51" i="15"/>
  <c r="R30" i="3"/>
  <c r="S30" i="3" s="1"/>
  <c r="T30" i="3" s="1"/>
  <c r="Q43" i="21"/>
  <c r="R36" i="3"/>
  <c r="V36" i="3" s="1"/>
  <c r="W36" i="3" s="1"/>
  <c r="X36" i="3" s="1"/>
  <c r="L16" i="2"/>
  <c r="R16" i="2" s="1"/>
  <c r="J16" i="2"/>
  <c r="P16" i="2" s="1"/>
  <c r="K16" i="2"/>
  <c r="Q16" i="2" s="1"/>
  <c r="I16" i="2"/>
  <c r="O16" i="2" s="1"/>
  <c r="O82" i="2"/>
  <c r="Q78" i="23"/>
  <c r="Q31" i="21"/>
  <c r="Q69" i="23"/>
  <c r="F38" i="15"/>
  <c r="F67" i="15"/>
  <c r="G56" i="1"/>
  <c r="G63" i="1" s="1"/>
  <c r="H18" i="26"/>
  <c r="H29" i="26" s="1"/>
  <c r="Q26" i="21"/>
  <c r="Q91" i="23"/>
  <c r="R91" i="23"/>
  <c r="Q31" i="23"/>
  <c r="R31" i="23"/>
  <c r="R14" i="21"/>
  <c r="Q54" i="21"/>
  <c r="Q79" i="23"/>
  <c r="R79" i="23"/>
  <c r="R47" i="21"/>
  <c r="Q59" i="23"/>
  <c r="R59" i="23"/>
  <c r="Q85" i="23"/>
  <c r="R85" i="23"/>
  <c r="Q110" i="23"/>
  <c r="R110" i="23"/>
  <c r="Q81" i="23"/>
  <c r="R81" i="23"/>
  <c r="Q49" i="23"/>
  <c r="R49" i="23"/>
  <c r="Q104" i="23"/>
  <c r="R104" i="23"/>
  <c r="Q72" i="23"/>
  <c r="R72" i="23"/>
  <c r="Q46" i="23"/>
  <c r="R46" i="23"/>
  <c r="Q25" i="23"/>
  <c r="Q15" i="23"/>
  <c r="R15" i="23"/>
  <c r="Q97" i="23"/>
  <c r="R97" i="23"/>
  <c r="Q80" i="23"/>
  <c r="R80" i="23"/>
  <c r="Q109" i="21"/>
  <c r="Q12" i="23"/>
  <c r="R12" i="23" s="1"/>
  <c r="Q19" i="23"/>
  <c r="R19" i="23"/>
  <c r="Q69" i="21"/>
  <c r="Q55" i="23"/>
  <c r="R55" i="23"/>
  <c r="Q27" i="23"/>
  <c r="R27" i="23"/>
  <c r="Q39" i="23"/>
  <c r="R39" i="23"/>
  <c r="Q37" i="23"/>
  <c r="R37" i="23"/>
  <c r="Q94" i="23"/>
  <c r="R94" i="23"/>
  <c r="Q17" i="23"/>
  <c r="R17" i="23"/>
  <c r="Q40" i="23"/>
  <c r="R40" i="23"/>
  <c r="Q62" i="23"/>
  <c r="R62" i="23"/>
  <c r="H47" i="15"/>
  <c r="O26" i="3"/>
  <c r="P26" i="3" s="1"/>
  <c r="Q53" i="23"/>
  <c r="R53" i="23"/>
  <c r="R36" i="21"/>
  <c r="R15" i="21"/>
  <c r="Q23" i="23"/>
  <c r="R23" i="23"/>
  <c r="Q87" i="23"/>
  <c r="R87" i="23"/>
  <c r="Q63" i="23"/>
  <c r="R63" i="23"/>
  <c r="Q105" i="23"/>
  <c r="R105" i="23"/>
  <c r="Q33" i="23"/>
  <c r="R33" i="23"/>
  <c r="Q67" i="21"/>
  <c r="R67" i="21"/>
  <c r="Q38" i="23"/>
  <c r="R38" i="23"/>
  <c r="Q73" i="23"/>
  <c r="H92" i="1"/>
  <c r="H89" i="1" s="1"/>
  <c r="H29" i="1" s="1"/>
  <c r="H28" i="1" s="1"/>
  <c r="G72" i="9" s="1"/>
  <c r="H17" i="2"/>
  <c r="H57" i="1"/>
  <c r="H64" i="1" s="1"/>
  <c r="K16" i="4"/>
  <c r="R51" i="2"/>
  <c r="O51" i="2"/>
  <c r="N68" i="2"/>
  <c r="Q51" i="2"/>
  <c r="P51" i="2"/>
  <c r="G36" i="3"/>
  <c r="H36" i="3" s="1"/>
  <c r="O54" i="29"/>
  <c r="P54" i="29" s="1"/>
  <c r="G28" i="3"/>
  <c r="H28" i="3" s="1"/>
  <c r="H60" i="15"/>
  <c r="G64" i="1"/>
  <c r="F61" i="15"/>
  <c r="N82" i="2"/>
  <c r="P28" i="2"/>
  <c r="J28" i="2"/>
  <c r="K28" i="2"/>
  <c r="J113" i="26"/>
  <c r="I113" i="26"/>
  <c r="L60" i="26"/>
  <c r="L115" i="26" s="1"/>
  <c r="K65" i="26"/>
  <c r="K117" i="26" s="1"/>
  <c r="L59" i="26"/>
  <c r="L49" i="26"/>
  <c r="L53" i="26" s="1"/>
  <c r="K53" i="26"/>
  <c r="L61" i="26"/>
  <c r="L116" i="26" s="1"/>
  <c r="J117" i="26"/>
  <c r="K86" i="4"/>
  <c r="L74" i="26"/>
  <c r="L86" i="4" s="1"/>
  <c r="V13" i="3"/>
  <c r="W13" i="3" s="1"/>
  <c r="X13" i="3" s="1"/>
  <c r="Q21" i="23"/>
  <c r="G38" i="3"/>
  <c r="H38" i="3" s="1"/>
  <c r="F59" i="15"/>
  <c r="K131" i="25"/>
  <c r="L130" i="25"/>
  <c r="O24" i="3"/>
  <c r="P24" i="3" s="1"/>
  <c r="H45" i="15"/>
  <c r="R24" i="3"/>
  <c r="S26" i="3"/>
  <c r="T26" i="3" s="1"/>
  <c r="V26" i="3"/>
  <c r="W26" i="3" s="1"/>
  <c r="X26" i="3" s="1"/>
  <c r="F44" i="15"/>
  <c r="Q35" i="23"/>
  <c r="G130" i="25"/>
  <c r="F131" i="25"/>
  <c r="R29" i="3"/>
  <c r="O29" i="3"/>
  <c r="P29" i="3" s="1"/>
  <c r="J9" i="26"/>
  <c r="I78" i="1"/>
  <c r="J17" i="1"/>
  <c r="G8" i="8"/>
  <c r="I49" i="1"/>
  <c r="O38" i="3"/>
  <c r="P38" i="3" s="1"/>
  <c r="R38" i="3"/>
  <c r="J4" i="25"/>
  <c r="H57" i="15"/>
  <c r="R32" i="3"/>
  <c r="O32" i="3"/>
  <c r="P32" i="3" s="1"/>
  <c r="O50" i="29"/>
  <c r="P50" i="29" s="1"/>
  <c r="I34" i="15"/>
  <c r="O46" i="3"/>
  <c r="P46" i="3" s="1"/>
  <c r="H67" i="15"/>
  <c r="R46" i="3"/>
  <c r="F35" i="15"/>
  <c r="Q53" i="21"/>
  <c r="K41" i="29"/>
  <c r="L41" i="29" s="1"/>
  <c r="N41" i="29"/>
  <c r="O34" i="29"/>
  <c r="P34" i="29" s="1"/>
  <c r="N22" i="29"/>
  <c r="K22" i="29"/>
  <c r="L22" i="29" s="1"/>
  <c r="O53" i="29"/>
  <c r="P53" i="29" s="1"/>
  <c r="K45" i="29"/>
  <c r="L45" i="29" s="1"/>
  <c r="N45" i="29"/>
  <c r="K49" i="29"/>
  <c r="L49" i="29" s="1"/>
  <c r="N49" i="29"/>
  <c r="O28" i="29"/>
  <c r="P28" i="29" s="1"/>
  <c r="G34" i="3"/>
  <c r="H34" i="3" s="1"/>
  <c r="F55" i="15"/>
  <c r="G32" i="3"/>
  <c r="H32" i="3" s="1"/>
  <c r="F53" i="15"/>
  <c r="K26" i="29"/>
  <c r="L26" i="29" s="1"/>
  <c r="N26" i="29"/>
  <c r="N30" i="29"/>
  <c r="K30" i="29"/>
  <c r="L30" i="29" s="1"/>
  <c r="N37" i="29"/>
  <c r="K37" i="29"/>
  <c r="L37" i="29" s="1"/>
  <c r="F51" i="15"/>
  <c r="G30" i="3"/>
  <c r="H30" i="3" s="1"/>
  <c r="F63" i="15"/>
  <c r="G42" i="3"/>
  <c r="H42" i="3" s="1"/>
  <c r="N21" i="29"/>
  <c r="K21" i="29"/>
  <c r="L21" i="29" s="1"/>
  <c r="F64" i="15"/>
  <c r="G43" i="3"/>
  <c r="H43" i="3" s="1"/>
  <c r="V14" i="3"/>
  <c r="W14" i="3" s="1"/>
  <c r="X14" i="3" s="1"/>
  <c r="I35" i="15"/>
  <c r="S14" i="3"/>
  <c r="T14" i="3" s="1"/>
  <c r="O19" i="3"/>
  <c r="P19" i="3" s="1"/>
  <c r="H40" i="15"/>
  <c r="R19" i="3"/>
  <c r="V31" i="3"/>
  <c r="W31" i="3" s="1"/>
  <c r="X31" i="3" s="1"/>
  <c r="S31" i="3"/>
  <c r="T31" i="3" s="1"/>
  <c r="I52" i="15"/>
  <c r="O20" i="3"/>
  <c r="P20" i="3" s="1"/>
  <c r="H41" i="15"/>
  <c r="R20" i="3"/>
  <c r="O42" i="3"/>
  <c r="P42" i="3" s="1"/>
  <c r="R42" i="3"/>
  <c r="H63" i="15"/>
  <c r="S15" i="3"/>
  <c r="T15" i="3" s="1"/>
  <c r="I36" i="15"/>
  <c r="V15" i="3"/>
  <c r="W15" i="3" s="1"/>
  <c r="X15" i="3" s="1"/>
  <c r="S34" i="3"/>
  <c r="T34" i="3" s="1"/>
  <c r="V34" i="3"/>
  <c r="W34" i="3" s="1"/>
  <c r="X34" i="3" s="1"/>
  <c r="I55" i="15"/>
  <c r="O40" i="3"/>
  <c r="P40" i="3" s="1"/>
  <c r="H61" i="15"/>
  <c r="R40" i="3"/>
  <c r="H38" i="15"/>
  <c r="R17" i="3"/>
  <c r="O17" i="3"/>
  <c r="P17" i="3" s="1"/>
  <c r="Q64" i="21"/>
  <c r="Q74" i="21"/>
  <c r="F40" i="7"/>
  <c r="F50" i="7" s="1"/>
  <c r="F24" i="8" s="1"/>
  <c r="F27" i="8" s="1"/>
  <c r="F29" i="8" s="1"/>
  <c r="F42" i="8" s="1"/>
  <c r="H104" i="4"/>
  <c r="H108" i="4" s="1"/>
  <c r="U15" i="6"/>
  <c r="U47" i="6"/>
  <c r="U111" i="6"/>
  <c r="U56" i="6"/>
  <c r="U108" i="6"/>
  <c r="U112" i="6"/>
  <c r="U67" i="6"/>
  <c r="U84" i="6"/>
  <c r="U42" i="6"/>
  <c r="U92" i="6"/>
  <c r="U104" i="6"/>
  <c r="U78" i="6"/>
  <c r="U135" i="6"/>
  <c r="U129" i="6"/>
  <c r="U54" i="6"/>
  <c r="U117" i="6"/>
  <c r="U60" i="6"/>
  <c r="U138" i="6"/>
  <c r="U16" i="6"/>
  <c r="U69" i="6"/>
  <c r="U77" i="6"/>
  <c r="U90" i="6"/>
  <c r="U120" i="6"/>
  <c r="U63" i="6"/>
  <c r="U27" i="6"/>
  <c r="U134" i="6"/>
  <c r="U97" i="6"/>
  <c r="U128" i="6"/>
  <c r="U91" i="6"/>
  <c r="U131" i="6"/>
  <c r="U33" i="6"/>
  <c r="U139" i="6"/>
  <c r="U58" i="6"/>
  <c r="U136" i="6"/>
  <c r="U80" i="6"/>
  <c r="U62" i="6"/>
  <c r="U89" i="6"/>
  <c r="U81" i="6"/>
  <c r="U19" i="6"/>
  <c r="U29" i="6"/>
  <c r="U124" i="6"/>
  <c r="U30" i="6"/>
  <c r="U130" i="6"/>
  <c r="U36" i="6"/>
  <c r="U74" i="6"/>
  <c r="U23" i="6"/>
  <c r="U110" i="6"/>
  <c r="U102" i="6"/>
  <c r="U40" i="6"/>
  <c r="U41" i="6"/>
  <c r="U114" i="6"/>
  <c r="U123" i="6"/>
  <c r="U126" i="6"/>
  <c r="U132" i="6"/>
  <c r="U39" i="6"/>
  <c r="U137" i="6"/>
  <c r="U115" i="6"/>
  <c r="U98" i="6"/>
  <c r="U71" i="6"/>
  <c r="U57" i="6"/>
  <c r="U88" i="6"/>
  <c r="U35" i="6"/>
  <c r="U95" i="6"/>
  <c r="U140" i="6"/>
  <c r="U59" i="6"/>
  <c r="U75" i="6"/>
  <c r="U44" i="6"/>
  <c r="U48" i="6"/>
  <c r="U119" i="6"/>
  <c r="U107" i="6"/>
  <c r="U93" i="6"/>
  <c r="U17" i="6"/>
  <c r="U34" i="6"/>
  <c r="U79" i="6"/>
  <c r="U52" i="6"/>
  <c r="U121" i="6"/>
  <c r="U105" i="6"/>
  <c r="U82" i="6"/>
  <c r="U133" i="6"/>
  <c r="U55" i="6"/>
  <c r="U109" i="6"/>
  <c r="U43" i="6"/>
  <c r="U100" i="6"/>
  <c r="U83" i="6"/>
  <c r="U127" i="6"/>
  <c r="U116" i="6"/>
  <c r="U73" i="6"/>
  <c r="U21" i="6"/>
  <c r="U118" i="6"/>
  <c r="U122" i="6"/>
  <c r="U99" i="6"/>
  <c r="U70" i="6"/>
  <c r="U20" i="6"/>
  <c r="U85" i="6"/>
  <c r="U45" i="6"/>
  <c r="U61" i="6"/>
  <c r="U18" i="6"/>
  <c r="U72" i="6"/>
  <c r="U65" i="6"/>
  <c r="U125" i="6"/>
  <c r="U103" i="6"/>
  <c r="U87" i="6"/>
  <c r="U86" i="6"/>
  <c r="U26" i="6"/>
  <c r="U113" i="6"/>
  <c r="U25" i="6"/>
  <c r="U53" i="6"/>
  <c r="U106" i="6"/>
  <c r="U46" i="6"/>
  <c r="U51" i="6"/>
  <c r="U50" i="6"/>
  <c r="U96" i="6"/>
  <c r="U28" i="6"/>
  <c r="U64" i="6"/>
  <c r="U31" i="6"/>
  <c r="U94" i="6"/>
  <c r="U76" i="6"/>
  <c r="U68" i="6"/>
  <c r="U32" i="6"/>
  <c r="U101" i="6"/>
  <c r="U38" i="6"/>
  <c r="U24" i="6"/>
  <c r="U141" i="6"/>
  <c r="U22" i="6"/>
  <c r="U49" i="6"/>
  <c r="U66" i="6"/>
  <c r="U37" i="6"/>
  <c r="M13" i="6"/>
  <c r="Q62" i="21"/>
  <c r="S9" i="6"/>
  <c r="P15" i="6"/>
  <c r="P44" i="6"/>
  <c r="P105" i="6"/>
  <c r="P96" i="6"/>
  <c r="P34" i="6"/>
  <c r="P108" i="6"/>
  <c r="P103" i="6"/>
  <c r="P17" i="6"/>
  <c r="P100" i="6"/>
  <c r="P116" i="6"/>
  <c r="P124" i="6"/>
  <c r="P39" i="6"/>
  <c r="P64" i="6"/>
  <c r="P107" i="6"/>
  <c r="P123" i="6"/>
  <c r="P62" i="6"/>
  <c r="P137" i="6"/>
  <c r="P61" i="6"/>
  <c r="P91" i="6"/>
  <c r="P53" i="6"/>
  <c r="P86" i="6"/>
  <c r="P22" i="6"/>
  <c r="P42" i="6"/>
  <c r="P141" i="6"/>
  <c r="P78" i="6"/>
  <c r="P87" i="6"/>
  <c r="P73" i="6"/>
  <c r="P32" i="6"/>
  <c r="P21" i="6"/>
  <c r="P76" i="6"/>
  <c r="P31" i="6"/>
  <c r="P29" i="6"/>
  <c r="P30" i="6"/>
  <c r="P84" i="6"/>
  <c r="P94" i="6"/>
  <c r="P26" i="6"/>
  <c r="P81" i="6"/>
  <c r="P65" i="6"/>
  <c r="P66" i="6"/>
  <c r="P110" i="6"/>
  <c r="P118" i="6"/>
  <c r="P127" i="6"/>
  <c r="P54" i="6"/>
  <c r="P133" i="6"/>
  <c r="P38" i="6"/>
  <c r="P19" i="6"/>
  <c r="P117" i="6"/>
  <c r="P72" i="6"/>
  <c r="P69" i="6"/>
  <c r="P112" i="6"/>
  <c r="P68" i="6"/>
  <c r="P63" i="6"/>
  <c r="P35" i="6"/>
  <c r="P80" i="6"/>
  <c r="P48" i="6"/>
  <c r="P98" i="6"/>
  <c r="P47" i="6"/>
  <c r="P122" i="6"/>
  <c r="P130" i="6"/>
  <c r="P51" i="6"/>
  <c r="P115" i="6"/>
  <c r="V9" i="6"/>
  <c r="P106" i="6"/>
  <c r="P70" i="6"/>
  <c r="P59" i="6"/>
  <c r="P111" i="6"/>
  <c r="P120" i="6"/>
  <c r="P89" i="6"/>
  <c r="P139" i="6"/>
  <c r="P56" i="6"/>
  <c r="P49" i="6"/>
  <c r="P114" i="6"/>
  <c r="P25" i="6"/>
  <c r="P58" i="6"/>
  <c r="P79" i="6"/>
  <c r="P113" i="6"/>
  <c r="P77" i="6"/>
  <c r="P18" i="6"/>
  <c r="P121" i="6"/>
  <c r="P74" i="6"/>
  <c r="P71" i="6"/>
  <c r="P119" i="6"/>
  <c r="P40" i="6"/>
  <c r="P93" i="6"/>
  <c r="P135" i="6"/>
  <c r="P60" i="6"/>
  <c r="P37" i="6"/>
  <c r="P97" i="6"/>
  <c r="P24" i="6"/>
  <c r="P33" i="6"/>
  <c r="P90" i="6"/>
  <c r="P125" i="6"/>
  <c r="P28" i="6"/>
  <c r="P16" i="6"/>
  <c r="P67" i="6"/>
  <c r="P134" i="6"/>
  <c r="P43" i="6"/>
  <c r="P128" i="6"/>
  <c r="P55" i="6"/>
  <c r="P82" i="6"/>
  <c r="P45" i="6"/>
  <c r="P88" i="6"/>
  <c r="P136" i="6"/>
  <c r="P132" i="6"/>
  <c r="P109" i="6"/>
  <c r="P83" i="6"/>
  <c r="P99" i="6"/>
  <c r="P75" i="6"/>
  <c r="P126" i="6"/>
  <c r="P140" i="6"/>
  <c r="P85" i="6"/>
  <c r="P46" i="6"/>
  <c r="P20" i="6"/>
  <c r="P131" i="6"/>
  <c r="P36" i="6"/>
  <c r="P52" i="6"/>
  <c r="P27" i="6"/>
  <c r="P102" i="6"/>
  <c r="P23" i="6"/>
  <c r="P50" i="6"/>
  <c r="P129" i="6"/>
  <c r="P41" i="6"/>
  <c r="P138" i="6"/>
  <c r="P92" i="6"/>
  <c r="P95" i="6"/>
  <c r="P57" i="6"/>
  <c r="P101" i="6"/>
  <c r="P104" i="6"/>
  <c r="Q97" i="21"/>
  <c r="R78" i="6"/>
  <c r="R38" i="6"/>
  <c r="R141" i="6"/>
  <c r="R67" i="6"/>
  <c r="R51" i="6"/>
  <c r="R138" i="6"/>
  <c r="R23" i="6"/>
  <c r="R116" i="6"/>
  <c r="R98" i="6"/>
  <c r="R121" i="6"/>
  <c r="R109" i="6"/>
  <c r="R103" i="6"/>
  <c r="R136" i="6"/>
  <c r="R89" i="6"/>
  <c r="R132" i="6"/>
  <c r="R120" i="6"/>
  <c r="R126" i="6"/>
  <c r="R117" i="6"/>
  <c r="R33" i="6"/>
  <c r="R57" i="6"/>
  <c r="R97" i="6"/>
  <c r="R83" i="6"/>
  <c r="R114" i="6"/>
  <c r="R72" i="6"/>
  <c r="R49" i="6"/>
  <c r="R41" i="6"/>
  <c r="R45" i="6"/>
  <c r="R99" i="6"/>
  <c r="R102" i="6"/>
  <c r="R123" i="6"/>
  <c r="R48" i="6"/>
  <c r="R118" i="6"/>
  <c r="R28" i="6"/>
  <c r="R95" i="6"/>
  <c r="R39" i="6"/>
  <c r="X9" i="6"/>
  <c r="R42" i="6"/>
  <c r="R93" i="6"/>
  <c r="R127" i="6"/>
  <c r="R108" i="6"/>
  <c r="R53" i="6"/>
  <c r="R74" i="6"/>
  <c r="R30" i="6"/>
  <c r="R77" i="6"/>
  <c r="R16" i="6"/>
  <c r="R21" i="6"/>
  <c r="R36" i="6"/>
  <c r="R46" i="6"/>
  <c r="R79" i="6"/>
  <c r="R119" i="6"/>
  <c r="R54" i="6"/>
  <c r="R32" i="6"/>
  <c r="R122" i="6"/>
  <c r="R17" i="6"/>
  <c r="R107" i="6"/>
  <c r="R115" i="6"/>
  <c r="R134" i="6"/>
  <c r="R60" i="6"/>
  <c r="R140" i="6"/>
  <c r="R135" i="6"/>
  <c r="R62" i="6"/>
  <c r="R52" i="6"/>
  <c r="R85" i="6"/>
  <c r="R35" i="6"/>
  <c r="R58" i="6"/>
  <c r="R68" i="6"/>
  <c r="R105" i="6"/>
  <c r="R128" i="6"/>
  <c r="R113" i="6"/>
  <c r="R31" i="6"/>
  <c r="R70" i="6"/>
  <c r="R81" i="6"/>
  <c r="R27" i="6"/>
  <c r="R63" i="6"/>
  <c r="R96" i="6"/>
  <c r="R19" i="6"/>
  <c r="R47" i="6"/>
  <c r="R50" i="6"/>
  <c r="R65" i="6"/>
  <c r="R91" i="6"/>
  <c r="R73" i="6"/>
  <c r="R86" i="6"/>
  <c r="R125" i="6"/>
  <c r="R26" i="6"/>
  <c r="R40" i="6"/>
  <c r="R92" i="6"/>
  <c r="R111" i="6"/>
  <c r="R71" i="6"/>
  <c r="R76" i="6"/>
  <c r="R24" i="6"/>
  <c r="R129" i="6"/>
  <c r="R124" i="6"/>
  <c r="R18" i="6"/>
  <c r="R84" i="6"/>
  <c r="R37" i="6"/>
  <c r="R75" i="6"/>
  <c r="R22" i="6"/>
  <c r="R15" i="6"/>
  <c r="R100" i="6"/>
  <c r="R137" i="6"/>
  <c r="R110" i="6"/>
  <c r="R133" i="6"/>
  <c r="R130" i="6"/>
  <c r="R101" i="6"/>
  <c r="R80" i="6"/>
  <c r="R69" i="6"/>
  <c r="R56" i="6"/>
  <c r="R139" i="6"/>
  <c r="R59" i="6"/>
  <c r="R94" i="6"/>
  <c r="R82" i="6"/>
  <c r="R25" i="6"/>
  <c r="R87" i="6"/>
  <c r="R55" i="6"/>
  <c r="R106" i="6"/>
  <c r="R90" i="6"/>
  <c r="R43" i="6"/>
  <c r="R44" i="6"/>
  <c r="R64" i="6"/>
  <c r="R34" i="6"/>
  <c r="R61" i="6"/>
  <c r="R104" i="6"/>
  <c r="R66" i="6"/>
  <c r="R112" i="6"/>
  <c r="R131" i="6"/>
  <c r="R88" i="6"/>
  <c r="R29" i="6"/>
  <c r="R20" i="6"/>
  <c r="O13" i="6"/>
  <c r="Q94" i="21"/>
  <c r="Q38" i="21"/>
  <c r="E8" i="3"/>
  <c r="H185" i="4"/>
  <c r="E4" i="21"/>
  <c r="N9" i="2"/>
  <c r="O29" i="29"/>
  <c r="P29" i="29" s="1"/>
  <c r="Q17" i="21"/>
  <c r="O43" i="29"/>
  <c r="P43" i="29" s="1"/>
  <c r="Q73" i="6"/>
  <c r="Q103" i="6"/>
  <c r="Q116" i="6"/>
  <c r="Q26" i="6"/>
  <c r="Q98" i="6"/>
  <c r="Q128" i="6"/>
  <c r="Q126" i="6"/>
  <c r="Q70" i="6"/>
  <c r="Q100" i="6"/>
  <c r="Q43" i="6"/>
  <c r="Q139" i="6"/>
  <c r="Q31" i="6"/>
  <c r="Q75" i="6"/>
  <c r="Q25" i="6"/>
  <c r="Q59" i="6"/>
  <c r="Q88" i="6"/>
  <c r="Q56" i="6"/>
  <c r="Q106" i="6"/>
  <c r="Q79" i="6"/>
  <c r="Q134" i="6"/>
  <c r="Q50" i="6"/>
  <c r="Q109" i="6"/>
  <c r="Q27" i="6"/>
  <c r="Q77" i="6"/>
  <c r="Q49" i="6"/>
  <c r="Q20" i="6"/>
  <c r="Q89" i="6"/>
  <c r="Q62" i="6"/>
  <c r="Q71" i="6"/>
  <c r="Q136" i="6"/>
  <c r="Q33" i="6"/>
  <c r="Q92" i="6"/>
  <c r="Q95" i="6"/>
  <c r="Q130" i="6"/>
  <c r="Q64" i="6"/>
  <c r="Q82" i="6"/>
  <c r="Q96" i="6"/>
  <c r="Q91" i="6"/>
  <c r="Q141" i="6"/>
  <c r="Q66" i="6"/>
  <c r="Q72" i="6"/>
  <c r="Q133" i="6"/>
  <c r="Q84" i="6"/>
  <c r="Q78" i="6"/>
  <c r="Q101" i="6"/>
  <c r="Q16" i="6"/>
  <c r="Q107" i="6"/>
  <c r="Q114" i="6"/>
  <c r="Q99" i="6"/>
  <c r="Q121" i="6"/>
  <c r="Q46" i="6"/>
  <c r="Q131" i="6"/>
  <c r="Q117" i="6"/>
  <c r="Q76" i="6"/>
  <c r="Q69" i="6"/>
  <c r="Q138" i="6"/>
  <c r="Q112" i="6"/>
  <c r="Q68" i="6"/>
  <c r="Q36" i="6"/>
  <c r="Q80" i="6"/>
  <c r="Q125" i="6"/>
  <c r="Q58" i="6"/>
  <c r="Q52" i="6"/>
  <c r="Q28" i="6"/>
  <c r="Q104" i="6"/>
  <c r="Q87" i="6"/>
  <c r="Q53" i="6"/>
  <c r="Q94" i="6"/>
  <c r="Q137" i="6"/>
  <c r="Q118" i="6"/>
  <c r="Q23" i="6"/>
  <c r="Q29" i="6"/>
  <c r="Q22" i="6"/>
  <c r="Q124" i="6"/>
  <c r="Q105" i="6"/>
  <c r="Q17" i="6"/>
  <c r="Q51" i="6"/>
  <c r="Q129" i="6"/>
  <c r="Q41" i="6"/>
  <c r="Q135" i="6"/>
  <c r="Q60" i="6"/>
  <c r="Q57" i="6"/>
  <c r="Q32" i="6"/>
  <c r="Q61" i="6"/>
  <c r="Q18" i="6"/>
  <c r="Q15" i="6"/>
  <c r="Q97" i="6"/>
  <c r="Q37" i="6"/>
  <c r="Q122" i="6"/>
  <c r="Q110" i="6"/>
  <c r="Q40" i="6"/>
  <c r="Q35" i="6"/>
  <c r="Q93" i="6"/>
  <c r="Q55" i="6"/>
  <c r="Q102" i="6"/>
  <c r="Q90" i="6"/>
  <c r="Q47" i="6"/>
  <c r="Q120" i="6"/>
  <c r="Q42" i="6"/>
  <c r="Q127" i="6"/>
  <c r="Q67" i="6"/>
  <c r="Q38" i="6"/>
  <c r="W9" i="6"/>
  <c r="Q63" i="6"/>
  <c r="Q108" i="6"/>
  <c r="Q115" i="6"/>
  <c r="Q45" i="6"/>
  <c r="Q65" i="6"/>
  <c r="Q132" i="6"/>
  <c r="Q123" i="6"/>
  <c r="Q83" i="6"/>
  <c r="Q48" i="6"/>
  <c r="Q86" i="6"/>
  <c r="Q111" i="6"/>
  <c r="Q140" i="6"/>
  <c r="Q39" i="6"/>
  <c r="Q21" i="6"/>
  <c r="Q34" i="6"/>
  <c r="Q81" i="6"/>
  <c r="Q44" i="6"/>
  <c r="Q113" i="6"/>
  <c r="Q24" i="6"/>
  <c r="Q19" i="6"/>
  <c r="Q74" i="6"/>
  <c r="Q119" i="6"/>
  <c r="Q85" i="6"/>
  <c r="Q54" i="6"/>
  <c r="Q30" i="6"/>
  <c r="O40" i="29"/>
  <c r="P40" i="29" s="1"/>
  <c r="O20" i="29"/>
  <c r="P20" i="29" s="1"/>
  <c r="O44" i="29"/>
  <c r="P44" i="29" s="1"/>
  <c r="O48" i="29"/>
  <c r="P48" i="29" s="1"/>
  <c r="O27" i="29"/>
  <c r="P27" i="29" s="1"/>
  <c r="I64" i="15"/>
  <c r="S43" i="3"/>
  <c r="T43" i="3" s="1"/>
  <c r="V43" i="3"/>
  <c r="W43" i="3" s="1"/>
  <c r="X43" i="3" s="1"/>
  <c r="O39" i="29"/>
  <c r="P39" i="29" s="1"/>
  <c r="O24" i="29"/>
  <c r="P24" i="29" s="1"/>
  <c r="O35" i="29"/>
  <c r="P35" i="29" s="1"/>
  <c r="O47" i="29"/>
  <c r="P47" i="29" s="1"/>
  <c r="O23" i="29"/>
  <c r="P23" i="29" s="1"/>
  <c r="L72" i="26"/>
  <c r="K88" i="4"/>
  <c r="P82" i="2" l="1"/>
  <c r="R58" i="23"/>
  <c r="S18" i="3"/>
  <c r="T18" i="3" s="1"/>
  <c r="V47" i="3"/>
  <c r="W47" i="3" s="1"/>
  <c r="X47" i="3" s="1"/>
  <c r="I56" i="1"/>
  <c r="F72" i="9"/>
  <c r="N17" i="2"/>
  <c r="G46" i="15"/>
  <c r="R68" i="23"/>
  <c r="L66" i="3"/>
  <c r="Q89" i="21"/>
  <c r="Q50" i="21"/>
  <c r="Q13" i="21"/>
  <c r="Q79" i="21"/>
  <c r="Q59" i="21"/>
  <c r="Q18" i="21"/>
  <c r="R12" i="21"/>
  <c r="Q86" i="21"/>
  <c r="Q35" i="21"/>
  <c r="R39" i="21"/>
  <c r="R26" i="23"/>
  <c r="R36" i="23"/>
  <c r="Q52" i="21"/>
  <c r="Q98" i="21"/>
  <c r="Q57" i="21"/>
  <c r="Q71" i="23"/>
  <c r="I62" i="15"/>
  <c r="L90" i="2"/>
  <c r="K87" i="4"/>
  <c r="J119" i="2"/>
  <c r="H23" i="2"/>
  <c r="H22" i="2" s="1"/>
  <c r="L67" i="3"/>
  <c r="N25" i="3"/>
  <c r="P66" i="3" s="1"/>
  <c r="Q20" i="21"/>
  <c r="Q28" i="21"/>
  <c r="R14" i="23"/>
  <c r="Q90" i="23"/>
  <c r="K118" i="2"/>
  <c r="Q76" i="2"/>
  <c r="L66" i="2"/>
  <c r="R66" i="2" s="1"/>
  <c r="Q66" i="2"/>
  <c r="L63" i="2"/>
  <c r="R63" i="2" s="1"/>
  <c r="Q63" i="2"/>
  <c r="K68" i="2"/>
  <c r="K117" i="2"/>
  <c r="Q75" i="2"/>
  <c r="L75" i="2"/>
  <c r="K85" i="4"/>
  <c r="L87" i="4"/>
  <c r="R90" i="2"/>
  <c r="Q65" i="2"/>
  <c r="L65" i="2"/>
  <c r="L64" i="2"/>
  <c r="R64" i="2" s="1"/>
  <c r="Q64" i="2"/>
  <c r="L92" i="2"/>
  <c r="R92" i="2" s="1"/>
  <c r="L73" i="26"/>
  <c r="R89" i="2"/>
  <c r="Q77" i="2"/>
  <c r="L77" i="2"/>
  <c r="R77" i="2" s="1"/>
  <c r="L80" i="2"/>
  <c r="R80" i="2" s="1"/>
  <c r="Q80" i="2"/>
  <c r="L79" i="2"/>
  <c r="R79" i="2" s="1"/>
  <c r="Q79" i="2"/>
  <c r="R50" i="23"/>
  <c r="Q27" i="21"/>
  <c r="R25" i="21"/>
  <c r="Q34" i="23"/>
  <c r="Q98" i="23"/>
  <c r="R93" i="21"/>
  <c r="F52" i="29"/>
  <c r="G52" i="29" s="1"/>
  <c r="H52" i="29" s="1"/>
  <c r="Q11" i="21"/>
  <c r="R11" i="21" s="1"/>
  <c r="Q92" i="21"/>
  <c r="F32" i="29"/>
  <c r="J32" i="29" s="1"/>
  <c r="R74" i="23"/>
  <c r="Q107" i="21"/>
  <c r="R75" i="21"/>
  <c r="Q63" i="21"/>
  <c r="R91" i="21"/>
  <c r="Q18" i="23"/>
  <c r="Q103" i="23"/>
  <c r="Q45" i="21"/>
  <c r="R76" i="21"/>
  <c r="R44" i="21"/>
  <c r="Q41" i="21"/>
  <c r="Q51" i="21"/>
  <c r="Q70" i="21"/>
  <c r="Q102" i="21"/>
  <c r="Q82" i="23"/>
  <c r="G15" i="8"/>
  <c r="F70" i="15" s="1"/>
  <c r="L76" i="2"/>
  <c r="R76" i="2" s="1"/>
  <c r="I65" i="8"/>
  <c r="K82" i="2"/>
  <c r="L74" i="2"/>
  <c r="R74" i="2" s="1"/>
  <c r="K116" i="2"/>
  <c r="I17" i="8" s="1"/>
  <c r="H72" i="15" s="1"/>
  <c r="Q72" i="21"/>
  <c r="I196" i="4"/>
  <c r="J26" i="8"/>
  <c r="I78" i="15" s="1"/>
  <c r="H15" i="8"/>
  <c r="G70" i="15" s="1"/>
  <c r="R66" i="23"/>
  <c r="S41" i="3"/>
  <c r="T41" i="3" s="1"/>
  <c r="Q47" i="23"/>
  <c r="R108" i="23"/>
  <c r="Q76" i="23"/>
  <c r="R106" i="23"/>
  <c r="K71" i="26"/>
  <c r="L91" i="2"/>
  <c r="R91" i="2" s="1"/>
  <c r="H18" i="8"/>
  <c r="G73" i="15" s="1"/>
  <c r="J196" i="4"/>
  <c r="K196" i="4"/>
  <c r="K191" i="4"/>
  <c r="I60" i="15"/>
  <c r="Q29" i="21"/>
  <c r="Q23" i="21"/>
  <c r="Q84" i="21"/>
  <c r="Q87" i="21"/>
  <c r="O36" i="29"/>
  <c r="P36" i="29" s="1"/>
  <c r="K8" i="4"/>
  <c r="L8" i="4" s="1"/>
  <c r="L96" i="4" s="1"/>
  <c r="Q68" i="21"/>
  <c r="Q44" i="23"/>
  <c r="R110" i="21"/>
  <c r="Q28" i="23"/>
  <c r="Q20" i="23"/>
  <c r="Q100" i="21"/>
  <c r="R101" i="21"/>
  <c r="Q56" i="21"/>
  <c r="O31" i="29"/>
  <c r="P31" i="29" s="1"/>
  <c r="R16" i="21"/>
  <c r="Q40" i="21"/>
  <c r="R96" i="21"/>
  <c r="R88" i="21"/>
  <c r="Q60" i="21"/>
  <c r="Q106" i="21"/>
  <c r="R105" i="21"/>
  <c r="Q85" i="21"/>
  <c r="K119" i="26"/>
  <c r="I22" i="8" s="1"/>
  <c r="H75" i="15" s="1"/>
  <c r="Q42" i="23"/>
  <c r="R42" i="23"/>
  <c r="L85" i="4"/>
  <c r="G76" i="9"/>
  <c r="I75" i="9"/>
  <c r="K25" i="4"/>
  <c r="J45" i="3"/>
  <c r="Q11" i="23"/>
  <c r="R11" i="23" s="1"/>
  <c r="V27" i="3"/>
  <c r="W27" i="3" s="1"/>
  <c r="X27" i="3" s="1"/>
  <c r="S47" i="3"/>
  <c r="T47" i="3" s="1"/>
  <c r="Q90" i="21"/>
  <c r="Q49" i="21"/>
  <c r="V37" i="3"/>
  <c r="W37" i="3" s="1"/>
  <c r="X37" i="3" s="1"/>
  <c r="Q104" i="21"/>
  <c r="Q108" i="21"/>
  <c r="R46" i="21"/>
  <c r="Q37" i="21"/>
  <c r="R82" i="21"/>
  <c r="Q24" i="21"/>
  <c r="R95" i="21"/>
  <c r="Q83" i="21"/>
  <c r="R21" i="21"/>
  <c r="S22" i="3"/>
  <c r="T22" i="3" s="1"/>
  <c r="O112" i="21"/>
  <c r="I63" i="1"/>
  <c r="J15" i="4"/>
  <c r="J19" i="4" s="1"/>
  <c r="Q19" i="21"/>
  <c r="Q22" i="21"/>
  <c r="Q78" i="21"/>
  <c r="S37" i="3"/>
  <c r="T37" i="3" s="1"/>
  <c r="S35" i="3"/>
  <c r="T35" i="3" s="1"/>
  <c r="I80" i="1"/>
  <c r="J18" i="2" s="1"/>
  <c r="P18" i="2" s="1"/>
  <c r="Q34" i="21"/>
  <c r="R92" i="23"/>
  <c r="Q60" i="23"/>
  <c r="Q58" i="21"/>
  <c r="H20" i="26"/>
  <c r="O112" i="23"/>
  <c r="F17" i="9"/>
  <c r="J17" i="2"/>
  <c r="G24" i="15"/>
  <c r="V18" i="3"/>
  <c r="W18" i="3" s="1"/>
  <c r="X18" i="3" s="1"/>
  <c r="V35" i="3"/>
  <c r="W35" i="3" s="1"/>
  <c r="X35" i="3" s="1"/>
  <c r="Q66" i="21"/>
  <c r="J18" i="26"/>
  <c r="J20" i="26" s="1"/>
  <c r="Q30" i="21"/>
  <c r="S27" i="3"/>
  <c r="T27" i="3" s="1"/>
  <c r="J85" i="1"/>
  <c r="L195" i="4"/>
  <c r="J25" i="8"/>
  <c r="I77" i="15" s="1"/>
  <c r="I25" i="8"/>
  <c r="H77" i="15" s="1"/>
  <c r="K195" i="4"/>
  <c r="H33" i="26"/>
  <c r="H40" i="26" s="1"/>
  <c r="L26" i="26"/>
  <c r="K18" i="4"/>
  <c r="J91" i="1"/>
  <c r="J88" i="1"/>
  <c r="K91" i="1"/>
  <c r="K88" i="1"/>
  <c r="K85" i="1"/>
  <c r="F33" i="29"/>
  <c r="L46" i="29"/>
  <c r="O46" i="29"/>
  <c r="P46" i="29" s="1"/>
  <c r="I57" i="15"/>
  <c r="S21" i="3"/>
  <c r="T21" i="3" s="1"/>
  <c r="S36" i="3"/>
  <c r="T36" i="3" s="1"/>
  <c r="S39" i="3"/>
  <c r="T39" i="3" s="1"/>
  <c r="I18" i="26"/>
  <c r="I29" i="26" s="1"/>
  <c r="R77" i="21"/>
  <c r="I43" i="15"/>
  <c r="R52" i="23"/>
  <c r="Q52" i="23"/>
  <c r="R65" i="21"/>
  <c r="Q65" i="21"/>
  <c r="Q48" i="21"/>
  <c r="R48" i="21"/>
  <c r="R71" i="21"/>
  <c r="Q71" i="21"/>
  <c r="L25" i="29"/>
  <c r="O25" i="29"/>
  <c r="P25" i="29" s="1"/>
  <c r="R33" i="21"/>
  <c r="Q33" i="21"/>
  <c r="R73" i="21"/>
  <c r="Q73" i="21"/>
  <c r="Q32" i="21"/>
  <c r="R32" i="21"/>
  <c r="R81" i="21"/>
  <c r="Q81" i="21"/>
  <c r="Q84" i="23"/>
  <c r="R84" i="23"/>
  <c r="R55" i="21"/>
  <c r="Q55" i="21"/>
  <c r="R42" i="21"/>
  <c r="Q42" i="21"/>
  <c r="R61" i="21"/>
  <c r="Q61" i="21"/>
  <c r="R103" i="21"/>
  <c r="Q103" i="21"/>
  <c r="H15" i="4"/>
  <c r="H19" i="4" s="1"/>
  <c r="V21" i="3"/>
  <c r="W21" i="3" s="1"/>
  <c r="X21" i="3" s="1"/>
  <c r="V30" i="3"/>
  <c r="W30" i="3" s="1"/>
  <c r="X30" i="3" s="1"/>
  <c r="I51" i="15"/>
  <c r="G37" i="7"/>
  <c r="F38" i="9" s="1"/>
  <c r="F40" i="9" s="1"/>
  <c r="F41" i="9" s="1"/>
  <c r="H80" i="1"/>
  <c r="I18" i="2" s="1"/>
  <c r="O18" i="2" s="1"/>
  <c r="I17" i="2"/>
  <c r="H56" i="1"/>
  <c r="F24" i="15"/>
  <c r="I37" i="7"/>
  <c r="H38" i="9" s="1"/>
  <c r="H40" i="9" s="1"/>
  <c r="H41" i="9" s="1"/>
  <c r="Q28" i="2"/>
  <c r="L65" i="26"/>
  <c r="L114" i="26"/>
  <c r="L113" i="26"/>
  <c r="K113" i="26"/>
  <c r="I59" i="15"/>
  <c r="V38" i="3"/>
  <c r="W38" i="3" s="1"/>
  <c r="X38" i="3" s="1"/>
  <c r="S38" i="3"/>
  <c r="T38" i="3" s="1"/>
  <c r="I50" i="15"/>
  <c r="S29" i="3"/>
  <c r="T29" i="3" s="1"/>
  <c r="V29" i="3"/>
  <c r="W29" i="3" s="1"/>
  <c r="X29" i="3" s="1"/>
  <c r="F19" i="9"/>
  <c r="K9" i="26"/>
  <c r="J49" i="1"/>
  <c r="J78" i="1"/>
  <c r="K17" i="1"/>
  <c r="I45" i="15"/>
  <c r="S24" i="3"/>
  <c r="T24" i="3" s="1"/>
  <c r="V24" i="3"/>
  <c r="W24" i="3" s="1"/>
  <c r="X24" i="3" s="1"/>
  <c r="K132" i="25"/>
  <c r="L131" i="25"/>
  <c r="I112" i="2"/>
  <c r="F16" i="15"/>
  <c r="H8" i="8"/>
  <c r="F8" i="9"/>
  <c r="I110" i="26"/>
  <c r="G131" i="25"/>
  <c r="F132" i="25"/>
  <c r="G19" i="9"/>
  <c r="S32" i="3"/>
  <c r="T32" i="3" s="1"/>
  <c r="I53" i="15"/>
  <c r="V32" i="3"/>
  <c r="W32" i="3" s="1"/>
  <c r="X32" i="3" s="1"/>
  <c r="V46" i="3"/>
  <c r="W46" i="3" s="1"/>
  <c r="X46" i="3" s="1"/>
  <c r="S46" i="3"/>
  <c r="T46" i="3" s="1"/>
  <c r="I67" i="15"/>
  <c r="O26" i="29"/>
  <c r="P26" i="29" s="1"/>
  <c r="O41" i="29"/>
  <c r="P41" i="29" s="1"/>
  <c r="O37" i="29"/>
  <c r="P37" i="29" s="1"/>
  <c r="O49" i="29"/>
  <c r="P49" i="29" s="1"/>
  <c r="O22" i="29"/>
  <c r="P22" i="29" s="1"/>
  <c r="O30" i="29"/>
  <c r="P30" i="29" s="1"/>
  <c r="O45" i="29"/>
  <c r="P45" i="29" s="1"/>
  <c r="O21" i="29"/>
  <c r="P21" i="29" s="1"/>
  <c r="I38" i="15"/>
  <c r="V17" i="3"/>
  <c r="W17" i="3" s="1"/>
  <c r="X17" i="3" s="1"/>
  <c r="S17" i="3"/>
  <c r="T17" i="3" s="1"/>
  <c r="G17" i="9"/>
  <c r="S40" i="3"/>
  <c r="T40" i="3" s="1"/>
  <c r="V40" i="3"/>
  <c r="W40" i="3" s="1"/>
  <c r="X40" i="3" s="1"/>
  <c r="I61" i="15"/>
  <c r="S42" i="3"/>
  <c r="T42" i="3" s="1"/>
  <c r="I63" i="15"/>
  <c r="V42" i="3"/>
  <c r="W42" i="3" s="1"/>
  <c r="X42" i="3" s="1"/>
  <c r="V19" i="3"/>
  <c r="W19" i="3" s="1"/>
  <c r="X19" i="3" s="1"/>
  <c r="I40" i="15"/>
  <c r="S19" i="3"/>
  <c r="T19" i="3" s="1"/>
  <c r="S20" i="3"/>
  <c r="T20" i="3" s="1"/>
  <c r="I41" i="15"/>
  <c r="V20" i="3"/>
  <c r="W20" i="3" s="1"/>
  <c r="X20" i="3" s="1"/>
  <c r="H37" i="7"/>
  <c r="G38" i="9" s="1"/>
  <c r="G40" i="9" s="1"/>
  <c r="G41" i="9" s="1"/>
  <c r="Q13" i="6"/>
  <c r="X30" i="6"/>
  <c r="X37" i="6"/>
  <c r="X42" i="6"/>
  <c r="X107" i="6"/>
  <c r="X17" i="6"/>
  <c r="X103" i="6"/>
  <c r="X58" i="6"/>
  <c r="X111" i="6"/>
  <c r="X86" i="6"/>
  <c r="X127" i="6"/>
  <c r="X48" i="6"/>
  <c r="X71" i="6"/>
  <c r="X61" i="6"/>
  <c r="X81" i="6"/>
  <c r="X18" i="6"/>
  <c r="X36" i="6"/>
  <c r="X130" i="6"/>
  <c r="X24" i="6"/>
  <c r="X138" i="6"/>
  <c r="X21" i="6"/>
  <c r="X27" i="6"/>
  <c r="X32" i="6"/>
  <c r="X25" i="6"/>
  <c r="X128" i="6"/>
  <c r="X118" i="6"/>
  <c r="X44" i="6"/>
  <c r="X135" i="6"/>
  <c r="X109" i="6"/>
  <c r="X121" i="6"/>
  <c r="X113" i="6"/>
  <c r="X70" i="6"/>
  <c r="X88" i="6"/>
  <c r="X45" i="6"/>
  <c r="X74" i="6"/>
  <c r="X26" i="6"/>
  <c r="X19" i="6"/>
  <c r="X106" i="6"/>
  <c r="X85" i="6"/>
  <c r="X137" i="6"/>
  <c r="X68" i="6"/>
  <c r="X126" i="6"/>
  <c r="X99" i="6"/>
  <c r="X141" i="6"/>
  <c r="X78" i="6"/>
  <c r="X69" i="6"/>
  <c r="X79" i="6"/>
  <c r="X20" i="6"/>
  <c r="X38" i="6"/>
  <c r="X47" i="6"/>
  <c r="X117" i="6"/>
  <c r="X62" i="6"/>
  <c r="X46" i="6"/>
  <c r="X73" i="6"/>
  <c r="X102" i="6"/>
  <c r="X23" i="6"/>
  <c r="X140" i="6"/>
  <c r="X98" i="6"/>
  <c r="X95" i="6"/>
  <c r="X131" i="6"/>
  <c r="X94" i="6"/>
  <c r="X96" i="6"/>
  <c r="X53" i="6"/>
  <c r="X119" i="6"/>
  <c r="X115" i="6"/>
  <c r="X16" i="6"/>
  <c r="X33" i="6"/>
  <c r="X112" i="6"/>
  <c r="X52" i="6"/>
  <c r="X82" i="6"/>
  <c r="X55" i="6"/>
  <c r="X60" i="6"/>
  <c r="X90" i="6"/>
  <c r="X72" i="6"/>
  <c r="X132" i="6"/>
  <c r="X139" i="6"/>
  <c r="X87" i="6"/>
  <c r="X65" i="6"/>
  <c r="X125" i="6"/>
  <c r="X35" i="6"/>
  <c r="X43" i="6"/>
  <c r="X22" i="6"/>
  <c r="X59" i="6"/>
  <c r="X49" i="6"/>
  <c r="X104" i="6"/>
  <c r="X66" i="6"/>
  <c r="X93" i="6"/>
  <c r="X51" i="6"/>
  <c r="X108" i="6"/>
  <c r="X133" i="6"/>
  <c r="X63" i="6"/>
  <c r="X64" i="6"/>
  <c r="X83" i="6"/>
  <c r="X136" i="6"/>
  <c r="X31" i="6"/>
  <c r="X84" i="6"/>
  <c r="X56" i="6"/>
  <c r="X80" i="6"/>
  <c r="X97" i="6"/>
  <c r="X67" i="6"/>
  <c r="X124" i="6"/>
  <c r="X54" i="6"/>
  <c r="X100" i="6"/>
  <c r="X101" i="6"/>
  <c r="X122" i="6"/>
  <c r="X29" i="6"/>
  <c r="X110" i="6"/>
  <c r="X40" i="6"/>
  <c r="X76" i="6"/>
  <c r="X77" i="6"/>
  <c r="X89" i="6"/>
  <c r="X28" i="6"/>
  <c r="X75" i="6"/>
  <c r="X116" i="6"/>
  <c r="X114" i="6"/>
  <c r="X123" i="6"/>
  <c r="X50" i="6"/>
  <c r="X92" i="6"/>
  <c r="X120" i="6"/>
  <c r="X91" i="6"/>
  <c r="X39" i="6"/>
  <c r="X134" i="6"/>
  <c r="X15" i="6"/>
  <c r="X41" i="6"/>
  <c r="X34" i="6"/>
  <c r="X105" i="6"/>
  <c r="X129" i="6"/>
  <c r="X57" i="6"/>
  <c r="V60" i="6"/>
  <c r="V120" i="6"/>
  <c r="V32" i="6"/>
  <c r="V16" i="6"/>
  <c r="V119" i="6"/>
  <c r="V84" i="6"/>
  <c r="V85" i="6"/>
  <c r="V137" i="6"/>
  <c r="V42" i="6"/>
  <c r="V93" i="6"/>
  <c r="V20" i="6"/>
  <c r="V70" i="6"/>
  <c r="V39" i="6"/>
  <c r="V22" i="6"/>
  <c r="V54" i="6"/>
  <c r="V59" i="6"/>
  <c r="V65" i="6"/>
  <c r="V55" i="6"/>
  <c r="V45" i="6"/>
  <c r="V141" i="6"/>
  <c r="V48" i="6"/>
  <c r="V75" i="6"/>
  <c r="V15" i="6"/>
  <c r="V115" i="6"/>
  <c r="V127" i="6"/>
  <c r="V108" i="6"/>
  <c r="V139" i="6"/>
  <c r="V58" i="6"/>
  <c r="V64" i="6"/>
  <c r="V111" i="6"/>
  <c r="V83" i="6"/>
  <c r="V77" i="6"/>
  <c r="V35" i="6"/>
  <c r="V38" i="6"/>
  <c r="V47" i="6"/>
  <c r="V134" i="6"/>
  <c r="V92" i="6"/>
  <c r="V28" i="6"/>
  <c r="V37" i="6"/>
  <c r="V104" i="6"/>
  <c r="V17" i="6"/>
  <c r="V123" i="6"/>
  <c r="V78" i="6"/>
  <c r="V69" i="6"/>
  <c r="V100" i="6"/>
  <c r="V24" i="6"/>
  <c r="V116" i="6"/>
  <c r="V43" i="6"/>
  <c r="V125" i="6"/>
  <c r="V109" i="6"/>
  <c r="V82" i="6"/>
  <c r="V105" i="6"/>
  <c r="V118" i="6"/>
  <c r="V61" i="6"/>
  <c r="V27" i="6"/>
  <c r="V97" i="6"/>
  <c r="V106" i="6"/>
  <c r="V90" i="6"/>
  <c r="V121" i="6"/>
  <c r="V81" i="6"/>
  <c r="V73" i="6"/>
  <c r="V33" i="6"/>
  <c r="V102" i="6"/>
  <c r="V29" i="6"/>
  <c r="V98" i="6"/>
  <c r="V89" i="6"/>
  <c r="V129" i="6"/>
  <c r="V80" i="6"/>
  <c r="V72" i="6"/>
  <c r="V107" i="6"/>
  <c r="V117" i="6"/>
  <c r="V114" i="6"/>
  <c r="V99" i="6"/>
  <c r="V140" i="6"/>
  <c r="V62" i="6"/>
  <c r="V53" i="6"/>
  <c r="V30" i="6"/>
  <c r="V136" i="6"/>
  <c r="V133" i="6"/>
  <c r="V131" i="6"/>
  <c r="V110" i="6"/>
  <c r="V23" i="6"/>
  <c r="V57" i="6"/>
  <c r="V25" i="6"/>
  <c r="V41" i="6"/>
  <c r="V19" i="6"/>
  <c r="V130" i="6"/>
  <c r="V63" i="6"/>
  <c r="V128" i="6"/>
  <c r="V18" i="6"/>
  <c r="V122" i="6"/>
  <c r="V26" i="6"/>
  <c r="V138" i="6"/>
  <c r="V74" i="6"/>
  <c r="V76" i="6"/>
  <c r="V135" i="6"/>
  <c r="V113" i="6"/>
  <c r="V36" i="6"/>
  <c r="V96" i="6"/>
  <c r="V126" i="6"/>
  <c r="V50" i="6"/>
  <c r="V56" i="6"/>
  <c r="V124" i="6"/>
  <c r="V44" i="6"/>
  <c r="V31" i="6"/>
  <c r="V101" i="6"/>
  <c r="V49" i="6"/>
  <c r="V86" i="6"/>
  <c r="V40" i="6"/>
  <c r="V67" i="6"/>
  <c r="V52" i="6"/>
  <c r="V46" i="6"/>
  <c r="V87" i="6"/>
  <c r="V79" i="6"/>
  <c r="V51" i="6"/>
  <c r="V94" i="6"/>
  <c r="V34" i="6"/>
  <c r="V66" i="6"/>
  <c r="V21" i="6"/>
  <c r="V103" i="6"/>
  <c r="V91" i="6"/>
  <c r="V68" i="6"/>
  <c r="V88" i="6"/>
  <c r="V112" i="6"/>
  <c r="V132" i="6"/>
  <c r="V95" i="6"/>
  <c r="V71" i="6"/>
  <c r="W102" i="6"/>
  <c r="W111" i="6"/>
  <c r="W21" i="6"/>
  <c r="W106" i="6"/>
  <c r="W101" i="6"/>
  <c r="W117" i="6"/>
  <c r="W95" i="6"/>
  <c r="W46" i="6"/>
  <c r="W78" i="6"/>
  <c r="W22" i="6"/>
  <c r="W47" i="6"/>
  <c r="W44" i="6"/>
  <c r="W122" i="6"/>
  <c r="W50" i="6"/>
  <c r="W96" i="6"/>
  <c r="W52" i="6"/>
  <c r="W64" i="6"/>
  <c r="W63" i="6"/>
  <c r="W124" i="6"/>
  <c r="W84" i="6"/>
  <c r="W62" i="6"/>
  <c r="W43" i="6"/>
  <c r="W36" i="6"/>
  <c r="W114" i="6"/>
  <c r="W108" i="6"/>
  <c r="W32" i="6"/>
  <c r="W51" i="6"/>
  <c r="W59" i="6"/>
  <c r="W37" i="6"/>
  <c r="W132" i="6"/>
  <c r="W134" i="6"/>
  <c r="W98" i="6"/>
  <c r="W31" i="6"/>
  <c r="W133" i="6"/>
  <c r="W88" i="6"/>
  <c r="W123" i="6"/>
  <c r="W90" i="6"/>
  <c r="W57" i="6"/>
  <c r="W42" i="6"/>
  <c r="W73" i="6"/>
  <c r="W93" i="6"/>
  <c r="W27" i="6"/>
  <c r="W83" i="6"/>
  <c r="W75" i="6"/>
  <c r="W130" i="6"/>
  <c r="W79" i="6"/>
  <c r="W25" i="6"/>
  <c r="W121" i="6"/>
  <c r="W126" i="6"/>
  <c r="W81" i="6"/>
  <c r="W113" i="6"/>
  <c r="W85" i="6"/>
  <c r="W116" i="6"/>
  <c r="W60" i="6"/>
  <c r="W136" i="6"/>
  <c r="W34" i="6"/>
  <c r="W71" i="6"/>
  <c r="W128" i="6"/>
  <c r="W112" i="6"/>
  <c r="W49" i="6"/>
  <c r="W56" i="6"/>
  <c r="W67" i="6"/>
  <c r="W24" i="6"/>
  <c r="W135" i="6"/>
  <c r="W54" i="6"/>
  <c r="W127" i="6"/>
  <c r="W120" i="6"/>
  <c r="W80" i="6"/>
  <c r="W69" i="6"/>
  <c r="W139" i="6"/>
  <c r="W20" i="6"/>
  <c r="W55" i="6"/>
  <c r="W39" i="6"/>
  <c r="W17" i="6"/>
  <c r="W103" i="6"/>
  <c r="W40" i="6"/>
  <c r="W61" i="6"/>
  <c r="W119" i="6"/>
  <c r="W74" i="6"/>
  <c r="W118" i="6"/>
  <c r="W76" i="6"/>
  <c r="W48" i="6"/>
  <c r="W131" i="6"/>
  <c r="W16" i="6"/>
  <c r="W58" i="6"/>
  <c r="W66" i="6"/>
  <c r="W100" i="6"/>
  <c r="W28" i="6"/>
  <c r="W97" i="6"/>
  <c r="W70" i="6"/>
  <c r="W115" i="6"/>
  <c r="W107" i="6"/>
  <c r="W35" i="6"/>
  <c r="W53" i="6"/>
  <c r="W82" i="6"/>
  <c r="W94" i="6"/>
  <c r="W140" i="6"/>
  <c r="W45" i="6"/>
  <c r="W138" i="6"/>
  <c r="W23" i="6"/>
  <c r="W99" i="6"/>
  <c r="W125" i="6"/>
  <c r="W29" i="6"/>
  <c r="W87" i="6"/>
  <c r="W72" i="6"/>
  <c r="W33" i="6"/>
  <c r="W65" i="6"/>
  <c r="W89" i="6"/>
  <c r="W38" i="6"/>
  <c r="W110" i="6"/>
  <c r="W77" i="6"/>
  <c r="W19" i="6"/>
  <c r="W105" i="6"/>
  <c r="W92" i="6"/>
  <c r="W91" i="6"/>
  <c r="W41" i="6"/>
  <c r="W141" i="6"/>
  <c r="W15" i="6"/>
  <c r="W137" i="6"/>
  <c r="W104" i="6"/>
  <c r="W26" i="6"/>
  <c r="W86" i="6"/>
  <c r="W18" i="6"/>
  <c r="W30" i="6"/>
  <c r="W129" i="6"/>
  <c r="W109" i="6"/>
  <c r="W68" i="6"/>
  <c r="H171" i="4"/>
  <c r="R13" i="6"/>
  <c r="S27" i="6"/>
  <c r="S65" i="6"/>
  <c r="S125" i="6"/>
  <c r="S119" i="6"/>
  <c r="S31" i="6"/>
  <c r="S46" i="6"/>
  <c r="S126" i="6"/>
  <c r="S35" i="6"/>
  <c r="S139" i="6"/>
  <c r="S78" i="6"/>
  <c r="S71" i="6"/>
  <c r="S135" i="6"/>
  <c r="S82" i="6"/>
  <c r="S29" i="6"/>
  <c r="S34" i="6"/>
  <c r="S136" i="6"/>
  <c r="S100" i="6"/>
  <c r="S90" i="6"/>
  <c r="S97" i="6"/>
  <c r="S15" i="6"/>
  <c r="S39" i="6"/>
  <c r="S84" i="6"/>
  <c r="S66" i="6"/>
  <c r="S108" i="6"/>
  <c r="S140" i="6"/>
  <c r="S129" i="6"/>
  <c r="S67" i="6"/>
  <c r="S127" i="6"/>
  <c r="S110" i="6"/>
  <c r="S75" i="6"/>
  <c r="S95" i="6"/>
  <c r="S107" i="6"/>
  <c r="S69" i="6"/>
  <c r="S72" i="6"/>
  <c r="S81" i="6"/>
  <c r="S118" i="6"/>
  <c r="S115" i="6"/>
  <c r="S109" i="6"/>
  <c r="S87" i="6"/>
  <c r="S111" i="6"/>
  <c r="S128" i="6"/>
  <c r="S26" i="6"/>
  <c r="S120" i="6"/>
  <c r="S56" i="6"/>
  <c r="S45" i="6"/>
  <c r="S60" i="6"/>
  <c r="S36" i="6"/>
  <c r="S62" i="6"/>
  <c r="S43" i="6"/>
  <c r="S17" i="6"/>
  <c r="S28" i="6"/>
  <c r="S19" i="6"/>
  <c r="S121" i="6"/>
  <c r="S48" i="6"/>
  <c r="S54" i="6"/>
  <c r="S124" i="6"/>
  <c r="S86" i="6"/>
  <c r="S132" i="6"/>
  <c r="S141" i="6"/>
  <c r="S123" i="6"/>
  <c r="S53" i="6"/>
  <c r="S94" i="6"/>
  <c r="S83" i="6"/>
  <c r="S101" i="6"/>
  <c r="S40" i="6"/>
  <c r="S112" i="6"/>
  <c r="S68" i="6"/>
  <c r="S91" i="6"/>
  <c r="S59" i="6"/>
  <c r="S92" i="6"/>
  <c r="S25" i="6"/>
  <c r="S77" i="6"/>
  <c r="S61" i="6"/>
  <c r="S93" i="6"/>
  <c r="S57" i="6"/>
  <c r="S76" i="6"/>
  <c r="S85" i="6"/>
  <c r="S116" i="6"/>
  <c r="S96" i="6"/>
  <c r="S33" i="6"/>
  <c r="S42" i="6"/>
  <c r="S63" i="6"/>
  <c r="S103" i="6"/>
  <c r="S106" i="6"/>
  <c r="S104" i="6"/>
  <c r="S37" i="6"/>
  <c r="S20" i="6"/>
  <c r="S89" i="6"/>
  <c r="S32" i="6"/>
  <c r="S117" i="6"/>
  <c r="S73" i="6"/>
  <c r="S47" i="6"/>
  <c r="S80" i="6"/>
  <c r="S24" i="6"/>
  <c r="S64" i="6"/>
  <c r="S30" i="6"/>
  <c r="S41" i="6"/>
  <c r="S22" i="6"/>
  <c r="S70" i="6"/>
  <c r="S99" i="6"/>
  <c r="S55" i="6"/>
  <c r="S51" i="6"/>
  <c r="S105" i="6"/>
  <c r="S138" i="6"/>
  <c r="S52" i="6"/>
  <c r="S18" i="6"/>
  <c r="S131" i="6"/>
  <c r="S102" i="6"/>
  <c r="S114" i="6"/>
  <c r="S58" i="6"/>
  <c r="S122" i="6"/>
  <c r="S49" i="6"/>
  <c r="S74" i="6"/>
  <c r="S23" i="6"/>
  <c r="S21" i="6"/>
  <c r="S98" i="6"/>
  <c r="S44" i="6"/>
  <c r="S130" i="6"/>
  <c r="S38" i="6"/>
  <c r="S79" i="6"/>
  <c r="S113" i="6"/>
  <c r="Y9" i="6"/>
  <c r="S50" i="6"/>
  <c r="S16" i="6"/>
  <c r="S88" i="6"/>
  <c r="S137" i="6"/>
  <c r="S134" i="6"/>
  <c r="S133" i="6"/>
  <c r="F26" i="7"/>
  <c r="U13" i="6"/>
  <c r="P13" i="6"/>
  <c r="L88" i="4"/>
  <c r="O25" i="3" l="1"/>
  <c r="P25" i="3" s="1"/>
  <c r="J52" i="29"/>
  <c r="F45" i="3"/>
  <c r="P17" i="2"/>
  <c r="O17" i="2"/>
  <c r="G71" i="9"/>
  <c r="G73" i="9" s="1"/>
  <c r="F71" i="9"/>
  <c r="F73" i="9" s="1"/>
  <c r="P67" i="3"/>
  <c r="R25" i="3"/>
  <c r="I46" i="15" s="1"/>
  <c r="H46" i="15"/>
  <c r="N23" i="2"/>
  <c r="Q68" i="2"/>
  <c r="F25" i="3"/>
  <c r="F46" i="15" s="1"/>
  <c r="L68" i="2"/>
  <c r="J64" i="8" s="1"/>
  <c r="R65" i="2"/>
  <c r="R68" i="2" s="1"/>
  <c r="L117" i="2"/>
  <c r="R75" i="2"/>
  <c r="R82" i="2" s="1"/>
  <c r="I64" i="8"/>
  <c r="K115" i="2"/>
  <c r="I15" i="8" s="1"/>
  <c r="H70" i="15" s="1"/>
  <c r="F56" i="29"/>
  <c r="G32" i="29"/>
  <c r="H32" i="29" s="1"/>
  <c r="L118" i="2"/>
  <c r="L116" i="2"/>
  <c r="J17" i="8" s="1"/>
  <c r="I72" i="15" s="1"/>
  <c r="J65" i="8"/>
  <c r="L82" i="2"/>
  <c r="I66" i="8"/>
  <c r="K119" i="2"/>
  <c r="I18" i="8" s="1"/>
  <c r="H73" i="15" s="1"/>
  <c r="Q82" i="2"/>
  <c r="J35" i="4"/>
  <c r="J39" i="4" s="1"/>
  <c r="J48" i="4" s="1"/>
  <c r="H51" i="8" s="1"/>
  <c r="G85" i="15" s="1"/>
  <c r="H35" i="4"/>
  <c r="H39" i="4" s="1"/>
  <c r="H48" i="4" s="1"/>
  <c r="H51" i="4" s="1"/>
  <c r="K96" i="4"/>
  <c r="H38" i="2"/>
  <c r="N38" i="2" s="1"/>
  <c r="L71" i="26"/>
  <c r="H43" i="26"/>
  <c r="H69" i="26" s="1"/>
  <c r="H76" i="26" s="1"/>
  <c r="H101" i="26" s="1"/>
  <c r="L25" i="4"/>
  <c r="J92" i="1"/>
  <c r="J89" i="1" s="1"/>
  <c r="J29" i="1" s="1"/>
  <c r="J28" i="1" s="1"/>
  <c r="H76" i="9"/>
  <c r="K45" i="3"/>
  <c r="N45" i="3"/>
  <c r="G66" i="15"/>
  <c r="J49" i="3"/>
  <c r="F66" i="15"/>
  <c r="G45" i="3"/>
  <c r="H45" i="3" s="1"/>
  <c r="K52" i="29"/>
  <c r="N52" i="29"/>
  <c r="J29" i="26"/>
  <c r="J33" i="26" s="1"/>
  <c r="J40" i="26" s="1"/>
  <c r="J43" i="26" s="1"/>
  <c r="J69" i="26" s="1"/>
  <c r="J76" i="26" s="1"/>
  <c r="J101" i="26" s="1"/>
  <c r="Q112" i="21"/>
  <c r="J23" i="2"/>
  <c r="P23" i="2" s="1"/>
  <c r="J57" i="1"/>
  <c r="K20" i="2"/>
  <c r="Q20" i="2" s="1"/>
  <c r="K92" i="1"/>
  <c r="K89" i="1" s="1"/>
  <c r="K29" i="1" s="1"/>
  <c r="K28" i="1" s="1"/>
  <c r="L20" i="2"/>
  <c r="R20" i="2" s="1"/>
  <c r="K57" i="1"/>
  <c r="F26" i="3"/>
  <c r="J33" i="29"/>
  <c r="J56" i="29" s="1"/>
  <c r="G33" i="29"/>
  <c r="H33" i="29" s="1"/>
  <c r="I33" i="26"/>
  <c r="I40" i="26" s="1"/>
  <c r="I20" i="26"/>
  <c r="I23" i="2"/>
  <c r="O23" i="2" s="1"/>
  <c r="I40" i="7"/>
  <c r="I50" i="7" s="1"/>
  <c r="I24" i="8" s="1"/>
  <c r="H76" i="15" s="1"/>
  <c r="R112" i="23"/>
  <c r="Q112" i="23"/>
  <c r="K104" i="4"/>
  <c r="G40" i="7"/>
  <c r="G50" i="7" s="1"/>
  <c r="G24" i="8" s="1"/>
  <c r="F76" i="15" s="1"/>
  <c r="I104" i="4"/>
  <c r="H63" i="1"/>
  <c r="I15" i="4"/>
  <c r="I19" i="4" s="1"/>
  <c r="R28" i="2"/>
  <c r="L28" i="2"/>
  <c r="L117" i="26"/>
  <c r="K133" i="25"/>
  <c r="L132" i="25"/>
  <c r="L9" i="26"/>
  <c r="K49" i="1"/>
  <c r="K78" i="1"/>
  <c r="F133" i="25"/>
  <c r="G132" i="25"/>
  <c r="J112" i="2"/>
  <c r="G16" i="15"/>
  <c r="I8" i="8"/>
  <c r="J110" i="26"/>
  <c r="G8" i="9"/>
  <c r="R112" i="21"/>
  <c r="I19" i="9"/>
  <c r="H19" i="9"/>
  <c r="I17" i="9"/>
  <c r="H17" i="9"/>
  <c r="Y68" i="6"/>
  <c r="Y106" i="6"/>
  <c r="Y118" i="6"/>
  <c r="Y41" i="6"/>
  <c r="Y99" i="6"/>
  <c r="Y35" i="6"/>
  <c r="Y29" i="6"/>
  <c r="Y86" i="6"/>
  <c r="Y27" i="6"/>
  <c r="Y18" i="6"/>
  <c r="Y113" i="6"/>
  <c r="Y103" i="6"/>
  <c r="Y121" i="6"/>
  <c r="Y100" i="6"/>
  <c r="Y23" i="6"/>
  <c r="Y90" i="6"/>
  <c r="Y60" i="6"/>
  <c r="Y34" i="6"/>
  <c r="Y120" i="6"/>
  <c r="Y32" i="6"/>
  <c r="Y31" i="6"/>
  <c r="Y137" i="6"/>
  <c r="Y82" i="6"/>
  <c r="Y59" i="6"/>
  <c r="Y74" i="6"/>
  <c r="Y63" i="6"/>
  <c r="Y73" i="6"/>
  <c r="Y64" i="6"/>
  <c r="Y51" i="6"/>
  <c r="Y96" i="6"/>
  <c r="Y22" i="6"/>
  <c r="Y126" i="6"/>
  <c r="Y40" i="6"/>
  <c r="Y84" i="6"/>
  <c r="Y17" i="6"/>
  <c r="Y71" i="6"/>
  <c r="Y37" i="6"/>
  <c r="Y140" i="6"/>
  <c r="Y39" i="6"/>
  <c r="Y116" i="6"/>
  <c r="Y80" i="6"/>
  <c r="Y28" i="6"/>
  <c r="Y139" i="6"/>
  <c r="Y117" i="6"/>
  <c r="Y19" i="6"/>
  <c r="Y128" i="6"/>
  <c r="Y114" i="6"/>
  <c r="Y133" i="6"/>
  <c r="Y42" i="6"/>
  <c r="Y16" i="6"/>
  <c r="Y21" i="6"/>
  <c r="Y119" i="6"/>
  <c r="Y134" i="6"/>
  <c r="Y89" i="6"/>
  <c r="Y83" i="6"/>
  <c r="Y33" i="6"/>
  <c r="Y78" i="6"/>
  <c r="Y112" i="6"/>
  <c r="Y115" i="6"/>
  <c r="Y104" i="6"/>
  <c r="Y67" i="6"/>
  <c r="Y53" i="6"/>
  <c r="Y76" i="6"/>
  <c r="Y108" i="6"/>
  <c r="Y87" i="6"/>
  <c r="Y123" i="6"/>
  <c r="Y130" i="6"/>
  <c r="Y77" i="6"/>
  <c r="Y81" i="6"/>
  <c r="Y72" i="6"/>
  <c r="Y20" i="6"/>
  <c r="Y93" i="6"/>
  <c r="Y98" i="6"/>
  <c r="Y79" i="6"/>
  <c r="Y110" i="6"/>
  <c r="Y124" i="6"/>
  <c r="Y56" i="6"/>
  <c r="Y92" i="6"/>
  <c r="Y107" i="6"/>
  <c r="Y94" i="6"/>
  <c r="Y26" i="6"/>
  <c r="Y46" i="6"/>
  <c r="Y70" i="6"/>
  <c r="Y75" i="6"/>
  <c r="Y91" i="6"/>
  <c r="Y54" i="6"/>
  <c r="Y58" i="6"/>
  <c r="Y24" i="6"/>
  <c r="Y49" i="6"/>
  <c r="Y48" i="6"/>
  <c r="Y101" i="6"/>
  <c r="Y122" i="6"/>
  <c r="Y57" i="6"/>
  <c r="Y141" i="6"/>
  <c r="Y85" i="6"/>
  <c r="Y62" i="6"/>
  <c r="Y38" i="6"/>
  <c r="Y61" i="6"/>
  <c r="Y125" i="6"/>
  <c r="Y45" i="6"/>
  <c r="Y95" i="6"/>
  <c r="Y105" i="6"/>
  <c r="Y135" i="6"/>
  <c r="Y129" i="6"/>
  <c r="Y43" i="6"/>
  <c r="Y131" i="6"/>
  <c r="Y36" i="6"/>
  <c r="Y15" i="6"/>
  <c r="Y55" i="6"/>
  <c r="Y69" i="6"/>
  <c r="Y138" i="6"/>
  <c r="Y111" i="6"/>
  <c r="Y25" i="6"/>
  <c r="Y66" i="6"/>
  <c r="Y102" i="6"/>
  <c r="Y127" i="6"/>
  <c r="Y132" i="6"/>
  <c r="Y65" i="6"/>
  <c r="Y30" i="6"/>
  <c r="Y109" i="6"/>
  <c r="Y44" i="6"/>
  <c r="Y136" i="6"/>
  <c r="Y88" i="6"/>
  <c r="Y50" i="6"/>
  <c r="Y97" i="6"/>
  <c r="Y52" i="6"/>
  <c r="Y47" i="6"/>
  <c r="K32" i="29"/>
  <c r="L32" i="29" s="1"/>
  <c r="N32" i="29"/>
  <c r="V13" i="6"/>
  <c r="G26" i="7"/>
  <c r="G29" i="7" s="1"/>
  <c r="F81" i="15" s="1"/>
  <c r="S13" i="6"/>
  <c r="J37" i="7"/>
  <c r="I38" i="9" s="1"/>
  <c r="I40" i="9" s="1"/>
  <c r="I41" i="9" s="1"/>
  <c r="X13" i="6"/>
  <c r="I26" i="7"/>
  <c r="I29" i="7" s="1"/>
  <c r="H81" i="15" s="1"/>
  <c r="F58" i="7"/>
  <c r="F29" i="7"/>
  <c r="H26" i="7"/>
  <c r="H29" i="7" s="1"/>
  <c r="G81" i="15" s="1"/>
  <c r="W13" i="6"/>
  <c r="J104" i="4"/>
  <c r="G64" i="9" s="1"/>
  <c r="G68" i="9" s="1"/>
  <c r="G69" i="9" s="1"/>
  <c r="H40" i="7"/>
  <c r="H50" i="7" s="1"/>
  <c r="H24" i="8" s="1"/>
  <c r="G76" i="15" s="1"/>
  <c r="G25" i="3"/>
  <c r="H25" i="3" s="1"/>
  <c r="G18" i="9"/>
  <c r="G20" i="9" s="1"/>
  <c r="V25" i="3" l="1"/>
  <c r="S25" i="3"/>
  <c r="T25" i="3" s="1"/>
  <c r="H18" i="9" s="1"/>
  <c r="H20" i="9" s="1"/>
  <c r="T67" i="3"/>
  <c r="T66" i="3"/>
  <c r="H66" i="3"/>
  <c r="K108" i="4"/>
  <c r="K171" i="4" s="1"/>
  <c r="H64" i="9"/>
  <c r="H68" i="9" s="1"/>
  <c r="H69" i="9" s="1"/>
  <c r="I108" i="4"/>
  <c r="I171" i="4" s="1"/>
  <c r="F64" i="9"/>
  <c r="F68" i="9" s="1"/>
  <c r="F69" i="9" s="1"/>
  <c r="K17" i="2"/>
  <c r="I72" i="9"/>
  <c r="H72" i="9"/>
  <c r="O22" i="2"/>
  <c r="H56" i="29"/>
  <c r="L115" i="2"/>
  <c r="J15" i="8" s="1"/>
  <c r="I70" i="15" s="1"/>
  <c r="I22" i="2"/>
  <c r="I38" i="2" s="1"/>
  <c r="O38" i="2" s="1"/>
  <c r="O44" i="2" s="1"/>
  <c r="O53" i="2" s="1"/>
  <c r="L119" i="2"/>
  <c r="J18" i="8" s="1"/>
  <c r="I73" i="15" s="1"/>
  <c r="J66" i="8"/>
  <c r="N22" i="2"/>
  <c r="J51" i="4"/>
  <c r="I35" i="4"/>
  <c r="I39" i="4" s="1"/>
  <c r="I48" i="4" s="1"/>
  <c r="N44" i="2"/>
  <c r="N53" i="2" s="1"/>
  <c r="J56" i="1"/>
  <c r="K15" i="4" s="1"/>
  <c r="K19" i="4" s="1"/>
  <c r="H67" i="3"/>
  <c r="F49" i="3"/>
  <c r="K18" i="26"/>
  <c r="H24" i="15"/>
  <c r="I76" i="9"/>
  <c r="L45" i="3"/>
  <c r="L49" i="3" s="1"/>
  <c r="I98" i="2" s="1"/>
  <c r="G70" i="8" s="1"/>
  <c r="K49" i="3"/>
  <c r="R45" i="3"/>
  <c r="H66" i="15"/>
  <c r="O45" i="3"/>
  <c r="N49" i="3"/>
  <c r="O52" i="29"/>
  <c r="P52" i="29" s="1"/>
  <c r="L52" i="29"/>
  <c r="G56" i="29"/>
  <c r="J22" i="2"/>
  <c r="J38" i="2" s="1"/>
  <c r="P38" i="2" s="1"/>
  <c r="J80" i="1"/>
  <c r="K18" i="2" s="1"/>
  <c r="J64" i="1"/>
  <c r="I24" i="15"/>
  <c r="K56" i="1"/>
  <c r="L18" i="26"/>
  <c r="L29" i="26" s="1"/>
  <c r="L17" i="2"/>
  <c r="R17" i="2" s="1"/>
  <c r="K64" i="1"/>
  <c r="K80" i="1"/>
  <c r="L18" i="2" s="1"/>
  <c r="R18" i="2" s="1"/>
  <c r="I43" i="26"/>
  <c r="I112" i="26" s="1"/>
  <c r="F47" i="15"/>
  <c r="G26" i="3"/>
  <c r="H26" i="3" s="1"/>
  <c r="N33" i="29"/>
  <c r="N56" i="29" s="1"/>
  <c r="K33" i="29"/>
  <c r="K56" i="29" s="1"/>
  <c r="I118" i="26"/>
  <c r="G50" i="8" s="1"/>
  <c r="F84" i="15" s="1"/>
  <c r="J118" i="26"/>
  <c r="H50" i="8" s="1"/>
  <c r="G84" i="15" s="1"/>
  <c r="K134" i="25"/>
  <c r="L133" i="25"/>
  <c r="H16" i="15"/>
  <c r="K110" i="26"/>
  <c r="K112" i="2"/>
  <c r="H8" i="9"/>
  <c r="J8" i="8"/>
  <c r="F134" i="25"/>
  <c r="G133" i="25"/>
  <c r="F61" i="7"/>
  <c r="G15" i="7"/>
  <c r="O32" i="29"/>
  <c r="P32" i="29" s="1"/>
  <c r="J108" i="4"/>
  <c r="J40" i="7"/>
  <c r="J50" i="7" s="1"/>
  <c r="J24" i="8" s="1"/>
  <c r="I76" i="15" s="1"/>
  <c r="L104" i="4"/>
  <c r="I64" i="9" s="1"/>
  <c r="I68" i="9" s="1"/>
  <c r="I69" i="9" s="1"/>
  <c r="J26" i="7"/>
  <c r="J29" i="7" s="1"/>
  <c r="I81" i="15" s="1"/>
  <c r="Y13" i="6"/>
  <c r="W25" i="3"/>
  <c r="X25" i="3" s="1"/>
  <c r="X67" i="3"/>
  <c r="X66" i="3"/>
  <c r="G21" i="9"/>
  <c r="I194" i="4" l="1"/>
  <c r="I197" i="4" s="1"/>
  <c r="H194" i="4"/>
  <c r="H197" i="4" s="1"/>
  <c r="Q17" i="2"/>
  <c r="I71" i="9"/>
  <c r="I73" i="9" s="1"/>
  <c r="H71" i="9"/>
  <c r="H73" i="9" s="1"/>
  <c r="G71" i="8"/>
  <c r="G74" i="8" s="1"/>
  <c r="F71" i="8"/>
  <c r="F74" i="8" s="1"/>
  <c r="J63" i="1"/>
  <c r="Q18" i="2"/>
  <c r="G51" i="8"/>
  <c r="F85" i="15" s="1"/>
  <c r="I51" i="4"/>
  <c r="P22" i="2"/>
  <c r="K35" i="4"/>
  <c r="K39" i="4" s="1"/>
  <c r="K48" i="4" s="1"/>
  <c r="K51" i="4" s="1"/>
  <c r="G49" i="3"/>
  <c r="G53" i="3" s="1"/>
  <c r="P44" i="2"/>
  <c r="P53" i="2" s="1"/>
  <c r="P56" i="2" s="1"/>
  <c r="L53" i="3"/>
  <c r="K20" i="26"/>
  <c r="K29" i="26"/>
  <c r="K33" i="26" s="1"/>
  <c r="K40" i="26" s="1"/>
  <c r="K118" i="26" s="1"/>
  <c r="I50" i="8" s="1"/>
  <c r="H84" i="15" s="1"/>
  <c r="P45" i="3"/>
  <c r="P49" i="3" s="1"/>
  <c r="P53" i="3" s="1"/>
  <c r="O49" i="3"/>
  <c r="O98" i="2"/>
  <c r="K53" i="3"/>
  <c r="S45" i="3"/>
  <c r="V45" i="3"/>
  <c r="I66" i="15"/>
  <c r="R49" i="3"/>
  <c r="K23" i="2"/>
  <c r="Q23" i="2" s="1"/>
  <c r="L23" i="2"/>
  <c r="R23" i="2" s="1"/>
  <c r="L15" i="4"/>
  <c r="L19" i="4" s="1"/>
  <c r="K63" i="1"/>
  <c r="L20" i="26"/>
  <c r="L33" i="26"/>
  <c r="L40" i="26" s="1"/>
  <c r="I69" i="26"/>
  <c r="I76" i="26" s="1"/>
  <c r="I101" i="26" s="1"/>
  <c r="J112" i="26"/>
  <c r="L33" i="29"/>
  <c r="L56" i="29" s="1"/>
  <c r="O33" i="29"/>
  <c r="P33" i="29" s="1"/>
  <c r="P56" i="29" s="1"/>
  <c r="K135" i="25"/>
  <c r="L134" i="25"/>
  <c r="L112" i="2"/>
  <c r="I8" i="9"/>
  <c r="I16" i="15"/>
  <c r="L110" i="26"/>
  <c r="G134" i="25"/>
  <c r="F135" i="25"/>
  <c r="L108" i="4"/>
  <c r="H49" i="3"/>
  <c r="H53" i="3" s="1"/>
  <c r="F18" i="9"/>
  <c r="F20" i="9" s="1"/>
  <c r="G18" i="7"/>
  <c r="G58" i="7"/>
  <c r="J171" i="4"/>
  <c r="J194" i="4"/>
  <c r="H21" i="9"/>
  <c r="J197" i="4" l="1"/>
  <c r="H71" i="8"/>
  <c r="H74" i="8" s="1"/>
  <c r="J98" i="2"/>
  <c r="H70" i="8" s="1"/>
  <c r="N98" i="2"/>
  <c r="L35" i="4"/>
  <c r="L39" i="4" s="1"/>
  <c r="I51" i="8"/>
  <c r="H85" i="15" s="1"/>
  <c r="K83" i="4"/>
  <c r="K90" i="4" s="1"/>
  <c r="K176" i="4" s="1"/>
  <c r="L118" i="26"/>
  <c r="J50" i="8" s="1"/>
  <c r="I84" i="15" s="1"/>
  <c r="K43" i="26"/>
  <c r="T45" i="3"/>
  <c r="T49" i="3" s="1"/>
  <c r="K98" i="2" s="1"/>
  <c r="I70" i="8" s="1"/>
  <c r="S49" i="3"/>
  <c r="W45" i="3"/>
  <c r="V49" i="3"/>
  <c r="P98" i="2"/>
  <c r="J124" i="2" s="1"/>
  <c r="G29" i="15" s="1"/>
  <c r="O53" i="3"/>
  <c r="O56" i="29"/>
  <c r="J44" i="2"/>
  <c r="J53" i="2" s="1"/>
  <c r="J56" i="2" s="1"/>
  <c r="P86" i="2"/>
  <c r="P93" i="2" s="1"/>
  <c r="K22" i="2"/>
  <c r="K38" i="2" s="1"/>
  <c r="Q38" i="2" s="1"/>
  <c r="L22" i="2"/>
  <c r="L38" i="2" s="1"/>
  <c r="R38" i="2" s="1"/>
  <c r="L43" i="26"/>
  <c r="K136" i="25"/>
  <c r="L135" i="25"/>
  <c r="G135" i="25"/>
  <c r="F136" i="25"/>
  <c r="I18" i="9"/>
  <c r="I20" i="9" s="1"/>
  <c r="H15" i="7"/>
  <c r="G61" i="7"/>
  <c r="L194" i="4"/>
  <c r="L171" i="4"/>
  <c r="K194" i="4"/>
  <c r="H98" i="2"/>
  <c r="F21" i="9"/>
  <c r="K197" i="4" l="1"/>
  <c r="I71" i="8"/>
  <c r="I74" i="8" s="1"/>
  <c r="L197" i="4"/>
  <c r="J71" i="8"/>
  <c r="J74" i="8" s="1"/>
  <c r="J121" i="2"/>
  <c r="H21" i="8" s="1"/>
  <c r="G74" i="15" s="1"/>
  <c r="I124" i="2"/>
  <c r="F29" i="15" s="1"/>
  <c r="T53" i="3"/>
  <c r="I121" i="2"/>
  <c r="G21" i="8" s="1"/>
  <c r="G23" i="8" s="1"/>
  <c r="G27" i="8" s="1"/>
  <c r="F14" i="9" s="1"/>
  <c r="F70" i="8"/>
  <c r="L48" i="4"/>
  <c r="L51" i="4" s="1"/>
  <c r="L187" i="4" s="1"/>
  <c r="Q22" i="2"/>
  <c r="R22" i="2"/>
  <c r="R44" i="2"/>
  <c r="R53" i="2" s="1"/>
  <c r="R56" i="2" s="1"/>
  <c r="Q44" i="2"/>
  <c r="Q53" i="2" s="1"/>
  <c r="Q56" i="2" s="1"/>
  <c r="K112" i="26"/>
  <c r="K69" i="26"/>
  <c r="K76" i="26" s="1"/>
  <c r="K101" i="26" s="1"/>
  <c r="Q98" i="2"/>
  <c r="K124" i="2" s="1"/>
  <c r="H29" i="15" s="1"/>
  <c r="S53" i="3"/>
  <c r="X45" i="3"/>
  <c r="X49" i="3" s="1"/>
  <c r="W49" i="3"/>
  <c r="J86" i="2"/>
  <c r="J93" i="2" s="1"/>
  <c r="O52" i="3"/>
  <c r="O54" i="3" s="1"/>
  <c r="P103" i="2"/>
  <c r="L69" i="26"/>
  <c r="L76" i="26" s="1"/>
  <c r="L101" i="26" s="1"/>
  <c r="L112" i="26"/>
  <c r="I21" i="9"/>
  <c r="L136" i="25"/>
  <c r="K137" i="25"/>
  <c r="F137" i="25"/>
  <c r="G136" i="25"/>
  <c r="H18" i="7"/>
  <c r="H58" i="7"/>
  <c r="K121" i="2"/>
  <c r="I21" i="8" s="1"/>
  <c r="F74" i="15" l="1"/>
  <c r="H23" i="8"/>
  <c r="H27" i="8" s="1"/>
  <c r="G14" i="9" s="1"/>
  <c r="J51" i="8"/>
  <c r="I85" i="15" s="1"/>
  <c r="L98" i="2"/>
  <c r="X53" i="3"/>
  <c r="R98" i="2"/>
  <c r="L124" i="2" s="1"/>
  <c r="I29" i="15" s="1"/>
  <c r="W53" i="3"/>
  <c r="J103" i="2"/>
  <c r="P52" i="3"/>
  <c r="P54" i="3" s="1"/>
  <c r="L192" i="4"/>
  <c r="L199" i="4" s="1"/>
  <c r="K187" i="4"/>
  <c r="K192" i="4" s="1"/>
  <c r="K199" i="4" s="1"/>
  <c r="K44" i="2"/>
  <c r="K53" i="2" s="1"/>
  <c r="K56" i="2" s="1"/>
  <c r="Q86" i="2"/>
  <c r="Q93" i="2" s="1"/>
  <c r="L83" i="4"/>
  <c r="L90" i="4" s="1"/>
  <c r="L176" i="4" s="1"/>
  <c r="L44" i="2"/>
  <c r="L53" i="2" s="1"/>
  <c r="L56" i="2" s="1"/>
  <c r="J63" i="8" s="1"/>
  <c r="J67" i="8" s="1"/>
  <c r="J76" i="8" s="1"/>
  <c r="R86" i="2"/>
  <c r="R93" i="2" s="1"/>
  <c r="K138" i="25"/>
  <c r="L137" i="25"/>
  <c r="F138" i="25"/>
  <c r="G137" i="25"/>
  <c r="H61" i="7"/>
  <c r="I15" i="7"/>
  <c r="I23" i="8"/>
  <c r="I27" i="8" s="1"/>
  <c r="H14" i="9" s="1"/>
  <c r="H74" i="15"/>
  <c r="I63" i="8" l="1"/>
  <c r="I67" i="8" s="1"/>
  <c r="I76" i="8" s="1"/>
  <c r="L121" i="2"/>
  <c r="J21" i="8" s="1"/>
  <c r="I74" i="15" s="1"/>
  <c r="J70" i="8"/>
  <c r="K123" i="2"/>
  <c r="H28" i="15" s="1"/>
  <c r="H30" i="15" s="1"/>
  <c r="S52" i="3"/>
  <c r="S54" i="3" s="1"/>
  <c r="Q103" i="2"/>
  <c r="K120" i="2"/>
  <c r="I49" i="8" s="1"/>
  <c r="L120" i="2"/>
  <c r="J49" i="8" s="1"/>
  <c r="W52" i="3"/>
  <c r="W54" i="3" s="1"/>
  <c r="L123" i="2"/>
  <c r="I28" i="15" s="1"/>
  <c r="I30" i="15" s="1"/>
  <c r="R103" i="2"/>
  <c r="K139" i="25"/>
  <c r="L138" i="25"/>
  <c r="G138" i="25"/>
  <c r="F139" i="25"/>
  <c r="I58" i="7"/>
  <c r="I18" i="7"/>
  <c r="J23" i="8" l="1"/>
  <c r="J27" i="8" s="1"/>
  <c r="I14" i="9" s="1"/>
  <c r="L114" i="2"/>
  <c r="J14" i="8" s="1"/>
  <c r="K114" i="2"/>
  <c r="I14" i="8" s="1"/>
  <c r="I52" i="8"/>
  <c r="H83" i="15"/>
  <c r="K86" i="2"/>
  <c r="K93" i="2" s="1"/>
  <c r="I83" i="15"/>
  <c r="J52" i="8"/>
  <c r="L86" i="2"/>
  <c r="L93" i="2" s="1"/>
  <c r="K140" i="25"/>
  <c r="L139" i="25"/>
  <c r="G139" i="25"/>
  <c r="F140" i="25"/>
  <c r="J15" i="7"/>
  <c r="I61" i="7"/>
  <c r="H69" i="15" l="1"/>
  <c r="I19" i="8"/>
  <c r="H13" i="9" s="1"/>
  <c r="T52" i="3"/>
  <c r="T54" i="3" s="1"/>
  <c r="K103" i="2"/>
  <c r="I69" i="15"/>
  <c r="J19" i="8"/>
  <c r="I13" i="9" s="1"/>
  <c r="X52" i="3"/>
  <c r="X54" i="3" s="1"/>
  <c r="L103" i="2"/>
  <c r="L140" i="25"/>
  <c r="K141" i="25"/>
  <c r="F141" i="25"/>
  <c r="G140" i="25"/>
  <c r="J58" i="7"/>
  <c r="J61" i="7" s="1"/>
  <c r="J18" i="7"/>
  <c r="I25" i="4" l="1"/>
  <c r="H25" i="4"/>
  <c r="H187" i="4" s="1"/>
  <c r="J83" i="4"/>
  <c r="J90" i="4" s="1"/>
  <c r="J176" i="4" s="1"/>
  <c r="J187" i="4"/>
  <c r="I29" i="8"/>
  <c r="I42" i="8" s="1"/>
  <c r="J29" i="8"/>
  <c r="J42" i="8" s="1"/>
  <c r="N28" i="2"/>
  <c r="N56" i="2" s="1"/>
  <c r="O28" i="2"/>
  <c r="O56" i="2" s="1"/>
  <c r="I28" i="2"/>
  <c r="L141" i="25"/>
  <c r="K142" i="25"/>
  <c r="F142" i="25"/>
  <c r="G141" i="25"/>
  <c r="J192" i="4" l="1"/>
  <c r="J199" i="4" s="1"/>
  <c r="H63" i="8"/>
  <c r="H67" i="8" s="1"/>
  <c r="H76" i="8" s="1"/>
  <c r="H44" i="2"/>
  <c r="H53" i="2" s="1"/>
  <c r="H56" i="2" s="1"/>
  <c r="F63" i="8" s="1"/>
  <c r="F67" i="8" s="1"/>
  <c r="F76" i="8" s="1"/>
  <c r="I83" i="4"/>
  <c r="I90" i="4" s="1"/>
  <c r="I176" i="4" s="1"/>
  <c r="I187" i="4"/>
  <c r="I192" i="4" s="1"/>
  <c r="I199" i="4" s="1"/>
  <c r="H83" i="4"/>
  <c r="H90" i="4" s="1"/>
  <c r="H176" i="4" s="1"/>
  <c r="H192" i="4"/>
  <c r="H199" i="4" s="1"/>
  <c r="I44" i="2"/>
  <c r="I53" i="2" s="1"/>
  <c r="O86" i="2"/>
  <c r="O93" i="2" s="1"/>
  <c r="K143" i="25"/>
  <c r="L142" i="25"/>
  <c r="G142" i="25"/>
  <c r="F143" i="25"/>
  <c r="N86" i="2" l="1"/>
  <c r="J120" i="2"/>
  <c r="H49" i="8" s="1"/>
  <c r="G83" i="15" s="1"/>
  <c r="I56" i="2"/>
  <c r="G63" i="8" s="1"/>
  <c r="G67" i="8" s="1"/>
  <c r="G76" i="8" s="1"/>
  <c r="I120" i="2"/>
  <c r="G49" i="8" s="1"/>
  <c r="J123" i="2"/>
  <c r="G28" i="15" s="1"/>
  <c r="G30" i="15" s="1"/>
  <c r="K52" i="3"/>
  <c r="K54" i="3" s="1"/>
  <c r="O103" i="2"/>
  <c r="K144" i="25"/>
  <c r="L143" i="25"/>
  <c r="G143" i="25"/>
  <c r="F144" i="25"/>
  <c r="H52" i="8" l="1"/>
  <c r="J114" i="2"/>
  <c r="H14" i="8" s="1"/>
  <c r="N93" i="2"/>
  <c r="N103" i="2" s="1"/>
  <c r="I114" i="2"/>
  <c r="G14" i="8" s="1"/>
  <c r="F83" i="15"/>
  <c r="G52" i="8"/>
  <c r="I86" i="2"/>
  <c r="I93" i="2" s="1"/>
  <c r="H86" i="2"/>
  <c r="H93" i="2" s="1"/>
  <c r="L144" i="25"/>
  <c r="K145" i="25"/>
  <c r="F145" i="25"/>
  <c r="G144" i="25"/>
  <c r="I123" i="2" l="1"/>
  <c r="F28" i="15" s="1"/>
  <c r="F30" i="15" s="1"/>
  <c r="G52" i="3"/>
  <c r="G54" i="3" s="1"/>
  <c r="F69" i="15"/>
  <c r="G19" i="8"/>
  <c r="F13" i="9" s="1"/>
  <c r="L52" i="3"/>
  <c r="L54" i="3" s="1"/>
  <c r="I103" i="2"/>
  <c r="H52" i="3"/>
  <c r="H54" i="3" s="1"/>
  <c r="H103" i="2"/>
  <c r="G69" i="15"/>
  <c r="H19" i="8"/>
  <c r="G13" i="9" s="1"/>
  <c r="K146" i="25"/>
  <c r="L145" i="25"/>
  <c r="F146" i="25"/>
  <c r="G145" i="25"/>
  <c r="H29" i="8" l="1"/>
  <c r="H42" i="8" s="1"/>
  <c r="G29" i="8"/>
  <c r="G42" i="8" s="1"/>
  <c r="L146" i="25"/>
  <c r="K147" i="25"/>
  <c r="G146" i="25"/>
  <c r="F147" i="25"/>
  <c r="K148" i="25" l="1"/>
  <c r="L147" i="25"/>
  <c r="G147" i="25"/>
  <c r="F148" i="25"/>
  <c r="L148" i="25" l="1"/>
  <c r="K149" i="25"/>
  <c r="F149" i="25"/>
  <c r="G148" i="25"/>
  <c r="L149" i="25" l="1"/>
  <c r="K150" i="25"/>
  <c r="F150" i="25"/>
  <c r="G149" i="25"/>
  <c r="L150" i="25" l="1"/>
  <c r="K151" i="25"/>
  <c r="G150" i="25"/>
  <c r="F151" i="25"/>
  <c r="L151" i="25" l="1"/>
  <c r="K152" i="25"/>
  <c r="G151" i="25"/>
  <c r="F152" i="25"/>
  <c r="L152" i="25" l="1"/>
  <c r="K153" i="25"/>
  <c r="F153" i="25"/>
  <c r="G152" i="25"/>
  <c r="K154" i="25" l="1"/>
  <c r="L153" i="25"/>
  <c r="F154" i="25"/>
  <c r="G153" i="25"/>
  <c r="K155" i="25" l="1"/>
  <c r="L154" i="25"/>
  <c r="G154" i="25"/>
  <c r="F155" i="25"/>
  <c r="L155" i="25" l="1"/>
  <c r="K156" i="25"/>
  <c r="G155" i="25"/>
  <c r="F156" i="25"/>
  <c r="K157" i="25" l="1"/>
  <c r="L156" i="25"/>
  <c r="F157" i="25"/>
  <c r="G156" i="25"/>
  <c r="L157" i="25" l="1"/>
  <c r="K158" i="25"/>
  <c r="F158" i="25"/>
  <c r="G157" i="25"/>
  <c r="L158" i="25" l="1"/>
  <c r="K159" i="25"/>
  <c r="G158" i="25"/>
  <c r="F159" i="25"/>
  <c r="K160" i="25" l="1"/>
  <c r="L159" i="25"/>
  <c r="G159" i="25"/>
  <c r="F160" i="25"/>
  <c r="L160" i="25" l="1"/>
  <c r="K161" i="25"/>
  <c r="F161" i="25"/>
  <c r="G160" i="25"/>
  <c r="F162" i="25" l="1"/>
  <c r="G161" i="25"/>
  <c r="K162" i="25"/>
  <c r="L161" i="25"/>
  <c r="G162" i="25" l="1"/>
  <c r="F163" i="25"/>
  <c r="L162" i="25"/>
  <c r="K163" i="25"/>
  <c r="G163" i="25" l="1"/>
  <c r="F164" i="25"/>
  <c r="K164" i="25"/>
  <c r="L163" i="25"/>
  <c r="F165" i="25" l="1"/>
  <c r="G164" i="25"/>
  <c r="L164" i="25"/>
  <c r="K165" i="25"/>
  <c r="F166" i="25" l="1"/>
  <c r="G165" i="25"/>
  <c r="K166" i="25"/>
  <c r="L165" i="25"/>
  <c r="K167" i="25" l="1"/>
  <c r="L166" i="25"/>
  <c r="G166" i="25"/>
  <c r="F167" i="25"/>
  <c r="K168" i="25" l="1"/>
  <c r="L167" i="25"/>
  <c r="G167" i="25"/>
  <c r="F168" i="25"/>
  <c r="K169" i="25" l="1"/>
  <c r="L168" i="25"/>
  <c r="F169" i="25"/>
  <c r="G168" i="25"/>
  <c r="F170" i="25" l="1"/>
  <c r="G169" i="25"/>
  <c r="K170" i="25"/>
  <c r="L169" i="25"/>
  <c r="L170" i="25" l="1"/>
  <c r="K171" i="25"/>
  <c r="L171" i="25" s="1"/>
  <c r="G170" i="25"/>
  <c r="F171" i="25"/>
  <c r="G171" i="25" s="1"/>
</calcChain>
</file>

<file path=xl/comments1.xml><?xml version="1.0" encoding="utf-8"?>
<comments xmlns="http://schemas.openxmlformats.org/spreadsheetml/2006/main">
  <authors>
    <author>Bé Keizer</author>
    <author xml:space="preserve"> </author>
    <author>ReinierG</author>
  </authors>
  <commentList>
    <comment ref="E30" authorId="0" shapeId="0">
      <text>
        <r>
          <rPr>
            <sz val="9"/>
            <color indexed="81"/>
            <rFont val="Tahoma"/>
            <family val="2"/>
          </rPr>
          <t xml:space="preserve">
Betreft regeling sinds het schooljaar 09-10. 
Is in aanvulling op de gewichtenregeling. 
Impulsgebieden zijn na periode 2012-2013 verlengd.</t>
        </r>
      </text>
    </comment>
    <comment ref="E40" authorId="1" shapeId="0">
      <text>
        <r>
          <rPr>
            <b/>
            <sz val="10"/>
            <color indexed="81"/>
            <rFont val="Tahoma"/>
            <family val="2"/>
          </rPr>
          <t xml:space="preserve"> </t>
        </r>
        <r>
          <rPr>
            <sz val="10"/>
            <color indexed="81"/>
            <rFont val="Tahoma"/>
            <family val="2"/>
          </rPr>
          <t xml:space="preserve">
Voor berekening bestuurs GGL:  zie sommatiemodel.</t>
        </r>
      </text>
    </comment>
    <comment ref="E52" authorId="2" shapeId="0">
      <text>
        <r>
          <rPr>
            <sz val="8"/>
            <color indexed="81"/>
            <rFont val="Tahoma"/>
            <family val="2"/>
          </rPr>
          <t xml:space="preserve">
Nederlandstalig onderwijs aan anderstaligen (NOAT, ook wel NT2) Vergoeding voor de kosten van Nederlands onderwijs aan anderstalige leerlingen. Leerlingen uit Suriname, Ned. Antillen en Aruba worden buiten beschouwing gelaten.</t>
        </r>
      </text>
    </comment>
    <comment ref="E62" authorId="2" shapeId="0">
      <text>
        <r>
          <rPr>
            <sz val="8"/>
            <color indexed="81"/>
            <rFont val="Tahoma"/>
            <family val="2"/>
          </rPr>
          <t xml:space="preserve">
Het genormeerd bruto grondoppervlak is afhankelijk van het aantal groepen (G). Zie tabel brutovloeroppervlak voor het aantal m2. werkblad 'Tabellen'</t>
        </r>
      </text>
    </comment>
    <comment ref="E90" authorId="0" shapeId="0">
      <text>
        <r>
          <rPr>
            <sz val="9"/>
            <color indexed="81"/>
            <rFont val="Tahoma"/>
            <family val="2"/>
          </rPr>
          <t xml:space="preserve">
Betreft regeling sinds het schooljaar 09-10. 
Is in aanvulling op de gewichtenregeling. 
Impulsgebieden zijn na periode 2012-2013 verlengd.</t>
        </r>
      </text>
    </comment>
    <comment ref="E103" authorId="0" shapeId="0">
      <text>
        <r>
          <rPr>
            <sz val="9"/>
            <color indexed="81"/>
            <rFont val="Tahoma"/>
            <family val="2"/>
          </rPr>
          <t xml:space="preserve">
Betreft regeling sinds het schooljaar 09-10. 
Is in aanvulling op de gewichtenregeling. 
Impulsgebieden zijn na periode 2012-2013 verlengd.</t>
        </r>
      </text>
    </comment>
    <comment ref="E116" authorId="0" shapeId="0">
      <text>
        <r>
          <rPr>
            <sz val="9"/>
            <color indexed="81"/>
            <rFont val="Tahoma"/>
            <family val="2"/>
          </rPr>
          <t xml:space="preserve">
Betreft regeling sinds het schooljaar 09-10. 
Is in aanvulling op de gewichtenregeling. 
Impulsgebieden zijn na periode 2012-2013 verlengd.</t>
        </r>
      </text>
    </comment>
    <comment ref="E129" authorId="0" shapeId="0">
      <text>
        <r>
          <rPr>
            <sz val="9"/>
            <color indexed="81"/>
            <rFont val="Tahoma"/>
            <family val="2"/>
          </rPr>
          <t xml:space="preserve">
Betreft regeling sinds het schooljaar 09-10. 
Is in aanvulling op de gewichtenregeling. 
Impulsgebieden zijn na periode 2012-2013 verlengd.</t>
        </r>
      </text>
    </comment>
  </commentList>
</comments>
</file>

<file path=xl/comments2.xml><?xml version="1.0" encoding="utf-8"?>
<comments xmlns="http://schemas.openxmlformats.org/spreadsheetml/2006/main">
  <authors>
    <author>Goedhart, R.</author>
  </authors>
  <commentList>
    <comment ref="D36"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F98" authorId="0" shapeId="0">
      <text>
        <r>
          <rPr>
            <sz val="8"/>
            <color indexed="81"/>
            <rFont val="Tahoma"/>
            <family val="2"/>
          </rPr>
          <t>wordt berekend in het werkblad fiebouw</t>
        </r>
      </text>
    </comment>
  </commentList>
</comments>
</file>

<file path=xl/comments3.xml><?xml version="1.0" encoding="utf-8"?>
<comments xmlns="http://schemas.openxmlformats.org/spreadsheetml/2006/main">
  <authors>
    <author>Bé Keizer</author>
    <author xml:space="preserve"> </author>
  </authors>
  <commentList>
    <comment ref="J7" authorId="0" shapeId="0">
      <text>
        <r>
          <rPr>
            <sz val="9"/>
            <color indexed="81"/>
            <rFont val="Tahoma"/>
            <family val="2"/>
          </rPr>
          <t xml:space="preserve">
Als einddatum hier opgeven </t>
        </r>
        <r>
          <rPr>
            <b/>
            <u/>
            <sz val="9"/>
            <color indexed="81"/>
            <rFont val="Tahoma"/>
            <family val="2"/>
          </rPr>
          <t>tot</t>
        </r>
        <r>
          <rPr>
            <sz val="9"/>
            <color indexed="81"/>
            <rFont val="Tahoma"/>
            <family val="2"/>
          </rPr>
          <t xml:space="preserve"> welke datum de aanstelling duurt als die voor de laatste schooldag eindigt.
</t>
        </r>
      </text>
    </comment>
    <comment ref="R7" authorId="1" shapeId="0">
      <text>
        <r>
          <rPr>
            <sz val="10"/>
            <color indexed="81"/>
            <rFont val="Tahoma"/>
            <family val="2"/>
          </rPr>
          <t xml:space="preserve">
Op basis van 98% van de feitelijke-GPL worden de loonkosten voor de school berekend. De overige 2% is van de (personele) bekostiging van de school afgetrokken. Hiermee wordt de BAPO- bovenschools afgedekt en is de BAPO voor de school geen directe factor van belang. </t>
        </r>
      </text>
    </comment>
  </commentList>
</comments>
</file>

<file path=xl/comments4.xml><?xml version="1.0" encoding="utf-8"?>
<comments xmlns="http://schemas.openxmlformats.org/spreadsheetml/2006/main">
  <authors>
    <author>Bé Keizer</author>
    <author xml:space="preserve"> </author>
  </authors>
  <commentList>
    <comment ref="J7" authorId="0" shapeId="0">
      <text>
        <r>
          <rPr>
            <sz val="9"/>
            <color indexed="81"/>
            <rFont val="Tahoma"/>
            <family val="2"/>
          </rPr>
          <t xml:space="preserve">
Als einddatum hier opgeven </t>
        </r>
        <r>
          <rPr>
            <b/>
            <u/>
            <sz val="9"/>
            <color indexed="81"/>
            <rFont val="Tahoma"/>
            <family val="2"/>
          </rPr>
          <t>tot</t>
        </r>
        <r>
          <rPr>
            <sz val="9"/>
            <color indexed="81"/>
            <rFont val="Tahoma"/>
            <family val="2"/>
          </rPr>
          <t xml:space="preserve"> welke datum de aanstelling duurt als die voor de laatste schooldag eindigt.
</t>
        </r>
      </text>
    </comment>
    <comment ref="R7" authorId="1" shapeId="0">
      <text>
        <r>
          <rPr>
            <sz val="10"/>
            <color indexed="81"/>
            <rFont val="Tahoma"/>
            <family val="2"/>
          </rPr>
          <t xml:space="preserve">
Op basis van 98% van de feitelijke-GPL worden de loonkosten voor de school berekend. De overige 2% is van de (personele) bekostiging van de school afgetrokken. Hiermee wordt de BAPO- bovenschools afgedekt en is de BAPO voor de school geen directe factor van belang. </t>
        </r>
      </text>
    </comment>
  </commentList>
</comments>
</file>

<file path=xl/comments5.xml><?xml version="1.0" encoding="utf-8"?>
<comments xmlns="http://schemas.openxmlformats.org/spreadsheetml/2006/main">
  <authors>
    <author>Goedhart, R.</author>
  </authors>
  <commentList>
    <comment ref="D27"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List>
</comments>
</file>

<file path=xl/comments6.xml><?xml version="1.0" encoding="utf-8"?>
<comments xmlns="http://schemas.openxmlformats.org/spreadsheetml/2006/main">
  <authors>
    <author>Goedhart, R.</author>
    <author xml:space="preserve"> </author>
    <author>Bé Keizer</author>
  </authors>
  <commentList>
    <comment ref="D33"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35" authorId="1" shapeId="0">
      <text>
        <r>
          <rPr>
            <sz val="10"/>
            <color indexed="81"/>
            <rFont val="Tahoma"/>
            <family val="2"/>
          </rPr>
          <t xml:space="preserve">
voor bepaling percentage zie www.poraad.nl/toolbox :  Londo bas</t>
        </r>
        <r>
          <rPr>
            <sz val="8"/>
            <color indexed="81"/>
            <rFont val="Tahoma"/>
            <family val="2"/>
          </rPr>
          <t xml:space="preserve">
</t>
        </r>
      </text>
    </comment>
    <comment ref="D99" authorId="0" shapeId="0">
      <text>
        <r>
          <rPr>
            <sz val="8"/>
            <color indexed="81"/>
            <rFont val="Tahoma"/>
            <family val="2"/>
          </rPr>
          <t>worden berekend in de werkbladen mip en act</t>
        </r>
      </text>
    </comment>
    <comment ref="D114" authorId="0" shapeId="0">
      <text>
        <r>
          <rPr>
            <sz val="8"/>
            <color indexed="81"/>
            <rFont val="Tahoma"/>
            <family val="2"/>
          </rPr>
          <t xml:space="preserve">wordt ontleend aan het werkblad mop
</t>
        </r>
      </text>
    </comment>
    <comment ref="L185" authorId="2"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7.xml><?xml version="1.0" encoding="utf-8"?>
<comments xmlns="http://schemas.openxmlformats.org/spreadsheetml/2006/main">
  <authors>
    <author>Goedhart, R.</author>
  </authors>
  <commentList>
    <comment ref="D41" authorId="0"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8.xml><?xml version="1.0" encoding="utf-8"?>
<comments xmlns="http://schemas.openxmlformats.org/spreadsheetml/2006/main">
  <authors>
    <author>Bé Keizer</author>
  </authors>
  <commentList>
    <comment ref="D90" authorId="0" shapeId="0">
      <text>
        <r>
          <rPr>
            <sz val="9"/>
            <color indexed="81"/>
            <rFont val="Tahoma"/>
            <family val="2"/>
          </rPr>
          <t xml:space="preserve">
Aanloopschalen a1 en a2 achterwege gelaten.</t>
        </r>
      </text>
    </comment>
  </commentList>
</comments>
</file>

<file path=xl/comments9.xml><?xml version="1.0" encoding="utf-8"?>
<comments xmlns="http://schemas.openxmlformats.org/spreadsheetml/2006/main">
  <authors>
    <author>Keizer</author>
    <author>Bé Keizer</author>
  </authors>
  <commentList>
    <comment ref="C100" authorId="0" shapeId="0">
      <text>
        <r>
          <rPr>
            <sz val="8"/>
            <color indexed="81"/>
            <rFont val="Tahoma"/>
            <family val="2"/>
          </rPr>
          <t xml:space="preserve">Dit budget is bedoeld om de functie van schoolleider op een kleine school (aantal leerlingen 1 okt  T-1  &lt; 195 ll) aantrekkelijker te maken. </t>
        </r>
      </text>
    </comment>
    <comment ref="A174" authorId="1" shapeId="0">
      <text>
        <r>
          <rPr>
            <sz val="9"/>
            <color indexed="81"/>
            <rFont val="Tahoma"/>
            <family val="2"/>
          </rPr>
          <t xml:space="preserve">
Gebieden zijn na periode tot 2012-2013, ongewijzigd verlengd .
</t>
        </r>
      </text>
    </comment>
  </commentList>
</comments>
</file>

<file path=xl/sharedStrings.xml><?xml version="1.0" encoding="utf-8"?>
<sst xmlns="http://schemas.openxmlformats.org/spreadsheetml/2006/main" count="1063" uniqueCount="532">
  <si>
    <t>Formatie minimaal</t>
  </si>
  <si>
    <t>In het werkblad tabellen (tab) geldt daarentegen dat de gele cellen gewijzigd kunnen worden, de witte niet.</t>
  </si>
  <si>
    <t xml:space="preserve">De eigen beleidsvisie verkrijgt men door het gewenste functiebouwwerk in te vullen. Op die wijze kunt u een simulatie uitvoeren van het </t>
  </si>
  <si>
    <t>gewenste beleid en de budgettaire gevolgen daarvan.</t>
  </si>
  <si>
    <t>2.4 Functiebouwwerk (fiebouw)</t>
  </si>
  <si>
    <t xml:space="preserve">Op grond van de uitgewerkte beleidsvisie is het dan vervolgens mogelijk de realisatie van het functiebouwwerk in de komende </t>
  </si>
  <si>
    <t xml:space="preserve">al hebt vastgelegd. Het invullen vanaf J12 naar beneden volgt de opgave van form t+1. </t>
  </si>
  <si>
    <t>2.5 Personeelsbeleid (persbel)</t>
  </si>
  <si>
    <t>Hier worden de baten berekend conform de laatst bekende gegevens van de regeling budget PB.</t>
  </si>
  <si>
    <t xml:space="preserve">afschrijvingen op inventaris en apparatuur </t>
  </si>
  <si>
    <t>inventaris en apparatuur uit exploitatie</t>
  </si>
  <si>
    <t xml:space="preserve">afschrijving op leermiddelen </t>
  </si>
  <si>
    <t xml:space="preserve">leermiddelen uit exploitatie </t>
  </si>
  <si>
    <t>Totaal baten personeel</t>
  </si>
  <si>
    <t>Saldo personeel</t>
  </si>
  <si>
    <t xml:space="preserve">Overige baten </t>
  </si>
  <si>
    <t>baten werk in opdracht van derden</t>
  </si>
  <si>
    <t>Totaal lasten materieel</t>
  </si>
  <si>
    <t>Saldo materieel</t>
  </si>
  <si>
    <t>Formatie</t>
  </si>
  <si>
    <t>STAAT VAN BATEN EN LASTEN</t>
  </si>
  <si>
    <t>lasten personeeelsbeleid</t>
  </si>
  <si>
    <t>rijksbijdrage OCW</t>
  </si>
  <si>
    <t xml:space="preserve">naam school </t>
  </si>
  <si>
    <t xml:space="preserve">Overdracht naar bestuur </t>
  </si>
  <si>
    <t>Overdracht van bestuur</t>
  </si>
  <si>
    <t xml:space="preserve">Saldo financiële baten en lasten </t>
  </si>
  <si>
    <t>Personeels- en arbeidsmarktbeleid</t>
  </si>
  <si>
    <t>Personele bekostiging</t>
  </si>
  <si>
    <t>Minus: Overdrachten bestuur</t>
  </si>
  <si>
    <t xml:space="preserve">ICT </t>
  </si>
  <si>
    <t xml:space="preserve">Energie en Water </t>
  </si>
  <si>
    <t>EXPLOITATIEKENGETALLEN</t>
  </si>
  <si>
    <t>2. Personeel (pers)</t>
  </si>
  <si>
    <t>2.1 - 2.2 Formatieoverzicht (form t en form t+1)</t>
  </si>
  <si>
    <t>3. Materieel (mat)</t>
  </si>
  <si>
    <t>3.2 Meerjaren investeringsplan (mip)</t>
  </si>
  <si>
    <t>3.3 Activa overzicht (act)</t>
  </si>
  <si>
    <t>4. Staat van baten en lasten  (begr)</t>
  </si>
  <si>
    <t>1. Basisgegevens (geg)</t>
  </si>
  <si>
    <t>o.b.v. percentage rijksbijdragen/ PAB</t>
  </si>
  <si>
    <t>overige lasten</t>
  </si>
  <si>
    <t>college-, cursus-, les- en examengelden</t>
  </si>
  <si>
    <t>4-7 jaar</t>
  </si>
  <si>
    <t>vanaf 8 jaar</t>
  </si>
  <si>
    <t>PERSONEELSBELEID</t>
  </si>
  <si>
    <t>Overgedragen budget personeelsbeleid</t>
  </si>
  <si>
    <t>Totaal baten personeelsbeleid</t>
  </si>
  <si>
    <t>Saldo personeelsbeleid</t>
  </si>
  <si>
    <t>Budget personeelsbeleid</t>
  </si>
  <si>
    <t>overgedragen budget aan bestuur/ personeelsbeleid</t>
  </si>
  <si>
    <t>saldo overdrachten</t>
  </si>
  <si>
    <t>Leerlingprognose</t>
  </si>
  <si>
    <t xml:space="preserve">Dotatie groot onderhoud </t>
  </si>
  <si>
    <t>naar budget voor personeelsbeleid</t>
  </si>
  <si>
    <t>naar materiële instandhouding</t>
  </si>
  <si>
    <t>van budget voor personeelsbeleid</t>
  </si>
  <si>
    <t>van materiële instandhouding</t>
  </si>
  <si>
    <t>Na overdracht tussen budgetten</t>
  </si>
  <si>
    <t>van budget personeel</t>
  </si>
  <si>
    <t>naar budget personeel</t>
  </si>
  <si>
    <t>Totaal baten materieel</t>
  </si>
  <si>
    <t>School ligt in Impulsgebied</t>
  </si>
  <si>
    <t>Bedrag per gewichtenleerling Impulsgebied</t>
  </si>
  <si>
    <t>Vestiging ligt in impulsgebied</t>
  </si>
  <si>
    <t xml:space="preserve">Rijksbijdragen OCW </t>
  </si>
  <si>
    <t xml:space="preserve">ingevoerd die van toepassing zijn. </t>
  </si>
  <si>
    <t>3.1 Meerjaren onderhoudsplan (mop)</t>
  </si>
  <si>
    <t>éénmalig</t>
  </si>
  <si>
    <t>De lasten van personeelsbeleid kunnen ook in dit werkblad worden opgenomen.</t>
  </si>
  <si>
    <t>Overgedragen budget (Rijk) naar bestuursniveau</t>
  </si>
  <si>
    <t>ouderbijdragen</t>
  </si>
  <si>
    <t>Ouderbijdragen</t>
  </si>
  <si>
    <t>Sponsoring</t>
  </si>
  <si>
    <t>Salarissen en sociale lasten</t>
  </si>
  <si>
    <t>salarissen en sociale lasten</t>
  </si>
  <si>
    <t>aantal ll voor kleine school</t>
  </si>
  <si>
    <t>Nevenvestiging 1</t>
  </si>
  <si>
    <t>Nevenvestiging 2</t>
  </si>
  <si>
    <t>Nevenvestiging 3</t>
  </si>
  <si>
    <t>Viercijferige postcode school</t>
  </si>
  <si>
    <t>Brinnummer</t>
  </si>
  <si>
    <t>Postcode-gebieden:</t>
  </si>
  <si>
    <t>Viercijferige postcode hoofdvestiging</t>
  </si>
  <si>
    <t>Viercijferige postcode nevenvestiging</t>
  </si>
  <si>
    <t>Aantal gewichtenleerlingen (0,3 en 1,2)</t>
  </si>
  <si>
    <t>waarvan gewichtenleerling:</t>
  </si>
  <si>
    <t xml:space="preserve">Baten </t>
  </si>
  <si>
    <t xml:space="preserve">Overige lasten </t>
  </si>
  <si>
    <t>Saldo baten en lasten</t>
  </si>
  <si>
    <t>Impulsgebieden onderwijsachterstandenbeleid</t>
  </si>
  <si>
    <t>Alle data voor de bekostiging vindt u op het werkblad tab (Tabellen).</t>
  </si>
  <si>
    <t xml:space="preserve">De baten kunnen worden toegewezen door een percentage in te vullen of een nader te bepalen bedrag t.b.v. de </t>
  </si>
  <si>
    <t xml:space="preserve">overdracht aan het bovenschools niveau. </t>
  </si>
  <si>
    <t>Dit bedrag wordt via het werkblad "som" overgebracht via het sommatiemodel ten gunste van de exploitatie van het bestuurskantoor.</t>
  </si>
  <si>
    <t>De lasten in het kader van de materiële instandhouding kunnen worden onderverdeeld in jaarlijkse en meerjaarlijkse kosten. De meerjaarlijkse</t>
  </si>
  <si>
    <t xml:space="preserve">In de voorschriften voor de jaarrekening PO wordt geen afzonderlijke plaats meer ingeruimd voor de lasten van leermiddelen als zodanig. Om toch de </t>
  </si>
  <si>
    <t xml:space="preserve">positief of negatief is. </t>
  </si>
  <si>
    <t>Voor het (interne) gebruiksgemak is de staat van baten en lasten tevens per schooljaar opgenomen.</t>
  </si>
  <si>
    <t xml:space="preserve">In dit werkblad worden de dotaties opgenomen die ten laste van het materieel budget (huisvestingslasten / dotatie groot onderhoud) van de school </t>
  </si>
  <si>
    <t xml:space="preserve">daarbij horende dotaties rechtstreeks invullen. </t>
  </si>
  <si>
    <t>waarvan voor vroegschoolse educatie</t>
  </si>
  <si>
    <t>Onderwijsachterstandenbeleid</t>
  </si>
  <si>
    <t>wv. voor vroegschoolse educatie</t>
  </si>
  <si>
    <t>Rijksbijdragen OCW (incl. LGF hieronder)</t>
  </si>
  <si>
    <t>een meerjarig zicht op de exploitatie en balans.</t>
  </si>
  <si>
    <t>Op grond van het beschikbare FPE budget en het formatieoverzicht kan vervolgens het functiebouwwerk worden bepaald.</t>
  </si>
  <si>
    <t>Groepsafhankelijke PvE's</t>
  </si>
  <si>
    <t>Leerlingafhankelijke PvE's</t>
  </si>
  <si>
    <t>Totaal</t>
  </si>
  <si>
    <t>Gewichtenregeling</t>
  </si>
  <si>
    <t xml:space="preserve">aantal leerlingen onderbouw </t>
  </si>
  <si>
    <t xml:space="preserve">aantal leerlingen bovenbouw </t>
  </si>
  <si>
    <t>genormeerd aantal groepen (G)</t>
  </si>
  <si>
    <t>schooljaar</t>
  </si>
  <si>
    <t>factor OB</t>
  </si>
  <si>
    <t>factor BB</t>
  </si>
  <si>
    <t>factor gewicht</t>
  </si>
  <si>
    <t>bedrag</t>
  </si>
  <si>
    <t>teldatum leerlingen (t-1) per 1 oktober</t>
  </si>
  <si>
    <t xml:space="preserve">aantal leerlingen </t>
  </si>
  <si>
    <t>termijn</t>
  </si>
  <si>
    <t>genormeerd bruto grondoppervlak (A)</t>
  </si>
  <si>
    <t>stand voorziening  per 31/12</t>
  </si>
  <si>
    <t>aantal leerlingen +3%</t>
  </si>
  <si>
    <t>afschrijving</t>
  </si>
  <si>
    <t>investering</t>
  </si>
  <si>
    <t>(G)</t>
  </si>
  <si>
    <t xml:space="preserve">br. grondopp. </t>
  </si>
  <si>
    <t>(A)</t>
  </si>
  <si>
    <t>factor KST</t>
  </si>
  <si>
    <t>teldatum</t>
  </si>
  <si>
    <t xml:space="preserve">Schoolgewicht </t>
  </si>
  <si>
    <t>nee</t>
  </si>
  <si>
    <t>Gebouwen en terreinen</t>
  </si>
  <si>
    <t>Inventaris en apparatuur</t>
  </si>
  <si>
    <t>Overige materiële vaste activa</t>
  </si>
  <si>
    <t>afschrijvings-</t>
  </si>
  <si>
    <t>omschrijving</t>
  </si>
  <si>
    <t>activagroep</t>
  </si>
  <si>
    <t>kalenderjaar</t>
  </si>
  <si>
    <t>Afschrijvingen</t>
  </si>
  <si>
    <t>Leermiddelen PO</t>
  </si>
  <si>
    <t>beslisregel</t>
  </si>
  <si>
    <t>per jaar</t>
  </si>
  <si>
    <t>totaal</t>
  </si>
  <si>
    <t>bij bepalen 'G'</t>
  </si>
  <si>
    <t>totaal leerlingafhankelijk</t>
  </si>
  <si>
    <t>groepen</t>
  </si>
  <si>
    <t>toename</t>
  </si>
  <si>
    <t>norm na 6</t>
  </si>
  <si>
    <t>extra na 13</t>
  </si>
  <si>
    <t>Aanvullende vergoeding NOAT</t>
  </si>
  <si>
    <t>bovenschools</t>
  </si>
  <si>
    <t>Administratie</t>
  </si>
  <si>
    <t>Schoonmaak</t>
  </si>
  <si>
    <t>schoonmaak personeel</t>
  </si>
  <si>
    <t>huur</t>
  </si>
  <si>
    <t>ICT- leermiddelen uit exploitatie</t>
  </si>
  <si>
    <t>Leermiddelen</t>
  </si>
  <si>
    <t>afschrijving op ICT- apparatuur</t>
  </si>
  <si>
    <t>Huisvestingslasten</t>
  </si>
  <si>
    <t>Investeringen</t>
  </si>
  <si>
    <t>werkelijke stand  per 01-01</t>
  </si>
  <si>
    <t>MEERJARENINVESTERINGSPLAN (MIP)</t>
  </si>
  <si>
    <t>totaal per leerling</t>
  </si>
  <si>
    <t>Personele lasten</t>
  </si>
  <si>
    <t>directie</t>
  </si>
  <si>
    <t xml:space="preserve">onderwijzend personeel </t>
  </si>
  <si>
    <t>onderwijs ondersteunend personeel</t>
  </si>
  <si>
    <t xml:space="preserve">administratief personeel </t>
  </si>
  <si>
    <t>overige administratie lasten</t>
  </si>
  <si>
    <t>schoonmaakmiddelen- en materialen</t>
  </si>
  <si>
    <t>Huisvesting</t>
  </si>
  <si>
    <t>contractkosten inhuur onderhoud</t>
  </si>
  <si>
    <t>afschrijving gebouwen</t>
  </si>
  <si>
    <t xml:space="preserve">dotatie onderhoudsvoorziening </t>
  </si>
  <si>
    <t xml:space="preserve">klein onderhoud en exploitatie </t>
  </si>
  <si>
    <t>ICT- personeel</t>
  </si>
  <si>
    <t>ICT- apparatuur uit exploitatie</t>
  </si>
  <si>
    <t xml:space="preserve">totaal </t>
  </si>
  <si>
    <t>aantal vestigingen</t>
  </si>
  <si>
    <t>drempel gewichtenregeling</t>
  </si>
  <si>
    <t>HOOFD- EN NEVENVESTIGING</t>
  </si>
  <si>
    <t>slechts invullen indien er sprake is van (een) officieel erkende nevenvestiging(en)</t>
  </si>
  <si>
    <t xml:space="preserve">   </t>
  </si>
  <si>
    <t>versie</t>
  </si>
  <si>
    <t>Functies</t>
  </si>
  <si>
    <t>wtf</t>
  </si>
  <si>
    <t>in geld</t>
  </si>
  <si>
    <t>DA</t>
  </si>
  <si>
    <t>DB</t>
  </si>
  <si>
    <t>DBuit</t>
  </si>
  <si>
    <t>DC</t>
  </si>
  <si>
    <t>DCuit</t>
  </si>
  <si>
    <t>DD</t>
  </si>
  <si>
    <t>DE</t>
  </si>
  <si>
    <t>AA</t>
  </si>
  <si>
    <t>AB</t>
  </si>
  <si>
    <t>AC</t>
  </si>
  <si>
    <t>AD</t>
  </si>
  <si>
    <t>AE</t>
  </si>
  <si>
    <t>LA</t>
  </si>
  <si>
    <t>LB</t>
  </si>
  <si>
    <t>LC</t>
  </si>
  <si>
    <t>LD</t>
  </si>
  <si>
    <t>LE</t>
  </si>
  <si>
    <t>LIOa</t>
  </si>
  <si>
    <t>LIOb</t>
  </si>
  <si>
    <t>LA = 1,00</t>
  </si>
  <si>
    <t>Verhoudingstabel</t>
  </si>
  <si>
    <t>onderbouw</t>
  </si>
  <si>
    <t>max regel</t>
  </si>
  <si>
    <t>schaal</t>
  </si>
  <si>
    <t xml:space="preserve"> max salaris </t>
  </si>
  <si>
    <t>bovenbouw</t>
  </si>
  <si>
    <t>meerh bas DA10</t>
  </si>
  <si>
    <t>schoolgewicht</t>
  </si>
  <si>
    <t>meerh bas DA</t>
  </si>
  <si>
    <t>meerh bas DB</t>
  </si>
  <si>
    <t>meerh bas DBuit</t>
  </si>
  <si>
    <t>meerh sbo DB10</t>
  </si>
  <si>
    <t>meerh sbo DB11</t>
  </si>
  <si>
    <t>meerh sbo DC 13</t>
  </si>
  <si>
    <t>meerh sbo DCuit15</t>
  </si>
  <si>
    <t>Directie</t>
  </si>
  <si>
    <t>OP voet</t>
  </si>
  <si>
    <t>OP lftafh.</t>
  </si>
  <si>
    <t>landelijke GGL</t>
  </si>
  <si>
    <t>basisbedrag=</t>
  </si>
  <si>
    <t>schoolleiding kleine school =</t>
  </si>
  <si>
    <t xml:space="preserve">basisbedrag </t>
  </si>
  <si>
    <t>Lasten personeelsbeleid</t>
  </si>
  <si>
    <t>REALISATIE FUNCTIEBOUWWERK</t>
  </si>
  <si>
    <t>Rijksbijdragen OCW</t>
  </si>
  <si>
    <t>Overige baten</t>
  </si>
  <si>
    <t>overige overheidsbijdragen</t>
  </si>
  <si>
    <t>convenant schoolleiding kleine school</t>
  </si>
  <si>
    <t>Procedure:</t>
  </si>
  <si>
    <t>- klik op rechter muisknop</t>
  </si>
  <si>
    <t>onttrekking/ aanschaf</t>
  </si>
  <si>
    <t>in fpe</t>
  </si>
  <si>
    <t>kleine scholentoeslag</t>
  </si>
  <si>
    <t>nevenvestiging</t>
  </si>
  <si>
    <t>directietoeslag</t>
  </si>
  <si>
    <t>saldo</t>
  </si>
  <si>
    <t>begindatum</t>
  </si>
  <si>
    <t>einddatum</t>
  </si>
  <si>
    <t>naam</t>
  </si>
  <si>
    <t>functie</t>
  </si>
  <si>
    <t>(op jaarbasis)</t>
  </si>
  <si>
    <t>aanstelling</t>
  </si>
  <si>
    <t>aantal gewichtsleerlingen</t>
  </si>
  <si>
    <t>uitputting</t>
  </si>
  <si>
    <t>budget</t>
  </si>
  <si>
    <t>in €</t>
  </si>
  <si>
    <t xml:space="preserve">laatste </t>
  </si>
  <si>
    <t>aantal NOAT-leerlingen</t>
  </si>
  <si>
    <t>brinnummer</t>
  </si>
  <si>
    <t>Naam school</t>
  </si>
  <si>
    <t>aantal NOAT- leerlingen + 3%</t>
  </si>
  <si>
    <t>verbruik</t>
  </si>
  <si>
    <t>dagen in jaar</t>
  </si>
  <si>
    <t>indien afwijkend</t>
  </si>
  <si>
    <t>sponsoring</t>
  </si>
  <si>
    <t>overige baten</t>
  </si>
  <si>
    <t>afschrijvingen</t>
  </si>
  <si>
    <t>huisvestingslasten</t>
  </si>
  <si>
    <t>financiële baten</t>
  </si>
  <si>
    <t>financiële lasten</t>
  </si>
  <si>
    <t>Budget personeel</t>
  </si>
  <si>
    <t>Budget materieel</t>
  </si>
  <si>
    <t>overgedragen budget aan bestuur/ personeel</t>
  </si>
  <si>
    <t>overgedragen budget aan bestuur/ materieel</t>
  </si>
  <si>
    <t>investeringen t.l.v. school</t>
  </si>
  <si>
    <t>groot onderhoud t.l.v. school</t>
  </si>
  <si>
    <t>FORMATIEOVERZICHT</t>
  </si>
  <si>
    <t>laatste wijziging</t>
  </si>
  <si>
    <t>aantal leerlingen bas</t>
  </si>
  <si>
    <t>aantal leerlingen sbo</t>
  </si>
  <si>
    <t>afschrijving op ICT- leermiddelen</t>
  </si>
  <si>
    <t>totaal budget personeel in fpe LA (bas)</t>
  </si>
  <si>
    <t>totaal lasten personeel in fpe LA (bas)</t>
  </si>
  <si>
    <t>nog te besteden in fpe LA (bas)</t>
  </si>
  <si>
    <t>totaal budget personeel in fpe LB (sbo)</t>
  </si>
  <si>
    <t>totaal lasten personeel in fpe LB (sbo)</t>
  </si>
  <si>
    <t>nog te besteden in fpe LB (sbo)</t>
  </si>
  <si>
    <t xml:space="preserve">bedrag per leerling </t>
  </si>
  <si>
    <t>bijdrage kleine school</t>
  </si>
  <si>
    <t>jaar van</t>
  </si>
  <si>
    <t>aanschaf</t>
  </si>
  <si>
    <t>Het model is beveiligd met het wachtwoord:</t>
  </si>
  <si>
    <t>Desgewenst kunt u het model dus aanpassen, maar kennis van Excel is dan wel vereist.</t>
  </si>
  <si>
    <t>De invoer van de leerlinggegevens vergt een prognose voor de jaren daarna.</t>
  </si>
  <si>
    <t>bijvoorbeeld als gevolg van natuurlijk verloop dan wel het uitblijven daarvan.</t>
  </si>
  <si>
    <t xml:space="preserve">Voor de invulling van het te realiseren functiebouwwerk op wat langere termijn is het verstandig de toevoeging en vermindering van de formatie </t>
  </si>
  <si>
    <t xml:space="preserve">te beperken tot die componenten die een structureel karakter hebben. De prognose van het aantal leerlingen kan ook leiden tot een toename </t>
  </si>
  <si>
    <t>of afname, zoals uit de prognose blijkt van de omvang van de genormeerde formatie. Uiteraard dient daar rekening mee gehouden te worden.</t>
  </si>
  <si>
    <t>In de tabellen zijn de gegevens opgenomen die betrekking hebben op de onderliggende normeringen voor de bekostiging.</t>
  </si>
  <si>
    <t>Nadere informatie</t>
  </si>
  <si>
    <t>Hebt u vragen of opmerkingen, adviezen enzovoorts over dit instrument dan zijn we daar nieuwsgierig naar:</t>
  </si>
  <si>
    <t xml:space="preserve">Wanneer een werknemer niet volledig werkzaam is geweest in het aangegeven schooljaar, dan moet de begindatum en de eindatum worden </t>
  </si>
  <si>
    <t xml:space="preserve">zijn van het functiebouwwerk dat via het formatieoverzicht ingevuld wordt. Op de onderste regel wordt aangegeven of het beschikbare budget nog </t>
  </si>
  <si>
    <t xml:space="preserve">In de gele cellen doet het model middels een formule een voorstel (veelal uitgaand van een situatie van krimp noch groei). Deze </t>
  </si>
  <si>
    <t>De invoer bij de aangegeven cellen spreekt voor zich. Voor een juiste begroting moeten de witte cellen worden ingevuld.</t>
  </si>
  <si>
    <t xml:space="preserve">Uiteraard moet daarbij rekening gehouden worden met de reële mogelijkheden en onmogelijkheden deze wijzigingen door te voeren, </t>
  </si>
  <si>
    <t xml:space="preserve">van alle scholen bij elkaar opgeteld tezamen met de baten en lasten van het bestuurskantoor. Hierdoor ontstaat ook op bestuursniveau </t>
  </si>
  <si>
    <t>In verband met de berekening van het budget materiële instandhouding (Londo) wordt ook gevraagd om opgave van het aantal leerlingen NOAT.</t>
  </si>
  <si>
    <t>In dit werkblad worden de afschrijvingen bepaald die ten laste van de (materiële) exploitatie van de school worden gebracht.</t>
  </si>
  <si>
    <t>Hiervoor is het vereist dat alle investeringen vanaf 1 januari 2006 en de toekomstige investeringen (gedurende tenminste de komende vijf jaren)</t>
  </si>
  <si>
    <t>in kaart worden gebracht.</t>
  </si>
  <si>
    <t>cellen zijn echter overschrijfbaar / niet beveiligd. De overige cellen zijn beveiligd met een wachtwoord.</t>
  </si>
  <si>
    <t>Er is ook rekening gehouden met de mogelijkheid dat de school bestaat uit een hoofd- en (een door OCW erkende) nevenvestiging.</t>
  </si>
  <si>
    <t>In dit werkblad wordt het beschikbare budget berekend in geld en in formatieruimte in FormatiePlaatsEenheden (FPE).</t>
  </si>
  <si>
    <t>ruimte biedt of dat het beschikbare budget wordt overschreden.</t>
  </si>
  <si>
    <t>VOORZIENING GROOT ONDERHOUD</t>
  </si>
  <si>
    <t>Procedure</t>
  </si>
  <si>
    <t>Stand voorziening onderhoud per 01-01</t>
  </si>
  <si>
    <t>Dotatie vanuit exploitatie (materieel)</t>
  </si>
  <si>
    <t>Onttrekking</t>
  </si>
  <si>
    <t>grootboeknr.</t>
  </si>
  <si>
    <t>Landelijke GPL</t>
  </si>
  <si>
    <t>School zonder nevenvestiging</t>
  </si>
  <si>
    <t>leerlingaantal</t>
  </si>
  <si>
    <t>- meubilair</t>
  </si>
  <si>
    <t>- ICT</t>
  </si>
  <si>
    <t>SOMMATIEGEGEVENS</t>
  </si>
  <si>
    <t>Huidig functiebouwwerk</t>
  </si>
  <si>
    <t>Gewenst functiebouwwerk</t>
  </si>
  <si>
    <t>Wijziging t.o.v. bestaande situatie</t>
  </si>
  <si>
    <t>huisvestings-/ onderhoudspersoneel</t>
  </si>
  <si>
    <t xml:space="preserve">worden gebracht. Wanneer u een meerjarenonderhoudsplan heeft laten opstellen, kunt u de verwachte toekomstige investeringen en de </t>
  </si>
  <si>
    <t>Tevens voegt u toe hetgeen in geld in mindering moet worden gebracht in verband met dekking bestuursbegroting.</t>
  </si>
  <si>
    <t>Bij overige overheidsbijdragen resp. overige baten voegt u toe wat van toepassing is.</t>
  </si>
  <si>
    <t>omrekening naar kalenderjaar</t>
  </si>
  <si>
    <t xml:space="preserve">Salarislasten </t>
  </si>
  <si>
    <t>Waarde activa per 01-01</t>
  </si>
  <si>
    <t>ACTIVAOVERZICHT</t>
  </si>
  <si>
    <t>Waarde activa per 31-12</t>
  </si>
  <si>
    <t>Overgedragen budget personeel</t>
  </si>
  <si>
    <t>BASISGEGEVENS</t>
  </si>
  <si>
    <t>beginschooljaar</t>
  </si>
  <si>
    <t>eind schooljaar</t>
  </si>
  <si>
    <t>Schoolgewicht voor toepassing art. 27 lid 3</t>
  </si>
  <si>
    <t>Dit werkblad geeft een overzicht van de activa, de investeringen en afschrijvingen zoals ingevuld in het werkblad mip.</t>
  </si>
  <si>
    <t>A = leerling</t>
  </si>
  <si>
    <t>B = gewichtsleerling</t>
  </si>
  <si>
    <t>KST vast</t>
  </si>
  <si>
    <t>KST aftrek</t>
  </si>
  <si>
    <t>C = KST geld/ vast</t>
  </si>
  <si>
    <t>Budget PAB</t>
  </si>
  <si>
    <t>Extra vergoeding (swv zonder sbo) in functie LB</t>
  </si>
  <si>
    <t>LB = 1,00</t>
  </si>
  <si>
    <t>Financiële baten en lasten</t>
  </si>
  <si>
    <t xml:space="preserve">Materieel </t>
  </si>
  <si>
    <t>Overige lasten</t>
  </si>
  <si>
    <t>Overige overheidsbijdragen en -subsidies</t>
  </si>
  <si>
    <t>College-, cursus-, les- en examengelden</t>
  </si>
  <si>
    <t>Baten werk in opdracht van derden</t>
  </si>
  <si>
    <t>Baten</t>
  </si>
  <si>
    <t>Lasten</t>
  </si>
  <si>
    <t>Resultaat</t>
  </si>
  <si>
    <t xml:space="preserve">Saldo baten en lasten </t>
  </si>
  <si>
    <t>administratiekantoor</t>
  </si>
  <si>
    <t>schoonmaakbedrijf</t>
  </si>
  <si>
    <t>Aantal gewichtenleerlingen</t>
  </si>
  <si>
    <t>11AA</t>
  </si>
  <si>
    <t>1. Voer per jaar de bestedingen in bij "Onttrekking" die op grond van een recent meerjarenonderhoudsplan (MOP) worden voorgesteld.</t>
  </si>
  <si>
    <t>FPE</t>
  </si>
  <si>
    <t>Geld</t>
  </si>
  <si>
    <t>o.b.v. percentage rijksbijdragen OCW</t>
  </si>
  <si>
    <t>functieomschrijving</t>
  </si>
  <si>
    <t>Functiemix</t>
  </si>
  <si>
    <t>FTE norm</t>
  </si>
  <si>
    <t>FTE werkelijk</t>
  </si>
  <si>
    <t>poraad</t>
  </si>
  <si>
    <t>bekostiging impulsgebieden</t>
  </si>
  <si>
    <t>aanvullende bekostiging schoolleider 1</t>
  </si>
  <si>
    <t>aanvullende bekostiging schoolleider 2</t>
  </si>
  <si>
    <t>NOAT</t>
  </si>
  <si>
    <t>Normatieve Rijksbijdrage OCW</t>
  </si>
  <si>
    <t>Salarissen en sociale lasten (functiebouwwerk)</t>
  </si>
  <si>
    <t>2. Verdeel de dotatielasten gelijkmatig over de jaren heen (egalisatie van kosten) op een dergelijke manier dat deze voorziening nooit negatief zal uitvallen.</t>
  </si>
  <si>
    <t>2015/16</t>
  </si>
  <si>
    <t>C = KST geld/ leerling (vermindering)</t>
  </si>
  <si>
    <t>correctie KST (vermindering per ll)</t>
  </si>
  <si>
    <t>1. Selecteer lichtgeel gearceerde gebied in dit werkblad</t>
  </si>
  <si>
    <t>Die opgave vanaf J12 kunt u alleen wijzigen door de gegevens in form t+1 te veranderen.</t>
  </si>
  <si>
    <t>www. poraad.nl</t>
  </si>
  <si>
    <t xml:space="preserve">In de kolommen onder "Huidig functiebouwwerk" zijn de gegevens gehaald uit het werkblad 'form t'. Die geeft dan in principe de stand van zaken weer per 1 augustus </t>
  </si>
  <si>
    <t xml:space="preserve">SIMULATIE: VAN HUIDIG NAAR GEWENST FUNCTIEBOUWWERK </t>
  </si>
  <si>
    <t xml:space="preserve">Baten en lasten </t>
  </si>
  <si>
    <t>www.poraad.nl</t>
  </si>
  <si>
    <t>WG-lasten</t>
  </si>
  <si>
    <t>In dit werkblad is het de bedoeling dat de relatie wordt gelegd tussen de prioriteiten in het Schoolplan en de meerjarenbegroting.</t>
  </si>
  <si>
    <t>aantal cumi leerlingen sbo</t>
  </si>
  <si>
    <t>2016/17</t>
  </si>
  <si>
    <t xml:space="preserve">Hoofdvestiging </t>
  </si>
  <si>
    <t>2. Open sommatietiemodel</t>
  </si>
  <si>
    <t xml:space="preserve">- ga in linkerbovenhoek staan van het lichtgeel gearceerde gebied waarin selectie van deze school geplakt moet worden </t>
  </si>
  <si>
    <t>- klik op optie "plakken speciaal" en vink "waarden" aan (onder kopje "plakken")</t>
  </si>
  <si>
    <t>Overdracht budgetten</t>
  </si>
  <si>
    <t>waarde 1/1</t>
  </si>
  <si>
    <t>aanschaf-</t>
  </si>
  <si>
    <t>prijs</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</si>
  <si>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</si>
  <si>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</si>
  <si>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</si>
  <si>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</si>
  <si>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</si>
  <si>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</si>
  <si>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</si>
  <si>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</si>
  <si>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</si>
  <si>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5.1 Financiële baten</t>
  </si>
  <si>
    <t>5.2 Financiële lasten</t>
  </si>
  <si>
    <t>onderbouwformatie (vast deel)</t>
  </si>
  <si>
    <t>onderbouwformatie (leeftijdsafhankelijk deel)</t>
  </si>
  <si>
    <t>bovenbouwformatie (vast deel)</t>
  </si>
  <si>
    <t>bovenbouwformatie (leeftijdsafhankelijk deel)</t>
  </si>
  <si>
    <t>onderw.achterst. (vast deel) (schoolgewicht)</t>
  </si>
  <si>
    <t>onderw.achterst. (leeftijdsafhankelijk deel) (schoolgewicht)</t>
  </si>
  <si>
    <t>wv. vroegschoolse educatie (vast deel)</t>
  </si>
  <si>
    <t>wv. vroegschoolse educatie (leeftijdsafhankelijk deel)</t>
  </si>
  <si>
    <t>voet kleine scholen toeslag (vast deel)</t>
  </si>
  <si>
    <t>voet kleine scholen toeslag (leeftijdsafhankelijk deel)</t>
  </si>
  <si>
    <t>aftrek kleine scholen toeslag (vast deel)</t>
  </si>
  <si>
    <t>aftrek kleine scholen toeslag (leeftijdsafhankelijk deel)</t>
  </si>
  <si>
    <t>zeer kleine scholen toeslag (vast deel)</t>
  </si>
  <si>
    <t>zeer kleine scholen toeslag (leeftijdsafhankelijk deel)</t>
  </si>
  <si>
    <t>omslagpunt lln. directietoeslag</t>
  </si>
  <si>
    <t>toeslag directie</t>
  </si>
  <si>
    <t>Bestuurs- en Feitelijke- GPL</t>
  </si>
  <si>
    <t>PERSONEEL</t>
  </si>
  <si>
    <t>Totaal FPE</t>
  </si>
  <si>
    <t>Totale loonkosten</t>
  </si>
  <si>
    <t>Opmerkingen</t>
  </si>
  <si>
    <t>Het verschil tussen de bestuurs- en de feitelijke-GPL is het</t>
  </si>
  <si>
    <t xml:space="preserve">Bestuurs-GGL  </t>
  </si>
  <si>
    <t>MATERIEEL</t>
  </si>
  <si>
    <t xml:space="preserve">formatieve plaatje: de onderwijskundige visie wordt vertaald in het gewenste functiebouwwerk. Bij de simulatie van het huidige naar het gewenste functiebouwwerk </t>
  </si>
  <si>
    <t>is het budget gelijk gehouden, daarmee wordt de visie centraal gesteld binnen de beschikbare mogelijkheden.</t>
  </si>
  <si>
    <t>- voorwaarde</t>
  </si>
  <si>
    <t>Kengetallen PO</t>
  </si>
  <si>
    <t>Bij de berekening in geld wordt uitgegaan van de feitelijke- GPL waarvoor gekozen is.</t>
  </si>
  <si>
    <t>Systematisch wordt bijgehouden hoe groot het beschikbare budget is in geld resp. FPE en wat de kosten.</t>
  </si>
  <si>
    <t xml:space="preserve">Dit werkblad geeft een overzicht van alle baten en lasten per kalenderjaar en geeft daarom aan  of het resultaat van deze school  </t>
  </si>
  <si>
    <t>Prestatiebox</t>
  </si>
  <si>
    <t>bedrag per leerling</t>
  </si>
  <si>
    <t>bedrag per school</t>
  </si>
  <si>
    <t>2017/18</t>
  </si>
  <si>
    <t>schooljaren  op te geven. Dan kan men dus toewerken naar het gewenste functiebouwwerk!</t>
  </si>
  <si>
    <t>De baten worden op kalenderjaar berekend conform de Rijksbijdrage, conform de laatst bekende gegevens van de Londo-regeling .</t>
  </si>
  <si>
    <t xml:space="preserve">prestatiebox </t>
  </si>
  <si>
    <t>Speerpunt 1</t>
  </si>
  <si>
    <t>doel</t>
  </si>
  <si>
    <t>activiteit</t>
  </si>
  <si>
    <t>wie</t>
  </si>
  <si>
    <t>toelichting</t>
  </si>
  <si>
    <t xml:space="preserve">materiële kosten </t>
  </si>
  <si>
    <t>Speerpunt 2</t>
  </si>
  <si>
    <t>Speerpunt 3</t>
  </si>
  <si>
    <t>zeer kleine scholen toeslag</t>
  </si>
  <si>
    <t xml:space="preserve">van het huidige schooljaar. In de kolommen onder "Gewenst functiebouwwerk" dient het gewenste onderwijskundig beleid vertaald te worden naar het gewenste </t>
  </si>
  <si>
    <t>bedrag per schoolgewicht</t>
  </si>
  <si>
    <t xml:space="preserve">onder Start/Opmaak/Beveiliging/Blad beveiligen. </t>
  </si>
  <si>
    <t>Nieuw is de bijzondere bekostiging onder Overige OCW subsidies voor de Prestatiebox.</t>
  </si>
  <si>
    <t xml:space="preserve">Door een vast percentage over het hele MI-budget te bepalen kunnen gelden van de school bovenschools worden gebracht. </t>
  </si>
  <si>
    <t>Daartoe wordt gevraagd naar de drie belangrijkste speerpunten en vervolgens worden nadere gegevens per speerpunt gevraagd.</t>
  </si>
  <si>
    <t xml:space="preserve">Een nauwkeurige opgave van het verwachte leerlingenaantal is essentieel en zorgt voor een zo deugdelijk mogelijke begroting van de inkomsten. </t>
  </si>
  <si>
    <t>Het is van belang om uit te gaan van de bestuurs-GPL en de feitelijke-GPL. De bestuurs-GPL kunt u berekenen middels het sommatiemodel FPE.</t>
  </si>
  <si>
    <t xml:space="preserve">gegevens voor de verplichte kengetallen te verkrijgen dient bij overige lasten de jaarlijkse lasten m.b.t. de leermiddelen en ICT afzonderlijk </t>
  </si>
  <si>
    <t>opgenomen te worden.</t>
  </si>
  <si>
    <t xml:space="preserve">kosten, te weten dotatie onderhoud resp. afschrijvingen, zijn opgenomen in de werkbladen "mop" en "mip". Voor de jaarlijkse kosten moet voor de </t>
  </si>
  <si>
    <t>komende vier jaren een prognose worden gemaakt.</t>
  </si>
  <si>
    <t>De gegevens en prognose geven alle data die voor de berekening noodzakelijk zijn, excl. de gegevens voor de toekenning van de rugzakken.</t>
  </si>
  <si>
    <t>Deze informatie is zuiver ter nadere informatie.</t>
  </si>
  <si>
    <t>formatieve kosten</t>
  </si>
  <si>
    <t>overige personele kosten</t>
  </si>
  <si>
    <t>totale kosten</t>
  </si>
  <si>
    <t>WTF</t>
  </si>
  <si>
    <t>kosten</t>
  </si>
  <si>
    <t>Speerpunt 4</t>
  </si>
  <si>
    <t>ID1</t>
  </si>
  <si>
    <t>ID2</t>
  </si>
  <si>
    <t>ID3</t>
  </si>
  <si>
    <t>meerh bas DA11</t>
  </si>
  <si>
    <t>meerh sbo DC13</t>
  </si>
  <si>
    <t>2018/19</t>
  </si>
  <si>
    <t>indexering:</t>
  </si>
  <si>
    <t>2.3 Simulatie (sim)</t>
  </si>
  <si>
    <t>2019/20</t>
  </si>
  <si>
    <t>vanuit samenwerkingsverband passend onderwijs</t>
  </si>
  <si>
    <t>Vanuit samenwerkingsverband passend onderwijs</t>
  </si>
  <si>
    <t>Basisschool</t>
  </si>
  <si>
    <r>
      <t xml:space="preserve">Afschrijvingen (vanuit </t>
    </r>
    <r>
      <rPr>
        <b/>
        <u/>
        <sz val="10"/>
        <color theme="1" tint="0.34998626667073579"/>
        <rFont val="Calibri"/>
        <family val="2"/>
      </rPr>
      <t>eerste waardering</t>
    </r>
    <r>
      <rPr>
        <b/>
        <sz val="10"/>
        <color theme="1" tint="0.34998626667073579"/>
        <rFont val="Calibri"/>
        <family val="2"/>
      </rPr>
      <t>)</t>
    </r>
  </si>
  <si>
    <t>artikel 2 t/m5</t>
  </si>
  <si>
    <t>artikel 6</t>
  </si>
  <si>
    <t>Personeelslasten</t>
  </si>
  <si>
    <t>Bestuurs-GPL (voor berekenen bekostiging)</t>
  </si>
  <si>
    <t>Feitelijke-GPL (voor berekenen personele kosten)</t>
  </si>
  <si>
    <t>verschil tussen personele bekostiging en personele kosten,</t>
  </si>
  <si>
    <t xml:space="preserve"> uitgaande van de normfunctie LA.</t>
  </si>
  <si>
    <t>De feitelijke GPL wordt berekend door de loonkosten</t>
  </si>
  <si>
    <t xml:space="preserve">aantal in te zetten FPE. </t>
  </si>
  <si>
    <r>
      <t xml:space="preserve">In vorige modellen werd de gehanteerde GPL gesplitst in het loonkostendeel en in het BAPO-deel. Op die wijze werd het </t>
    </r>
    <r>
      <rPr>
        <u/>
        <sz val="10"/>
        <rFont val="Calibri"/>
        <family val="2"/>
      </rPr>
      <t>verbruik</t>
    </r>
    <r>
      <rPr>
        <sz val="10"/>
        <rFont val="Calibri"/>
        <family val="2"/>
      </rPr>
      <t xml:space="preserve"> gekoppeld </t>
    </r>
  </si>
  <si>
    <t>aan de loonkosten en wordt het BAPO-deel op het werkblad pers overgedragen aan het bestuur. Door afschaffing van de BAPO in de cao 2014</t>
  </si>
  <si>
    <t>is dit losgelaten. De kosten van duurzame inzetbaarheid moeten in dit model volledig worden meegenomen in de feitelijke GPL</t>
  </si>
  <si>
    <t xml:space="preserve">In het model van vorig jaar moest, wanneer een werknemer gebruik maakte van de BAPO- regeling,  het gedeelte van zijn WTF waarvoor deze </t>
  </si>
  <si>
    <t xml:space="preserve">werknemer bapo opnam, een aparte regel worden ingevoerd. Hierbij moest de bapofactor worden aangegeven als een negatief getal. </t>
  </si>
  <si>
    <t>Doordat de BAPO is afgeschaft en doordat de kosten van de duurzame inzetbaarheidsregeling worden verwerkt in de feitelijke GPL, moet dit</t>
  </si>
  <si>
    <t>niet meer plaatsvinden. Er is dus geen sprake meer van een negatieve WTF!</t>
  </si>
  <si>
    <t>Reinier Goedhart, e-mail: r.goedhart@poraad.nl</t>
  </si>
  <si>
    <t>3.4 Beleid (verborgen)</t>
  </si>
  <si>
    <t>2020/21</t>
  </si>
  <si>
    <t>Overige Rijksbijdragen OCW</t>
  </si>
  <si>
    <t>Vanuit amenwerkingsverband passend onderwijs</t>
  </si>
  <si>
    <t>o.b.v. percentage normatieve rijksbijdragen</t>
  </si>
  <si>
    <t>Totale baten/ leerling</t>
  </si>
  <si>
    <t>Totale lasten/ leerling</t>
  </si>
  <si>
    <t>Handleiding bij Meerjarenbegroting FPE voor de basisschool 2017</t>
  </si>
  <si>
    <t>5. Sommatie (som)</t>
  </si>
  <si>
    <r>
      <t xml:space="preserve">De gegevens van dit werkblad kunnen eenvoudig worden getransporteerd naar het </t>
    </r>
    <r>
      <rPr>
        <b/>
        <sz val="10"/>
        <color rgb="FFC00000"/>
        <rFont val="Calibri"/>
        <family val="2"/>
      </rPr>
      <t>Sommatiemodel bestuur FPE 2017</t>
    </r>
    <r>
      <rPr>
        <sz val="10"/>
        <rFont val="Calibri"/>
        <family val="2"/>
      </rPr>
      <t xml:space="preserve">. In dit model wordt de informatie </t>
    </r>
  </si>
  <si>
    <t>6. Tabellen (tab)</t>
  </si>
  <si>
    <r>
      <t xml:space="preserve">In deze werkbladen wordt per werknemer zowel het verbruik in FPE als de lasten in € berekend voor het schooljaar </t>
    </r>
    <r>
      <rPr>
        <b/>
        <sz val="10"/>
        <color rgb="FFC00000"/>
        <rFont val="Calibri"/>
        <family val="2"/>
      </rPr>
      <t>2016-2017</t>
    </r>
    <r>
      <rPr>
        <sz val="10"/>
        <rFont val="Calibri"/>
        <family val="2"/>
      </rPr>
      <t xml:space="preserve"> en </t>
    </r>
    <r>
      <rPr>
        <b/>
        <sz val="10"/>
        <color rgb="FFC00000"/>
        <rFont val="Calibri"/>
        <family val="2"/>
      </rPr>
      <t>2017-2018</t>
    </r>
    <r>
      <rPr>
        <sz val="10"/>
        <color rgb="FFC00000"/>
        <rFont val="Calibri"/>
        <family val="2"/>
      </rPr>
      <t xml:space="preserve">. </t>
    </r>
  </si>
  <si>
    <r>
      <t xml:space="preserve">Het invullen voor de schooljaren </t>
    </r>
    <r>
      <rPr>
        <b/>
        <sz val="10"/>
        <color rgb="FFC00000"/>
        <rFont val="Calibri"/>
        <family val="2"/>
      </rPr>
      <t>2016-2017</t>
    </r>
    <r>
      <rPr>
        <sz val="10"/>
        <rFont val="Calibri"/>
        <family val="2"/>
      </rPr>
      <t xml:space="preserve"> en </t>
    </r>
    <r>
      <rPr>
        <b/>
        <sz val="10"/>
        <color rgb="FFC00000"/>
        <rFont val="Calibri"/>
        <family val="2"/>
      </rPr>
      <t>2017-2018</t>
    </r>
    <r>
      <rPr>
        <sz val="10"/>
        <rFont val="Calibri"/>
        <family val="2"/>
      </rPr>
      <t xml:space="preserve"> is beveiligd omdat het hier gaat om de weergave van hetgeen u in form t resp. form t+1 </t>
    </r>
  </si>
  <si>
    <t>Speerpunt 5</t>
  </si>
  <si>
    <t>BEGROTING 2017: LINK BEGROTING MET BELEIDSPLAN</t>
  </si>
  <si>
    <r>
      <t xml:space="preserve">van </t>
    </r>
    <r>
      <rPr>
        <b/>
        <i/>
        <sz val="10"/>
        <color theme="1" tint="0.34998626667073579"/>
        <rFont val="Calibri"/>
        <family val="2"/>
      </rPr>
      <t>2015/2016</t>
    </r>
    <r>
      <rPr>
        <i/>
        <sz val="10"/>
        <color theme="1" tint="0.34998626667073579"/>
        <rFont val="Calibri"/>
        <family val="2"/>
      </rPr>
      <t xml:space="preserve"> (op bestuursniveau), dan wel de loonkosten</t>
    </r>
  </si>
  <si>
    <r>
      <t xml:space="preserve">begroting </t>
    </r>
    <r>
      <rPr>
        <b/>
        <i/>
        <sz val="10"/>
        <color theme="1" tint="0.34998626667073579"/>
        <rFont val="Calibri"/>
        <family val="2"/>
      </rPr>
      <t>2016/2017</t>
    </r>
    <r>
      <rPr>
        <i/>
        <sz val="10"/>
        <color theme="1" tint="0.34998626667073579"/>
        <rFont val="Calibri"/>
        <family val="2"/>
      </rPr>
      <t xml:space="preserve"> (op bestuursniveau) te delen op het totaal </t>
    </r>
  </si>
  <si>
    <r>
      <t xml:space="preserve">En de data voor de MI van </t>
    </r>
    <r>
      <rPr>
        <b/>
        <sz val="10"/>
        <color rgb="FFC00000"/>
        <rFont val="Calibri"/>
        <family val="2"/>
      </rPr>
      <t xml:space="preserve">2017 </t>
    </r>
    <r>
      <rPr>
        <sz val="10"/>
        <rFont val="Calibri"/>
        <family val="2"/>
      </rPr>
      <t xml:space="preserve">zoals die in </t>
    </r>
    <r>
      <rPr>
        <b/>
        <sz val="10"/>
        <color rgb="FFC00000"/>
        <rFont val="Calibri"/>
        <family val="2"/>
      </rPr>
      <t>september 2016</t>
    </r>
    <r>
      <rPr>
        <sz val="10"/>
        <rFont val="Calibri"/>
        <family val="2"/>
      </rPr>
      <t xml:space="preserve"> bekend zijn gemaakt. </t>
    </r>
  </si>
  <si>
    <r>
      <t xml:space="preserve">In deze applicatie zijn de bedragen vanvanuit de regeling bekostiging voor </t>
    </r>
    <r>
      <rPr>
        <b/>
        <sz val="10"/>
        <color rgb="FFC00000"/>
        <rFont val="Calibri"/>
        <family val="2"/>
      </rPr>
      <t>2016-2017</t>
    </r>
    <r>
      <rPr>
        <b/>
        <sz val="10"/>
        <rFont val="Calibri"/>
        <family val="2"/>
      </rPr>
      <t xml:space="preserve"> </t>
    </r>
    <r>
      <rPr>
        <sz val="10"/>
        <rFont val="Calibri"/>
        <family val="2"/>
      </rPr>
      <t>ook verwerkt  (oktober</t>
    </r>
    <r>
      <rPr>
        <b/>
        <sz val="10"/>
        <color rgb="FFC00000"/>
        <rFont val="Calibri"/>
        <family val="2"/>
      </rPr>
      <t xml:space="preserve"> 2016</t>
    </r>
    <r>
      <rPr>
        <b/>
        <sz val="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</si>
</sst>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 #,##0_ ;_ &quot;€&quot;\ * \-#,##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_-;_-&quot;€&quot;\ * #,##0\-;_-&quot;€&quot;\ * &quot;-&quot;??_-;_-@_-"/>
    <numFmt numFmtId="168" formatCode="&quot;€&quot;\ #,##0_-"/>
    <numFmt numFmtId="169" formatCode="#,##0_ ;\-#,##0\ "/>
    <numFmt numFmtId="170" formatCode="#,##0.00_ ;\-#,##0.00\ "/>
    <numFmt numFmtId="171" formatCode="0.0000"/>
    <numFmt numFmtId="172" formatCode="d\ mmmm\ yyyy"/>
    <numFmt numFmtId="173" formatCode="dd/mm/yy"/>
    <numFmt numFmtId="174" formatCode="0.0%"/>
    <numFmt numFmtId="175" formatCode="#,##0.0000_ ;\-#,##0.0000\ "/>
    <numFmt numFmtId="176" formatCode="d/mm/yy;@"/>
    <numFmt numFmtId="177" formatCode="d/mmm/yyyy"/>
    <numFmt numFmtId="178" formatCode="_-&quot;€&quot;\ * #,##0.00_-;_-&quot;€&quot;\ * #,##0.00\-;_-&quot;€&quot;\ * &quot;-&quot;_-;_-@_-"/>
  </numFmts>
  <fonts count="75" x14ac:knownFonts="1">
    <font>
      <sz val="10"/>
      <name val="Arial"/>
    </font>
    <font>
      <sz val="10"/>
      <name val="Arial"/>
      <family val="2"/>
    </font>
    <font>
      <sz val="8"/>
      <color indexed="81"/>
      <name val="Tahoma"/>
      <family val="2"/>
    </font>
    <font>
      <sz val="9"/>
      <color indexed="81"/>
      <name val="Tahoma"/>
      <family val="2"/>
    </font>
    <font>
      <b/>
      <u/>
      <sz val="9"/>
      <color indexed="81"/>
      <name val="Tahoma"/>
      <family val="2"/>
    </font>
    <font>
      <sz val="10"/>
      <color indexed="81"/>
      <name val="Tahoma"/>
      <family val="2"/>
    </font>
    <font>
      <sz val="10"/>
      <name val="Calibri"/>
      <family val="2"/>
    </font>
    <font>
      <b/>
      <sz val="10"/>
      <name val="Calibri"/>
      <family val="2"/>
    </font>
    <font>
      <sz val="10"/>
      <color indexed="10"/>
      <name val="Calibri"/>
      <family val="2"/>
    </font>
    <font>
      <u/>
      <sz val="10"/>
      <name val="Calibri"/>
      <family val="2"/>
    </font>
    <font>
      <sz val="10"/>
      <name val="Calibri"/>
      <family val="2"/>
    </font>
    <font>
      <b/>
      <i/>
      <sz val="10"/>
      <name val="Calibri"/>
      <family val="2"/>
    </font>
    <font>
      <i/>
      <sz val="10"/>
      <name val="Calibri"/>
      <family val="2"/>
    </font>
    <font>
      <b/>
      <sz val="10"/>
      <name val="Calibri"/>
      <family val="2"/>
    </font>
    <font>
      <sz val="14"/>
      <name val="Calibri"/>
      <family val="2"/>
    </font>
    <font>
      <b/>
      <sz val="14"/>
      <name val="Calibri"/>
      <family val="2"/>
    </font>
    <font>
      <b/>
      <sz val="14"/>
      <color indexed="10"/>
      <name val="Calibri"/>
      <family val="2"/>
    </font>
    <font>
      <sz val="10"/>
      <color indexed="10"/>
      <name val="Calibri"/>
      <family val="2"/>
    </font>
    <font>
      <i/>
      <sz val="10"/>
      <color indexed="10"/>
      <name val="Calibri"/>
      <family val="2"/>
    </font>
    <font>
      <b/>
      <i/>
      <sz val="10"/>
      <color indexed="10"/>
      <name val="Calibri"/>
      <family val="2"/>
    </font>
    <font>
      <b/>
      <sz val="10"/>
      <color indexed="10"/>
      <name val="Calibri"/>
      <family val="2"/>
    </font>
    <font>
      <sz val="10"/>
      <color indexed="47"/>
      <name val="Calibri"/>
      <family val="2"/>
    </font>
    <font>
      <b/>
      <i/>
      <sz val="10"/>
      <color indexed="47"/>
      <name val="Calibri"/>
      <family val="2"/>
    </font>
    <font>
      <sz val="14"/>
      <color indexed="10"/>
      <name val="Calibri"/>
      <family val="2"/>
    </font>
    <font>
      <b/>
      <sz val="8"/>
      <name val="Calibri"/>
      <family val="2"/>
    </font>
    <font>
      <b/>
      <sz val="10"/>
      <color indexed="9"/>
      <name val="Calibri"/>
      <family val="2"/>
    </font>
    <font>
      <sz val="10"/>
      <color indexed="51"/>
      <name val="Calibri"/>
      <family val="2"/>
    </font>
    <font>
      <sz val="10"/>
      <color indexed="47"/>
      <name val="Calibri"/>
      <family val="2"/>
    </font>
    <font>
      <sz val="8"/>
      <name val="Arial"/>
      <family val="2"/>
    </font>
    <font>
      <b/>
      <sz val="11"/>
      <color indexed="9"/>
      <name val="Calibri"/>
      <family val="2"/>
    </font>
    <font>
      <b/>
      <sz val="11"/>
      <color indexed="9"/>
      <name val="Calibri"/>
      <family val="2"/>
    </font>
    <font>
      <i/>
      <sz val="12"/>
      <name val="Calibri"/>
      <family val="2"/>
    </font>
    <font>
      <b/>
      <sz val="14"/>
      <color rgb="FFC00000"/>
      <name val="Calibri"/>
      <family val="2"/>
    </font>
    <font>
      <b/>
      <sz val="10"/>
      <color rgb="FFC00000"/>
      <name val="Calibri"/>
      <family val="2"/>
    </font>
    <font>
      <b/>
      <i/>
      <sz val="10"/>
      <color rgb="FFC00000"/>
      <name val="Calibri"/>
      <family val="2"/>
    </font>
    <font>
      <sz val="10"/>
      <color rgb="FFC00000"/>
      <name val="Calibri"/>
      <family val="2"/>
    </font>
    <font>
      <sz val="14"/>
      <color rgb="FFC00000"/>
      <name val="Calibri"/>
      <family val="2"/>
    </font>
    <font>
      <i/>
      <sz val="10"/>
      <color rgb="FFC00000"/>
      <name val="Calibri"/>
      <family val="2"/>
    </font>
    <font>
      <sz val="10"/>
      <color theme="0" tint="-4.9989318521683403E-2"/>
      <name val="Calibri"/>
      <family val="2"/>
    </font>
    <font>
      <sz val="10"/>
      <color rgb="FF0070C0"/>
      <name val="Calibri"/>
      <family val="2"/>
    </font>
    <font>
      <b/>
      <sz val="10"/>
      <color rgb="FF0070C0"/>
      <name val="Calibri"/>
      <family val="2"/>
    </font>
    <font>
      <b/>
      <i/>
      <sz val="10"/>
      <color rgb="FF0070C0"/>
      <name val="Calibri"/>
      <family val="2"/>
    </font>
    <font>
      <sz val="10"/>
      <color rgb="FFFF0000"/>
      <name val="Calibri"/>
      <family val="2"/>
    </font>
    <font>
      <i/>
      <sz val="10"/>
      <color rgb="FFFF0000"/>
      <name val="Calibri"/>
      <family val="2"/>
    </font>
    <font>
      <b/>
      <sz val="10"/>
      <color rgb="FFFF0000"/>
      <name val="Calibri"/>
      <family val="2"/>
    </font>
    <font>
      <b/>
      <sz val="10"/>
      <color theme="1"/>
      <name val="Calibri"/>
      <family val="2"/>
    </font>
    <font>
      <sz val="10"/>
      <color theme="1"/>
      <name val="Calibri"/>
      <family val="2"/>
    </font>
    <font>
      <i/>
      <sz val="10"/>
      <color rgb="FF0070C0"/>
      <name val="Calibri"/>
      <family val="2"/>
    </font>
    <font>
      <i/>
      <sz val="10"/>
      <color theme="1"/>
      <name val="Calibri"/>
      <family val="2"/>
    </font>
    <font>
      <b/>
      <sz val="11"/>
      <color rgb="FFC00000"/>
      <name val="Calibri"/>
      <family val="2"/>
    </font>
    <font>
      <b/>
      <i/>
      <sz val="10"/>
      <color theme="1"/>
      <name val="Calibri"/>
      <family val="2"/>
    </font>
    <font>
      <i/>
      <sz val="10"/>
      <color theme="0" tint="-4.9989318521683403E-2"/>
      <name val="Calibri"/>
      <family val="2"/>
    </font>
    <font>
      <b/>
      <sz val="10"/>
      <color indexed="81"/>
      <name val="Tahoma"/>
      <family val="2"/>
    </font>
    <font>
      <b/>
      <i/>
      <sz val="14"/>
      <name val="Calibri"/>
      <family val="2"/>
    </font>
    <font>
      <sz val="10"/>
      <color theme="0" tint="-0.34998626667073579"/>
      <name val="Calibri"/>
      <family val="2"/>
    </font>
    <font>
      <sz val="10"/>
      <color indexed="8"/>
      <name val="Calibri"/>
      <family val="2"/>
    </font>
    <font>
      <i/>
      <sz val="10"/>
      <color indexed="8"/>
      <name val="Calibri"/>
      <family val="2"/>
    </font>
    <font>
      <sz val="10"/>
      <color indexed="60"/>
      <name val="Calibri"/>
      <family val="2"/>
    </font>
    <font>
      <i/>
      <sz val="10"/>
      <color indexed="60"/>
      <name val="Calibri"/>
      <family val="2"/>
    </font>
    <font>
      <sz val="14"/>
      <color indexed="60"/>
      <name val="Calibri"/>
      <family val="2"/>
    </font>
    <font>
      <b/>
      <sz val="10"/>
      <color theme="0" tint="-0.499984740745262"/>
      <name val="Calibri"/>
      <family val="2"/>
    </font>
    <font>
      <sz val="10"/>
      <color theme="0" tint="-0.499984740745262"/>
      <name val="Calibri"/>
      <family val="2"/>
    </font>
    <font>
      <i/>
      <sz val="10"/>
      <color theme="0" tint="-0.499984740745262"/>
      <name val="Calibri"/>
      <family val="2"/>
    </font>
    <font>
      <i/>
      <sz val="10"/>
      <color theme="1" tint="0.34998626667073579"/>
      <name val="Calibri"/>
      <family val="2"/>
    </font>
    <font>
      <b/>
      <sz val="10"/>
      <color theme="1" tint="0.34998626667073579"/>
      <name val="Calibri"/>
      <family val="2"/>
    </font>
    <font>
      <b/>
      <i/>
      <sz val="10"/>
      <color theme="1" tint="0.34998626667073579"/>
      <name val="Calibri"/>
      <family val="2"/>
    </font>
    <font>
      <sz val="10"/>
      <color theme="1" tint="0.34998626667073579"/>
      <name val="Calibri"/>
      <family val="2"/>
    </font>
    <font>
      <sz val="14"/>
      <color theme="1"/>
      <name val="Calibri"/>
      <family val="2"/>
    </font>
    <font>
      <sz val="14"/>
      <color theme="1" tint="0.34998626667073579"/>
      <name val="Calibri"/>
      <family val="2"/>
    </font>
    <font>
      <sz val="12"/>
      <color theme="1" tint="0.34998626667073579"/>
      <name val="Calibri"/>
      <family val="2"/>
    </font>
    <font>
      <b/>
      <sz val="12"/>
      <color theme="1" tint="0.34998626667073579"/>
      <name val="Calibri"/>
      <family val="2"/>
    </font>
    <font>
      <sz val="12"/>
      <color theme="1" tint="0.34998626667073579"/>
      <name val="Arial"/>
      <family val="2"/>
    </font>
    <font>
      <b/>
      <sz val="14"/>
      <color theme="1" tint="0.34998626667073579"/>
      <name val="Calibri"/>
      <family val="2"/>
    </font>
    <font>
      <b/>
      <u/>
      <sz val="10"/>
      <color theme="1" tint="0.34998626667073579"/>
      <name val="Calibri"/>
      <family val="2"/>
    </font>
    <font>
      <sz val="11"/>
      <color rgb="FFC00000"/>
      <name val="Calibri"/>
      <family val="2"/>
    </font>
  </fonts>
  <fills count="10">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006">
    <xf numFmtId="0" fontId="0" fillId="0" borderId="0" xfId="0"/>
    <xf numFmtId="0" fontId="12" fillId="0" borderId="0" xfId="0" applyFont="1" applyFill="1" applyBorder="1" applyAlignment="1" applyProtection="1">
      <alignment horizontal="left"/>
    </xf>
    <xf numFmtId="0" fontId="12" fillId="0" borderId="0" xfId="0" applyFont="1" applyFill="1" applyAlignment="1" applyProtection="1">
      <alignment horizontal="left"/>
    </xf>
    <xf numFmtId="0" fontId="6" fillId="0" borderId="0" xfId="0" applyFont="1" applyFill="1" applyBorder="1" applyAlignment="1" applyProtection="1"/>
    <xf numFmtId="0" fontId="6" fillId="0" borderId="0" xfId="0" applyFont="1" applyFill="1" applyAlignment="1" applyProtection="1">
      <alignment horizontal="left"/>
    </xf>
    <xf numFmtId="0" fontId="10" fillId="3" borderId="0" xfId="0" applyFont="1" applyFill="1" applyBorder="1" applyProtection="1"/>
    <xf numFmtId="167" fontId="10" fillId="3" borderId="0" xfId="0" applyNumberFormat="1" applyFont="1" applyFill="1" applyBorder="1" applyProtection="1"/>
    <xf numFmtId="0" fontId="16" fillId="3" borderId="0" xfId="0" applyFont="1" applyFill="1" applyBorder="1" applyProtection="1"/>
    <xf numFmtId="0" fontId="17" fillId="3" borderId="0" xfId="0" applyFont="1" applyFill="1" applyBorder="1" applyProtection="1"/>
    <xf numFmtId="167" fontId="17" fillId="3" borderId="0" xfId="0" applyNumberFormat="1" applyFont="1" applyFill="1" applyBorder="1" applyProtection="1"/>
    <xf numFmtId="0" fontId="11" fillId="3" borderId="0" xfId="0" applyFont="1" applyFill="1" applyBorder="1" applyProtection="1"/>
    <xf numFmtId="0" fontId="12" fillId="3" borderId="0" xfId="0" applyFont="1" applyFill="1" applyBorder="1" applyAlignment="1" applyProtection="1">
      <alignment horizontal="right"/>
    </xf>
    <xf numFmtId="167" fontId="11" fillId="3" borderId="0" xfId="0" quotePrefix="1" applyNumberFormat="1" applyFont="1" applyFill="1" applyBorder="1" applyAlignment="1" applyProtection="1">
      <alignment horizontal="center"/>
    </xf>
    <xf numFmtId="0" fontId="11" fillId="3" borderId="0" xfId="0" quotePrefix="1" applyNumberFormat="1" applyFont="1" applyFill="1" applyBorder="1" applyAlignment="1" applyProtection="1">
      <alignment horizontal="center"/>
    </xf>
    <xf numFmtId="0" fontId="20" fillId="3" borderId="0" xfId="0" applyFont="1" applyFill="1" applyBorder="1" applyProtection="1"/>
    <xf numFmtId="0" fontId="19" fillId="3" borderId="0" xfId="0" applyFont="1" applyFill="1" applyBorder="1" applyProtection="1"/>
    <xf numFmtId="167" fontId="20" fillId="3" borderId="0" xfId="0" applyNumberFormat="1" applyFont="1" applyFill="1" applyBorder="1" applyProtection="1"/>
    <xf numFmtId="0" fontId="10" fillId="3" borderId="0" xfId="0" applyFont="1" applyFill="1" applyBorder="1" applyAlignment="1" applyProtection="1">
      <alignment horizontal="left"/>
    </xf>
    <xf numFmtId="0" fontId="10" fillId="3" borderId="0" xfId="0" quotePrefix="1" applyNumberFormat="1" applyFont="1" applyFill="1" applyBorder="1" applyAlignment="1" applyProtection="1">
      <alignment horizontal="center"/>
    </xf>
    <xf numFmtId="0" fontId="13" fillId="3" borderId="0" xfId="0" applyFont="1" applyFill="1" applyBorder="1" applyProtection="1"/>
    <xf numFmtId="0" fontId="13" fillId="3" borderId="0" xfId="0" applyFont="1" applyFill="1" applyBorder="1" applyAlignment="1" applyProtection="1">
      <alignment horizontal="left"/>
    </xf>
    <xf numFmtId="0" fontId="13" fillId="3" borderId="0" xfId="0" applyFont="1" applyFill="1" applyBorder="1" applyAlignment="1" applyProtection="1">
      <alignment horizontal="center"/>
    </xf>
    <xf numFmtId="0" fontId="10" fillId="3" borderId="0" xfId="0" applyFont="1" applyFill="1" applyBorder="1" applyAlignment="1" applyProtection="1">
      <alignment horizontal="center"/>
    </xf>
    <xf numFmtId="1" fontId="10" fillId="3" borderId="0" xfId="0" quotePrefix="1" applyNumberFormat="1" applyFont="1" applyFill="1" applyBorder="1" applyAlignment="1" applyProtection="1">
      <alignment horizontal="center"/>
    </xf>
    <xf numFmtId="0" fontId="12" fillId="3" borderId="0" xfId="0" applyFont="1" applyFill="1" applyBorder="1" applyProtection="1"/>
    <xf numFmtId="1" fontId="10" fillId="3" borderId="0" xfId="0" applyNumberFormat="1" applyFont="1" applyFill="1" applyBorder="1" applyAlignment="1" applyProtection="1">
      <alignment horizontal="center"/>
    </xf>
    <xf numFmtId="0" fontId="11" fillId="3" borderId="0" xfId="0" applyFont="1" applyFill="1" applyBorder="1" applyAlignment="1" applyProtection="1">
      <alignment horizontal="left"/>
    </xf>
    <xf numFmtId="0" fontId="10" fillId="3" borderId="0" xfId="0" applyNumberFormat="1" applyFont="1" applyFill="1" applyBorder="1" applyAlignment="1" applyProtection="1">
      <alignment horizontal="center"/>
    </xf>
    <xf numFmtId="0" fontId="23" fillId="3" borderId="0" xfId="0" applyFont="1" applyFill="1" applyBorder="1" applyProtection="1"/>
    <xf numFmtId="0" fontId="23" fillId="3" borderId="0" xfId="0" applyFont="1" applyFill="1" applyBorder="1" applyAlignment="1" applyProtection="1">
      <alignment horizontal="center"/>
    </xf>
    <xf numFmtId="0" fontId="10" fillId="4" borderId="1" xfId="0" applyFont="1" applyFill="1" applyBorder="1" applyProtection="1"/>
    <xf numFmtId="0" fontId="10" fillId="4" borderId="2" xfId="0" applyFont="1" applyFill="1" applyBorder="1" applyProtection="1"/>
    <xf numFmtId="167" fontId="10" fillId="4" borderId="2" xfId="0" applyNumberFormat="1" applyFont="1" applyFill="1" applyBorder="1" applyProtection="1"/>
    <xf numFmtId="0" fontId="10" fillId="4" borderId="3" xfId="0" applyFont="1" applyFill="1" applyBorder="1" applyProtection="1"/>
    <xf numFmtId="0" fontId="10" fillId="4" borderId="4" xfId="0" applyFont="1" applyFill="1" applyBorder="1" applyProtection="1"/>
    <xf numFmtId="0" fontId="10" fillId="4" borderId="0" xfId="0" applyFont="1" applyFill="1" applyBorder="1" applyProtection="1"/>
    <xf numFmtId="167" fontId="10" fillId="4" borderId="0" xfId="0" applyNumberFormat="1" applyFont="1" applyFill="1" applyBorder="1" applyProtection="1"/>
    <xf numFmtId="0" fontId="10" fillId="4" borderId="5" xfId="0" applyFont="1" applyFill="1" applyBorder="1" applyProtection="1"/>
    <xf numFmtId="0" fontId="16" fillId="4" borderId="4" xfId="0" applyFont="1" applyFill="1" applyBorder="1" applyProtection="1"/>
    <xf numFmtId="0" fontId="16" fillId="4" borderId="0" xfId="0" applyFont="1" applyFill="1" applyBorder="1" applyProtection="1"/>
    <xf numFmtId="0" fontId="17" fillId="4" borderId="0" xfId="0" applyFont="1" applyFill="1" applyBorder="1" applyProtection="1"/>
    <xf numFmtId="167" fontId="17" fillId="4" borderId="0" xfId="0" applyNumberFormat="1" applyFont="1" applyFill="1" applyBorder="1" applyProtection="1"/>
    <xf numFmtId="0" fontId="17" fillId="4" borderId="5" xfId="0" applyFont="1" applyFill="1" applyBorder="1" applyProtection="1"/>
    <xf numFmtId="0" fontId="11" fillId="4" borderId="0" xfId="0" applyFont="1" applyFill="1" applyBorder="1" applyProtection="1"/>
    <xf numFmtId="0" fontId="12" fillId="4" borderId="0" xfId="0" applyFont="1" applyFill="1" applyBorder="1" applyAlignment="1" applyProtection="1">
      <alignment horizontal="right"/>
    </xf>
    <xf numFmtId="167" fontId="11" fillId="4" borderId="0" xfId="0" quotePrefix="1" applyNumberFormat="1" applyFont="1" applyFill="1" applyBorder="1" applyAlignment="1" applyProtection="1">
      <alignment horizontal="center"/>
    </xf>
    <xf numFmtId="0" fontId="11" fillId="4" borderId="0" xfId="0" quotePrefix="1" applyNumberFormat="1" applyFont="1" applyFill="1" applyBorder="1" applyAlignment="1" applyProtection="1">
      <alignment horizontal="center"/>
    </xf>
    <xf numFmtId="0" fontId="11" fillId="4" borderId="5" xfId="0" quotePrefix="1" applyNumberFormat="1" applyFont="1" applyFill="1" applyBorder="1" applyAlignment="1" applyProtection="1">
      <alignment horizontal="center"/>
    </xf>
    <xf numFmtId="0" fontId="20" fillId="4" borderId="4" xfId="0" applyFont="1" applyFill="1" applyBorder="1" applyProtection="1"/>
    <xf numFmtId="0" fontId="20" fillId="4" borderId="0" xfId="0" applyFont="1" applyFill="1" applyBorder="1" applyProtection="1"/>
    <xf numFmtId="0" fontId="19" fillId="4" borderId="0" xfId="0" applyFont="1" applyFill="1" applyBorder="1" applyProtection="1"/>
    <xf numFmtId="0" fontId="20" fillId="4" borderId="5" xfId="0" applyFont="1" applyFill="1" applyBorder="1" applyProtection="1"/>
    <xf numFmtId="0" fontId="19" fillId="4" borderId="0" xfId="0" quotePrefix="1" applyNumberFormat="1" applyFont="1" applyFill="1" applyBorder="1" applyAlignment="1" applyProtection="1">
      <alignment horizontal="center"/>
    </xf>
    <xf numFmtId="0" fontId="19" fillId="4" borderId="5" xfId="0" quotePrefix="1" applyNumberFormat="1" applyFont="1" applyFill="1" applyBorder="1" applyAlignment="1" applyProtection="1">
      <alignment horizontal="center"/>
    </xf>
    <xf numFmtId="0" fontId="18" fillId="4" borderId="0" xfId="0" applyFont="1" applyFill="1" applyBorder="1" applyAlignment="1" applyProtection="1">
      <alignment horizontal="right"/>
    </xf>
    <xf numFmtId="0" fontId="10" fillId="4" borderId="0" xfId="0" applyFont="1" applyFill="1" applyBorder="1" applyAlignment="1" applyProtection="1">
      <alignment horizontal="left"/>
    </xf>
    <xf numFmtId="0" fontId="10" fillId="4" borderId="0" xfId="0" quotePrefix="1" applyNumberFormat="1" applyFont="1" applyFill="1" applyBorder="1" applyAlignment="1" applyProtection="1">
      <alignment horizontal="center"/>
    </xf>
    <xf numFmtId="0" fontId="10" fillId="4" borderId="5" xfId="0" quotePrefix="1" applyNumberFormat="1" applyFont="1" applyFill="1" applyBorder="1" applyAlignment="1" applyProtection="1">
      <alignment horizontal="center"/>
    </xf>
    <xf numFmtId="0" fontId="13" fillId="4" borderId="4" xfId="0" applyFont="1" applyFill="1" applyBorder="1" applyProtection="1"/>
    <xf numFmtId="0" fontId="13" fillId="4" borderId="0" xfId="0" applyFont="1" applyFill="1" applyBorder="1" applyProtection="1"/>
    <xf numFmtId="0" fontId="13" fillId="4" borderId="0" xfId="0" applyFont="1" applyFill="1" applyBorder="1" applyAlignment="1" applyProtection="1">
      <alignment horizontal="center"/>
    </xf>
    <xf numFmtId="0" fontId="13" fillId="4" borderId="5" xfId="0" applyFont="1" applyFill="1" applyBorder="1" applyAlignment="1" applyProtection="1">
      <alignment horizontal="center"/>
    </xf>
    <xf numFmtId="0" fontId="10" fillId="4" borderId="0" xfId="0" applyFont="1" applyFill="1" applyBorder="1" applyAlignment="1" applyProtection="1">
      <alignment horizontal="center"/>
    </xf>
    <xf numFmtId="0" fontId="10" fillId="4" borderId="5" xfId="0" applyFont="1" applyFill="1" applyBorder="1" applyAlignment="1" applyProtection="1">
      <alignment horizontal="center"/>
    </xf>
    <xf numFmtId="1" fontId="10" fillId="4" borderId="0" xfId="0" quotePrefix="1" applyNumberFormat="1" applyFont="1" applyFill="1" applyBorder="1" applyAlignment="1" applyProtection="1">
      <alignment horizontal="center"/>
    </xf>
    <xf numFmtId="1" fontId="10" fillId="4" borderId="5" xfId="0" quotePrefix="1" applyNumberFormat="1" applyFont="1" applyFill="1" applyBorder="1" applyAlignment="1" applyProtection="1">
      <alignment horizontal="center"/>
    </xf>
    <xf numFmtId="0" fontId="12" fillId="4" borderId="0" xfId="0" applyFont="1" applyFill="1" applyBorder="1" applyProtection="1"/>
    <xf numFmtId="1" fontId="10" fillId="4" borderId="0" xfId="0" applyNumberFormat="1" applyFont="1" applyFill="1" applyBorder="1" applyAlignment="1" applyProtection="1">
      <alignment horizontal="center"/>
    </xf>
    <xf numFmtId="0" fontId="10" fillId="4" borderId="6" xfId="0" applyFont="1" applyFill="1" applyBorder="1" applyProtection="1"/>
    <xf numFmtId="0" fontId="10" fillId="4" borderId="7" xfId="0" applyFont="1" applyFill="1" applyBorder="1" applyProtection="1"/>
    <xf numFmtId="1" fontId="10" fillId="4" borderId="7" xfId="0" applyNumberFormat="1" applyFont="1" applyFill="1" applyBorder="1" applyAlignment="1" applyProtection="1">
      <alignment horizontal="center"/>
    </xf>
    <xf numFmtId="0" fontId="10" fillId="4" borderId="7" xfId="0" quotePrefix="1" applyNumberFormat="1" applyFont="1" applyFill="1" applyBorder="1" applyAlignment="1" applyProtection="1">
      <alignment horizontal="center"/>
    </xf>
    <xf numFmtId="0" fontId="29" fillId="4" borderId="7" xfId="0" applyFont="1" applyFill="1" applyBorder="1" applyAlignment="1" applyProtection="1">
      <alignment horizontal="right"/>
    </xf>
    <xf numFmtId="0" fontId="10" fillId="4" borderId="8" xfId="0" applyFont="1" applyFill="1" applyBorder="1" applyAlignment="1" applyProtection="1">
      <alignment horizontal="center"/>
    </xf>
    <xf numFmtId="1" fontId="10" fillId="4" borderId="2" xfId="0" applyNumberFormat="1" applyFont="1" applyFill="1" applyBorder="1" applyAlignment="1" applyProtection="1">
      <alignment horizontal="center"/>
    </xf>
    <xf numFmtId="0" fontId="10" fillId="4" borderId="2" xfId="0" quotePrefix="1" applyNumberFormat="1" applyFont="1" applyFill="1" applyBorder="1" applyAlignment="1" applyProtection="1">
      <alignment horizontal="center"/>
    </xf>
    <xf numFmtId="0" fontId="10" fillId="4" borderId="2" xfId="0" applyFont="1" applyFill="1" applyBorder="1" applyAlignment="1" applyProtection="1">
      <alignment horizontal="center"/>
    </xf>
    <xf numFmtId="0" fontId="10" fillId="4" borderId="3" xfId="0" applyFont="1" applyFill="1" applyBorder="1" applyAlignment="1" applyProtection="1">
      <alignment horizontal="center"/>
    </xf>
    <xf numFmtId="0" fontId="23" fillId="4" borderId="4" xfId="0" applyFont="1" applyFill="1" applyBorder="1" applyProtection="1"/>
    <xf numFmtId="0" fontId="23" fillId="4" borderId="0" xfId="0" applyFont="1" applyFill="1" applyBorder="1" applyProtection="1"/>
    <xf numFmtId="1" fontId="23" fillId="4" borderId="0" xfId="0" applyNumberFormat="1" applyFont="1" applyFill="1" applyBorder="1" applyAlignment="1" applyProtection="1">
      <alignment horizontal="center"/>
    </xf>
    <xf numFmtId="0" fontId="23" fillId="4" borderId="0" xfId="0" quotePrefix="1" applyNumberFormat="1"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5" xfId="0" applyFont="1" applyFill="1" applyBorder="1" applyAlignment="1" applyProtection="1">
      <alignment horizontal="center"/>
    </xf>
    <xf numFmtId="167" fontId="10" fillId="4" borderId="7" xfId="0" applyNumberFormat="1" applyFont="1" applyFill="1" applyBorder="1" applyProtection="1"/>
    <xf numFmtId="0" fontId="10" fillId="4" borderId="8" xfId="0" applyFont="1" applyFill="1" applyBorder="1" applyProtection="1"/>
    <xf numFmtId="0" fontId="10" fillId="3" borderId="10" xfId="0" applyFont="1" applyFill="1" applyBorder="1" applyProtection="1"/>
    <xf numFmtId="0" fontId="10" fillId="3" borderId="11" xfId="0" applyFont="1" applyFill="1" applyBorder="1" applyProtection="1"/>
    <xf numFmtId="0" fontId="12" fillId="3" borderId="11" xfId="0" applyFont="1" applyFill="1" applyBorder="1" applyAlignment="1" applyProtection="1">
      <alignment horizontal="right"/>
    </xf>
    <xf numFmtId="167" fontId="11" fillId="3" borderId="11" xfId="0" quotePrefix="1" applyNumberFormat="1" applyFont="1" applyFill="1" applyBorder="1" applyAlignment="1" applyProtection="1">
      <alignment horizontal="center"/>
    </xf>
    <xf numFmtId="0" fontId="11" fillId="3" borderId="12" xfId="0" quotePrefix="1" applyNumberFormat="1" applyFont="1" applyFill="1" applyBorder="1" applyAlignment="1" applyProtection="1">
      <alignment horizontal="center"/>
    </xf>
    <xf numFmtId="0" fontId="10" fillId="3" borderId="13" xfId="0" applyFont="1" applyFill="1" applyBorder="1" applyProtection="1"/>
    <xf numFmtId="0" fontId="10" fillId="3" borderId="14" xfId="0" applyFont="1" applyFill="1" applyBorder="1" applyProtection="1"/>
    <xf numFmtId="0" fontId="12" fillId="3" borderId="14" xfId="0" applyFont="1" applyFill="1" applyBorder="1" applyAlignment="1" applyProtection="1">
      <alignment horizontal="right"/>
    </xf>
    <xf numFmtId="167" fontId="11" fillId="3" borderId="14" xfId="0" quotePrefix="1" applyNumberFormat="1" applyFont="1" applyFill="1" applyBorder="1" applyAlignment="1" applyProtection="1">
      <alignment horizontal="center"/>
      <protection locked="0"/>
    </xf>
    <xf numFmtId="167" fontId="11" fillId="3" borderId="14" xfId="0" quotePrefix="1" applyNumberFormat="1" applyFont="1" applyFill="1" applyBorder="1" applyAlignment="1" applyProtection="1">
      <alignment horizontal="center"/>
    </xf>
    <xf numFmtId="0" fontId="11" fillId="3" borderId="15" xfId="0" quotePrefix="1" applyNumberFormat="1" applyFont="1" applyFill="1" applyBorder="1" applyAlignment="1" applyProtection="1">
      <alignment horizontal="center"/>
    </xf>
    <xf numFmtId="167" fontId="10" fillId="3" borderId="14" xfId="0" applyNumberFormat="1" applyFont="1" applyFill="1" applyBorder="1" applyProtection="1"/>
    <xf numFmtId="0" fontId="10" fillId="3" borderId="15" xfId="0" applyFont="1" applyFill="1" applyBorder="1" applyProtection="1"/>
    <xf numFmtId="0" fontId="19" fillId="3" borderId="15" xfId="0" quotePrefix="1" applyNumberFormat="1" applyFont="1" applyFill="1" applyBorder="1" applyAlignment="1" applyProtection="1">
      <alignment horizontal="center"/>
    </xf>
    <xf numFmtId="0" fontId="17" fillId="3" borderId="13" xfId="0" applyFont="1" applyFill="1" applyBorder="1" applyProtection="1"/>
    <xf numFmtId="0" fontId="18" fillId="3" borderId="14" xfId="0" applyFont="1" applyFill="1" applyBorder="1" applyAlignment="1" applyProtection="1">
      <alignment horizontal="right"/>
    </xf>
    <xf numFmtId="167" fontId="19" fillId="3" borderId="14" xfId="0" quotePrefix="1" applyNumberFormat="1" applyFont="1" applyFill="1" applyBorder="1" applyAlignment="1" applyProtection="1">
      <alignment horizontal="center"/>
    </xf>
    <xf numFmtId="0" fontId="10" fillId="3" borderId="14" xfId="0" applyFont="1" applyFill="1" applyBorder="1" applyAlignment="1" applyProtection="1">
      <alignment horizontal="left"/>
    </xf>
    <xf numFmtId="0" fontId="10" fillId="3" borderId="15" xfId="0" quotePrefix="1" applyNumberFormat="1" applyFont="1" applyFill="1" applyBorder="1" applyAlignment="1" applyProtection="1">
      <alignment horizontal="center"/>
    </xf>
    <xf numFmtId="0" fontId="13" fillId="3" borderId="13" xfId="0" applyFont="1" applyFill="1" applyBorder="1" applyProtection="1"/>
    <xf numFmtId="0" fontId="13" fillId="3" borderId="14" xfId="0" applyFont="1" applyFill="1" applyBorder="1" applyAlignment="1" applyProtection="1">
      <alignment horizontal="left"/>
    </xf>
    <xf numFmtId="0" fontId="13" fillId="3" borderId="15" xfId="0" applyFont="1" applyFill="1" applyBorder="1" applyAlignment="1" applyProtection="1">
      <alignment horizontal="center"/>
    </xf>
    <xf numFmtId="0" fontId="12" fillId="3" borderId="14" xfId="0" applyFont="1" applyFill="1" applyBorder="1" applyAlignment="1" applyProtection="1">
      <alignment horizontal="left"/>
    </xf>
    <xf numFmtId="0" fontId="10" fillId="3" borderId="14" xfId="0" applyNumberFormat="1" applyFont="1" applyFill="1" applyBorder="1" applyAlignment="1" applyProtection="1">
      <alignment horizontal="center"/>
    </xf>
    <xf numFmtId="0" fontId="10" fillId="3" borderId="15" xfId="0" applyFont="1" applyFill="1" applyBorder="1" applyAlignment="1" applyProtection="1">
      <alignment horizontal="center"/>
    </xf>
    <xf numFmtId="2" fontId="12" fillId="3" borderId="14" xfId="0" applyNumberFormat="1" applyFont="1" applyFill="1" applyBorder="1" applyAlignment="1" applyProtection="1">
      <alignment horizontal="center"/>
    </xf>
    <xf numFmtId="1" fontId="10" fillId="3" borderId="14" xfId="0" applyNumberFormat="1" applyFont="1" applyFill="1" applyBorder="1" applyAlignment="1" applyProtection="1">
      <alignment horizontal="center"/>
    </xf>
    <xf numFmtId="0" fontId="10" fillId="3" borderId="14" xfId="0" quotePrefix="1" applyNumberFormat="1" applyFont="1" applyFill="1" applyBorder="1" applyAlignment="1" applyProtection="1">
      <alignment horizontal="center"/>
    </xf>
    <xf numFmtId="1" fontId="10" fillId="3" borderId="15" xfId="0" quotePrefix="1" applyNumberFormat="1" applyFont="1" applyFill="1" applyBorder="1" applyAlignment="1" applyProtection="1">
      <alignment horizontal="center"/>
    </xf>
    <xf numFmtId="0" fontId="10" fillId="3" borderId="14" xfId="0" applyFont="1" applyFill="1" applyBorder="1" applyAlignment="1" applyProtection="1">
      <alignment horizontal="center"/>
    </xf>
    <xf numFmtId="0" fontId="13" fillId="3" borderId="14" xfId="0" applyFont="1" applyFill="1" applyBorder="1" applyProtection="1"/>
    <xf numFmtId="0" fontId="12" fillId="3" borderId="14" xfId="0" applyFont="1" applyFill="1" applyBorder="1" applyProtection="1"/>
    <xf numFmtId="0" fontId="11" fillId="3" borderId="14" xfId="0" applyFont="1" applyFill="1" applyBorder="1" applyAlignment="1" applyProtection="1">
      <alignment horizontal="left"/>
    </xf>
    <xf numFmtId="1" fontId="10" fillId="3" borderId="15" xfId="0" applyNumberFormat="1" applyFont="1" applyFill="1" applyBorder="1" applyAlignment="1" applyProtection="1">
      <alignment horizontal="center"/>
    </xf>
    <xf numFmtId="2" fontId="10" fillId="3" borderId="14" xfId="0" applyNumberFormat="1" applyFont="1" applyFill="1" applyBorder="1" applyAlignment="1" applyProtection="1">
      <alignment horizontal="center"/>
    </xf>
    <xf numFmtId="0" fontId="21" fillId="3" borderId="14" xfId="0" applyFont="1" applyFill="1" applyBorder="1" applyProtection="1"/>
    <xf numFmtId="0" fontId="21" fillId="3" borderId="13" xfId="0" applyFont="1" applyFill="1" applyBorder="1" applyProtection="1"/>
    <xf numFmtId="0" fontId="21" fillId="3" borderId="15" xfId="0" applyFont="1" applyFill="1" applyBorder="1" applyProtection="1"/>
    <xf numFmtId="0" fontId="10" fillId="3" borderId="16" xfId="0" applyFont="1" applyFill="1" applyBorder="1" applyProtection="1"/>
    <xf numFmtId="0" fontId="10" fillId="3" borderId="17" xfId="0" applyFont="1" applyFill="1" applyBorder="1" applyProtection="1"/>
    <xf numFmtId="0" fontId="10" fillId="3" borderId="18" xfId="0" applyFont="1" applyFill="1" applyBorder="1" applyProtection="1"/>
    <xf numFmtId="0" fontId="32" fillId="4" borderId="0" xfId="0" applyFont="1" applyFill="1" applyBorder="1" applyProtection="1"/>
    <xf numFmtId="0" fontId="10" fillId="3" borderId="12" xfId="0" applyFont="1" applyFill="1" applyBorder="1" applyProtection="1"/>
    <xf numFmtId="0" fontId="12" fillId="3" borderId="17" xfId="0" applyFont="1" applyFill="1" applyBorder="1" applyAlignment="1" applyProtection="1">
      <alignment horizontal="right"/>
    </xf>
    <xf numFmtId="167" fontId="11" fillId="3" borderId="17" xfId="0" quotePrefix="1" applyNumberFormat="1" applyFont="1" applyFill="1" applyBorder="1" applyAlignment="1" applyProtection="1">
      <alignment horizontal="center"/>
    </xf>
    <xf numFmtId="0" fontId="11" fillId="3" borderId="18" xfId="0" quotePrefix="1" applyNumberFormat="1" applyFont="1" applyFill="1" applyBorder="1" applyAlignment="1" applyProtection="1">
      <alignment horizontal="center"/>
    </xf>
    <xf numFmtId="0" fontId="6" fillId="4" borderId="14" xfId="0" applyNumberFormat="1" applyFont="1" applyFill="1" applyBorder="1" applyAlignment="1" applyProtection="1">
      <protection locked="0"/>
    </xf>
    <xf numFmtId="0" fontId="6" fillId="4" borderId="14" xfId="0" applyNumberFormat="1"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33" fillId="3" borderId="14" xfId="0" applyFont="1" applyFill="1" applyBorder="1" applyProtection="1"/>
    <xf numFmtId="0" fontId="17" fillId="3" borderId="10" xfId="0" applyFont="1" applyFill="1" applyBorder="1" applyProtection="1"/>
    <xf numFmtId="0" fontId="17" fillId="3" borderId="11" xfId="0" applyFont="1" applyFill="1" applyBorder="1" applyProtection="1"/>
    <xf numFmtId="0" fontId="18" fillId="3" borderId="11" xfId="0" applyFont="1" applyFill="1" applyBorder="1" applyAlignment="1" applyProtection="1">
      <alignment horizontal="right"/>
    </xf>
    <xf numFmtId="167" fontId="19" fillId="3" borderId="11" xfId="0" quotePrefix="1" applyNumberFormat="1" applyFont="1" applyFill="1" applyBorder="1" applyAlignment="1" applyProtection="1">
      <alignment horizontal="center"/>
    </xf>
    <xf numFmtId="0" fontId="34" fillId="4" borderId="0" xfId="0" applyFont="1" applyFill="1" applyBorder="1" applyAlignment="1" applyProtection="1">
      <alignment horizontal="right"/>
    </xf>
    <xf numFmtId="0" fontId="19" fillId="3" borderId="12" xfId="0" quotePrefix="1" applyNumberFormat="1" applyFont="1" applyFill="1" applyBorder="1" applyAlignment="1" applyProtection="1">
      <alignment horizontal="center"/>
    </xf>
    <xf numFmtId="0" fontId="35" fillId="3" borderId="14" xfId="0" applyFont="1" applyFill="1" applyBorder="1" applyProtection="1"/>
    <xf numFmtId="0" fontId="10" fillId="3" borderId="17" xfId="0" applyFont="1" applyFill="1" applyBorder="1" applyAlignment="1" applyProtection="1">
      <alignment horizontal="left"/>
    </xf>
    <xf numFmtId="0" fontId="10" fillId="3" borderId="11" xfId="0" applyFont="1" applyFill="1" applyBorder="1" applyAlignment="1" applyProtection="1">
      <alignment horizontal="center"/>
    </xf>
    <xf numFmtId="0" fontId="10" fillId="3" borderId="11" xfId="0" quotePrefix="1" applyNumberFormat="1" applyFont="1" applyFill="1" applyBorder="1" applyAlignment="1" applyProtection="1">
      <alignment horizontal="center"/>
    </xf>
    <xf numFmtId="1" fontId="10" fillId="3" borderId="12" xfId="0" quotePrefix="1" applyNumberFormat="1" applyFont="1" applyFill="1" applyBorder="1" applyAlignment="1" applyProtection="1">
      <alignment horizontal="center"/>
    </xf>
    <xf numFmtId="1" fontId="10" fillId="3" borderId="18" xfId="0" applyNumberFormat="1" applyFont="1" applyFill="1" applyBorder="1" applyAlignment="1" applyProtection="1">
      <alignment horizontal="center"/>
    </xf>
    <xf numFmtId="1" fontId="10" fillId="3" borderId="11" xfId="0" applyNumberFormat="1" applyFont="1" applyFill="1" applyBorder="1" applyAlignment="1" applyProtection="1">
      <alignment horizontal="center"/>
    </xf>
    <xf numFmtId="0" fontId="10" fillId="3" borderId="12" xfId="0" applyFont="1" applyFill="1" applyBorder="1" applyAlignment="1" applyProtection="1">
      <alignment horizontal="center"/>
    </xf>
    <xf numFmtId="0" fontId="32" fillId="4" borderId="0" xfId="0" applyFont="1" applyFill="1" applyBorder="1" applyAlignment="1" applyProtection="1">
      <alignment horizontal="left"/>
    </xf>
    <xf numFmtId="0" fontId="36" fillId="4" borderId="0" xfId="0" applyFont="1" applyFill="1" applyBorder="1" applyProtection="1"/>
    <xf numFmtId="1" fontId="37" fillId="4" borderId="0" xfId="0" applyNumberFormat="1" applyFont="1" applyFill="1" applyBorder="1" applyAlignment="1" applyProtection="1">
      <alignment horizontal="right"/>
    </xf>
    <xf numFmtId="0" fontId="35" fillId="4" borderId="0" xfId="0" applyFont="1" applyFill="1" applyBorder="1" applyProtection="1"/>
    <xf numFmtId="1" fontId="34" fillId="4" borderId="0" xfId="0" applyNumberFormat="1" applyFont="1" applyFill="1" applyBorder="1" applyAlignment="1" applyProtection="1">
      <alignment horizontal="center"/>
    </xf>
    <xf numFmtId="0" fontId="10" fillId="4" borderId="14" xfId="0" applyFont="1" applyFill="1" applyBorder="1" applyAlignment="1" applyProtection="1">
      <alignment horizontal="center"/>
      <protection locked="0"/>
    </xf>
    <xf numFmtId="0" fontId="10" fillId="4" borderId="14" xfId="0" applyNumberFormat="1" applyFont="1" applyFill="1" applyBorder="1" applyAlignment="1" applyProtection="1">
      <alignment horizontal="center"/>
      <protection locked="0"/>
    </xf>
    <xf numFmtId="1" fontId="10" fillId="4" borderId="14" xfId="0" applyNumberFormat="1" applyFont="1" applyFill="1" applyBorder="1" applyAlignment="1" applyProtection="1">
      <alignment horizontal="center"/>
      <protection locked="0"/>
    </xf>
    <xf numFmtId="1" fontId="10" fillId="4" borderId="14" xfId="0" quotePrefix="1" applyNumberFormat="1" applyFont="1" applyFill="1" applyBorder="1" applyAlignment="1" applyProtection="1">
      <alignment horizontal="center"/>
      <protection locked="0"/>
    </xf>
    <xf numFmtId="0" fontId="10" fillId="4" borderId="14" xfId="0" quotePrefix="1" applyNumberFormat="1" applyFont="1" applyFill="1" applyBorder="1" applyAlignment="1" applyProtection="1">
      <alignment horizontal="center"/>
      <protection locked="0"/>
    </xf>
    <xf numFmtId="0" fontId="6" fillId="3" borderId="14" xfId="0" applyFont="1" applyFill="1" applyBorder="1" applyAlignment="1" applyProtection="1">
      <alignment horizontal="left"/>
    </xf>
    <xf numFmtId="0" fontId="38" fillId="3" borderId="14" xfId="0" applyFont="1" applyFill="1" applyBorder="1" applyAlignment="1" applyProtection="1">
      <alignment horizontal="left"/>
    </xf>
    <xf numFmtId="1" fontId="38" fillId="3" borderId="14" xfId="0" applyNumberFormat="1" applyFont="1" applyFill="1" applyBorder="1" applyAlignment="1" applyProtection="1">
      <alignment horizontal="center"/>
    </xf>
    <xf numFmtId="2" fontId="6" fillId="4" borderId="14" xfId="0" applyNumberFormat="1" applyFont="1" applyFill="1" applyBorder="1" applyAlignment="1" applyProtection="1">
      <alignment horizontal="center"/>
      <protection locked="0"/>
    </xf>
    <xf numFmtId="0" fontId="6" fillId="4" borderId="14" xfId="0" applyFont="1" applyFill="1" applyBorder="1" applyAlignment="1" applyProtection="1">
      <alignment horizontal="center"/>
      <protection locked="0"/>
    </xf>
    <xf numFmtId="0" fontId="35" fillId="3" borderId="0" xfId="0" applyFont="1" applyFill="1" applyBorder="1" applyProtection="1"/>
    <xf numFmtId="1" fontId="10" fillId="3" borderId="0" xfId="0" applyNumberFormat="1" applyFont="1" applyFill="1" applyBorder="1" applyProtection="1"/>
    <xf numFmtId="1" fontId="10" fillId="3" borderId="0" xfId="0" applyNumberFormat="1" applyFont="1" applyFill="1" applyBorder="1" applyAlignment="1" applyProtection="1">
      <alignment horizontal="left"/>
    </xf>
    <xf numFmtId="0" fontId="10" fillId="3" borderId="0" xfId="0" applyFont="1" applyFill="1" applyProtection="1"/>
    <xf numFmtId="0" fontId="13" fillId="3" borderId="0" xfId="0" applyFont="1" applyFill="1" applyBorder="1" applyAlignment="1" applyProtection="1">
      <alignment horizontal="right"/>
    </xf>
    <xf numFmtId="0" fontId="17" fillId="4" borderId="0" xfId="0" applyFont="1" applyFill="1" applyBorder="1" applyAlignment="1" applyProtection="1">
      <alignment horizontal="center"/>
    </xf>
    <xf numFmtId="0" fontId="16" fillId="4" borderId="5" xfId="0" applyFont="1" applyFill="1" applyBorder="1" applyProtection="1"/>
    <xf numFmtId="0" fontId="14" fillId="4" borderId="4" xfId="0" applyFont="1" applyFill="1" applyBorder="1" applyProtection="1"/>
    <xf numFmtId="0" fontId="14" fillId="4" borderId="0" xfId="0" applyFont="1" applyFill="1" applyBorder="1" applyProtection="1"/>
    <xf numFmtId="0" fontId="14" fillId="4" borderId="5" xfId="0" applyFont="1" applyFill="1" applyBorder="1" applyProtection="1"/>
    <xf numFmtId="0" fontId="17" fillId="4" borderId="4" xfId="0" applyFont="1" applyFill="1" applyBorder="1" applyProtection="1"/>
    <xf numFmtId="0" fontId="18" fillId="4" borderId="0" xfId="0" applyNumberFormat="1" applyFont="1" applyFill="1" applyBorder="1" applyAlignment="1" applyProtection="1">
      <alignment horizontal="right"/>
    </xf>
    <xf numFmtId="0" fontId="11" fillId="4" borderId="0" xfId="0" applyFont="1" applyFill="1" applyBorder="1" applyAlignment="1" applyProtection="1">
      <alignment horizontal="center"/>
    </xf>
    <xf numFmtId="0" fontId="13" fillId="4" borderId="5" xfId="0" applyFont="1" applyFill="1" applyBorder="1" applyProtection="1"/>
    <xf numFmtId="0" fontId="12" fillId="4" borderId="4" xfId="0" applyFont="1" applyFill="1" applyBorder="1" applyProtection="1"/>
    <xf numFmtId="0" fontId="12" fillId="4" borderId="5" xfId="0" applyFont="1" applyFill="1" applyBorder="1" applyProtection="1"/>
    <xf numFmtId="165" fontId="13" fillId="4" borderId="0" xfId="3" applyNumberFormat="1" applyFont="1" applyFill="1" applyBorder="1" applyProtection="1"/>
    <xf numFmtId="164" fontId="13" fillId="4" borderId="0" xfId="3" applyNumberFormat="1" applyFont="1" applyFill="1" applyBorder="1" applyAlignment="1" applyProtection="1">
      <alignment horizontal="left"/>
    </xf>
    <xf numFmtId="0" fontId="13" fillId="4" borderId="7" xfId="0" applyFont="1" applyFill="1" applyBorder="1" applyProtection="1"/>
    <xf numFmtId="0" fontId="13" fillId="4" borderId="7" xfId="0" applyFont="1" applyFill="1" applyBorder="1" applyAlignment="1" applyProtection="1">
      <alignment horizontal="center"/>
    </xf>
    <xf numFmtId="0" fontId="13" fillId="4" borderId="2" xfId="0" applyFont="1" applyFill="1" applyBorder="1" applyProtection="1"/>
    <xf numFmtId="0" fontId="13" fillId="4" borderId="2" xfId="0" applyFont="1" applyFill="1" applyBorder="1" applyAlignment="1" applyProtection="1">
      <alignment horizontal="center"/>
    </xf>
    <xf numFmtId="164" fontId="13" fillId="4" borderId="2" xfId="3" applyNumberFormat="1" applyFont="1" applyFill="1" applyBorder="1" applyAlignment="1" applyProtection="1">
      <alignment horizontal="left"/>
    </xf>
    <xf numFmtId="167" fontId="25" fillId="4" borderId="0" xfId="3" applyNumberFormat="1" applyFont="1" applyFill="1" applyBorder="1" applyProtection="1"/>
    <xf numFmtId="0" fontId="10" fillId="4" borderId="7" xfId="0" applyFont="1" applyFill="1" applyBorder="1" applyAlignment="1" applyProtection="1">
      <alignment horizontal="center"/>
    </xf>
    <xf numFmtId="0" fontId="38" fillId="3" borderId="14" xfId="0" applyFont="1" applyFill="1" applyBorder="1" applyAlignment="1" applyProtection="1">
      <alignment horizontal="center"/>
    </xf>
    <xf numFmtId="0" fontId="7" fillId="3" borderId="14" xfId="0" applyFont="1" applyFill="1" applyBorder="1" applyAlignment="1" applyProtection="1">
      <alignment horizontal="left"/>
    </xf>
    <xf numFmtId="0" fontId="10" fillId="4" borderId="14" xfId="0" applyFont="1" applyFill="1" applyBorder="1" applyAlignment="1" applyProtection="1">
      <alignment horizontal="left"/>
      <protection locked="0"/>
    </xf>
    <xf numFmtId="164" fontId="12" fillId="3" borderId="14" xfId="0" applyNumberFormat="1" applyFont="1" applyFill="1" applyBorder="1" applyAlignment="1" applyProtection="1">
      <alignment horizontal="left"/>
    </xf>
    <xf numFmtId="0" fontId="6" fillId="4" borderId="4" xfId="0" applyFont="1" applyFill="1" applyBorder="1" applyProtection="1"/>
    <xf numFmtId="0" fontId="6" fillId="4" borderId="0" xfId="0" applyFont="1" applyFill="1" applyBorder="1" applyProtection="1"/>
    <xf numFmtId="0" fontId="6" fillId="4" borderId="5" xfId="0" applyFont="1" applyFill="1" applyBorder="1" applyProtection="1"/>
    <xf numFmtId="0" fontId="11" fillId="4" borderId="4" xfId="0" applyFont="1" applyFill="1" applyBorder="1" applyProtection="1"/>
    <xf numFmtId="0" fontId="11" fillId="4" borderId="5" xfId="0" applyFont="1" applyFill="1" applyBorder="1" applyProtection="1"/>
    <xf numFmtId="0" fontId="6" fillId="4" borderId="6" xfId="0" applyFont="1" applyFill="1" applyBorder="1" applyProtection="1"/>
    <xf numFmtId="0" fontId="6" fillId="4" borderId="7" xfId="0" applyFont="1" applyFill="1" applyBorder="1" applyProtection="1"/>
    <xf numFmtId="0" fontId="6" fillId="4" borderId="8" xfId="0" applyFont="1" applyFill="1" applyBorder="1" applyProtection="1"/>
    <xf numFmtId="0" fontId="6" fillId="3" borderId="10" xfId="0" applyFont="1" applyFill="1" applyBorder="1" applyProtection="1"/>
    <xf numFmtId="0" fontId="6" fillId="3" borderId="13" xfId="0" applyFont="1" applyFill="1" applyBorder="1" applyProtection="1"/>
    <xf numFmtId="0" fontId="6" fillId="3" borderId="15" xfId="0" applyFont="1" applyFill="1" applyBorder="1" applyProtection="1"/>
    <xf numFmtId="0" fontId="6" fillId="3" borderId="14" xfId="0" applyFont="1" applyFill="1" applyBorder="1" applyProtection="1"/>
    <xf numFmtId="0" fontId="6" fillId="4" borderId="14" xfId="0" applyFont="1" applyFill="1" applyBorder="1" applyAlignment="1" applyProtection="1">
      <alignment horizontal="left"/>
      <protection locked="0"/>
    </xf>
    <xf numFmtId="0" fontId="6" fillId="3" borderId="0" xfId="0" applyFont="1" applyFill="1" applyProtection="1"/>
    <xf numFmtId="0" fontId="36" fillId="4" borderId="4" xfId="0" applyFont="1" applyFill="1" applyBorder="1" applyProtection="1"/>
    <xf numFmtId="0" fontId="36" fillId="4" borderId="5" xfId="0" applyFont="1" applyFill="1" applyBorder="1" applyProtection="1"/>
    <xf numFmtId="0" fontId="35" fillId="4" borderId="4" xfId="0" applyFont="1" applyFill="1" applyBorder="1" applyProtection="1"/>
    <xf numFmtId="0" fontId="37" fillId="4" borderId="0" xfId="0" applyFont="1" applyFill="1" applyBorder="1" applyAlignment="1" applyProtection="1">
      <alignment horizontal="center"/>
    </xf>
    <xf numFmtId="0" fontId="35" fillId="4" borderId="5" xfId="0" applyFont="1" applyFill="1" applyBorder="1" applyProtection="1"/>
    <xf numFmtId="0" fontId="36" fillId="4" borderId="0" xfId="0" applyFont="1" applyFill="1" applyBorder="1" applyAlignment="1" applyProtection="1">
      <alignment horizontal="center"/>
    </xf>
    <xf numFmtId="0" fontId="36" fillId="4" borderId="0" xfId="0" applyFont="1" applyFill="1" applyBorder="1" applyAlignment="1" applyProtection="1">
      <alignment horizontal="left"/>
    </xf>
    <xf numFmtId="0" fontId="35" fillId="3" borderId="0" xfId="0" applyFont="1" applyFill="1" applyProtection="1"/>
    <xf numFmtId="0" fontId="37" fillId="3" borderId="14" xfId="0" applyFont="1" applyFill="1" applyBorder="1" applyProtection="1"/>
    <xf numFmtId="0" fontId="13" fillId="3" borderId="11" xfId="0" applyFont="1" applyFill="1" applyBorder="1" applyProtection="1"/>
    <xf numFmtId="0" fontId="13" fillId="3" borderId="11" xfId="0" applyFont="1" applyFill="1" applyBorder="1" applyAlignment="1" applyProtection="1">
      <alignment horizontal="center"/>
    </xf>
    <xf numFmtId="0" fontId="13" fillId="3" borderId="14" xfId="0" applyFont="1" applyFill="1" applyBorder="1" applyAlignment="1" applyProtection="1">
      <alignment horizontal="right"/>
    </xf>
    <xf numFmtId="0" fontId="13" fillId="3" borderId="14" xfId="0" applyFont="1" applyFill="1" applyBorder="1" applyAlignment="1" applyProtection="1">
      <alignment horizontal="center"/>
    </xf>
    <xf numFmtId="2" fontId="10" fillId="3" borderId="14" xfId="0" applyNumberFormat="1" applyFont="1" applyFill="1" applyBorder="1" applyProtection="1"/>
    <xf numFmtId="0" fontId="13" fillId="3" borderId="17" xfId="0" applyFont="1" applyFill="1" applyBorder="1" applyProtection="1"/>
    <xf numFmtId="0" fontId="10" fillId="3" borderId="17" xfId="0" applyFont="1" applyFill="1" applyBorder="1" applyAlignment="1" applyProtection="1">
      <alignment horizontal="center"/>
    </xf>
    <xf numFmtId="0" fontId="35" fillId="4" borderId="0" xfId="0" applyFont="1" applyFill="1" applyBorder="1" applyAlignment="1" applyProtection="1">
      <alignment horizontal="center"/>
    </xf>
    <xf numFmtId="0" fontId="35" fillId="3" borderId="13" xfId="0" applyFont="1" applyFill="1" applyBorder="1" applyProtection="1"/>
    <xf numFmtId="0" fontId="33" fillId="3" borderId="14" xfId="0" applyFont="1" applyFill="1" applyBorder="1" applyAlignment="1" applyProtection="1">
      <alignment horizontal="left"/>
    </xf>
    <xf numFmtId="0" fontId="35" fillId="3" borderId="14" xfId="0" applyFont="1" applyFill="1" applyBorder="1" applyAlignment="1" applyProtection="1">
      <alignment horizontal="center"/>
    </xf>
    <xf numFmtId="0" fontId="35" fillId="3" borderId="15" xfId="0" applyFont="1" applyFill="1" applyBorder="1" applyProtection="1"/>
    <xf numFmtId="0" fontId="39" fillId="3" borderId="0" xfId="0" applyFont="1" applyFill="1" applyBorder="1" applyProtection="1"/>
    <xf numFmtId="0" fontId="40" fillId="3" borderId="0" xfId="0" applyFont="1" applyFill="1" applyBorder="1" applyProtection="1"/>
    <xf numFmtId="0" fontId="14" fillId="3" borderId="0" xfId="0" applyFont="1" applyFill="1" applyBorder="1" applyProtection="1"/>
    <xf numFmtId="0" fontId="17" fillId="3" borderId="0" xfId="0" applyFont="1" applyFill="1" applyBorder="1" applyAlignment="1" applyProtection="1">
      <alignment horizontal="center"/>
    </xf>
    <xf numFmtId="0" fontId="12" fillId="3" borderId="0" xfId="0" applyFont="1" applyFill="1" applyBorder="1" applyAlignment="1" applyProtection="1">
      <alignment horizontal="center"/>
    </xf>
    <xf numFmtId="164" fontId="10" fillId="3" borderId="0" xfId="0" applyNumberFormat="1" applyFont="1" applyFill="1" applyBorder="1" applyAlignment="1" applyProtection="1">
      <alignment horizontal="center"/>
    </xf>
    <xf numFmtId="165" fontId="10" fillId="3" borderId="0" xfId="0" applyNumberFormat="1" applyFont="1" applyFill="1" applyBorder="1" applyProtection="1"/>
    <xf numFmtId="2" fontId="10" fillId="3" borderId="0" xfId="0" applyNumberFormat="1" applyFont="1" applyFill="1" applyBorder="1" applyAlignment="1" applyProtection="1">
      <alignment horizontal="center"/>
    </xf>
    <xf numFmtId="171" fontId="13" fillId="3" borderId="0" xfId="0" applyNumberFormat="1" applyFont="1" applyFill="1" applyBorder="1" applyAlignment="1" applyProtection="1">
      <alignment horizontal="center"/>
    </xf>
    <xf numFmtId="164" fontId="13" fillId="3" borderId="0" xfId="0" applyNumberFormat="1" applyFont="1" applyFill="1" applyBorder="1" applyAlignment="1" applyProtection="1">
      <alignment horizontal="center"/>
    </xf>
    <xf numFmtId="2" fontId="13" fillId="3" borderId="0" xfId="0" applyNumberFormat="1" applyFont="1" applyFill="1" applyBorder="1" applyAlignment="1" applyProtection="1">
      <alignment horizontal="center"/>
    </xf>
    <xf numFmtId="0" fontId="11" fillId="3" borderId="0" xfId="0" applyNumberFormat="1" applyFont="1" applyFill="1" applyBorder="1" applyAlignment="1" applyProtection="1">
      <alignment horizontal="left"/>
    </xf>
    <xf numFmtId="0" fontId="23" fillId="4" borderId="5" xfId="0" applyFont="1" applyFill="1" applyBorder="1" applyProtection="1"/>
    <xf numFmtId="0" fontId="12" fillId="4" borderId="0" xfId="0" applyFont="1" applyFill="1" applyBorder="1" applyAlignment="1" applyProtection="1">
      <alignment horizontal="center"/>
    </xf>
    <xf numFmtId="164" fontId="10" fillId="4" borderId="0" xfId="0" applyNumberFormat="1" applyFont="1" applyFill="1" applyBorder="1" applyAlignment="1" applyProtection="1">
      <alignment horizontal="center"/>
    </xf>
    <xf numFmtId="171" fontId="10" fillId="4" borderId="0" xfId="0" applyNumberFormat="1" applyFont="1" applyFill="1" applyBorder="1" applyAlignment="1" applyProtection="1">
      <alignment horizontal="center"/>
    </xf>
    <xf numFmtId="165" fontId="10" fillId="4" borderId="5" xfId="0" applyNumberFormat="1" applyFont="1" applyFill="1" applyBorder="1" applyProtection="1"/>
    <xf numFmtId="171" fontId="10" fillId="4" borderId="7" xfId="0" applyNumberFormat="1" applyFont="1" applyFill="1" applyBorder="1" applyProtection="1"/>
    <xf numFmtId="0" fontId="13" fillId="4" borderId="0" xfId="0" applyFont="1" applyFill="1" applyBorder="1" applyAlignment="1" applyProtection="1">
      <alignment horizontal="right"/>
    </xf>
    <xf numFmtId="171" fontId="13" fillId="4" borderId="0" xfId="0" applyNumberFormat="1" applyFont="1" applyFill="1" applyBorder="1" applyAlignment="1" applyProtection="1">
      <alignment horizontal="center"/>
    </xf>
    <xf numFmtId="171" fontId="10" fillId="4" borderId="0" xfId="0" applyNumberFormat="1" applyFont="1" applyFill="1" applyBorder="1" applyProtection="1"/>
    <xf numFmtId="0" fontId="20" fillId="4" borderId="0" xfId="0" applyFont="1" applyFill="1" applyBorder="1" applyAlignment="1" applyProtection="1">
      <alignment horizontal="right"/>
    </xf>
    <xf numFmtId="164" fontId="13" fillId="4" borderId="0" xfId="0" applyNumberFormat="1" applyFont="1" applyFill="1" applyBorder="1" applyAlignment="1" applyProtection="1">
      <alignment horizontal="center"/>
    </xf>
    <xf numFmtId="2" fontId="13" fillId="4" borderId="0" xfId="0" applyNumberFormat="1" applyFont="1" applyFill="1" applyBorder="1" applyAlignment="1" applyProtection="1">
      <alignment horizontal="center"/>
    </xf>
    <xf numFmtId="164" fontId="13" fillId="4" borderId="0" xfId="0" applyNumberFormat="1" applyFont="1" applyFill="1" applyBorder="1" applyAlignment="1" applyProtection="1">
      <alignment horizontal="left"/>
    </xf>
    <xf numFmtId="0" fontId="13" fillId="4" borderId="0" xfId="0" applyFont="1" applyFill="1" applyBorder="1" applyAlignment="1" applyProtection="1">
      <alignment horizontal="left"/>
    </xf>
    <xf numFmtId="164" fontId="10" fillId="4" borderId="14" xfId="0" applyNumberFormat="1" applyFont="1" applyFill="1" applyBorder="1" applyAlignment="1" applyProtection="1">
      <alignment horizontal="center"/>
      <protection locked="0"/>
    </xf>
    <xf numFmtId="2" fontId="10" fillId="4" borderId="14" xfId="0" applyNumberFormat="1" applyFont="1" applyFill="1" applyBorder="1" applyAlignment="1" applyProtection="1">
      <alignment horizontal="center"/>
    </xf>
    <xf numFmtId="171" fontId="10" fillId="3" borderId="11" xfId="0" applyNumberFormat="1" applyFont="1" applyFill="1" applyBorder="1" applyAlignment="1" applyProtection="1">
      <alignment horizontal="center"/>
    </xf>
    <xf numFmtId="0" fontId="13" fillId="3" borderId="11" xfId="0" applyFont="1" applyFill="1" applyBorder="1" applyAlignment="1" applyProtection="1">
      <alignment horizontal="right"/>
    </xf>
    <xf numFmtId="171" fontId="13" fillId="3" borderId="11" xfId="0" applyNumberFormat="1" applyFont="1" applyFill="1" applyBorder="1" applyAlignment="1" applyProtection="1">
      <alignment horizontal="center"/>
    </xf>
    <xf numFmtId="171" fontId="10" fillId="3" borderId="11" xfId="0" applyNumberFormat="1" applyFont="1" applyFill="1" applyBorder="1" applyProtection="1"/>
    <xf numFmtId="0" fontId="20" fillId="3" borderId="14" xfId="0" applyFont="1" applyFill="1" applyBorder="1" applyProtection="1"/>
    <xf numFmtId="164" fontId="18" fillId="3" borderId="14" xfId="0" applyNumberFormat="1" applyFont="1" applyFill="1" applyBorder="1" applyAlignment="1" applyProtection="1">
      <alignment horizontal="center"/>
    </xf>
    <xf numFmtId="0" fontId="20" fillId="3" borderId="14" xfId="0" applyFont="1" applyFill="1" applyBorder="1" applyAlignment="1" applyProtection="1">
      <alignment horizontal="right"/>
    </xf>
    <xf numFmtId="171" fontId="20" fillId="3" borderId="14" xfId="0" applyNumberFormat="1" applyFont="1" applyFill="1" applyBorder="1" applyAlignment="1" applyProtection="1">
      <alignment horizontal="center"/>
    </xf>
    <xf numFmtId="0" fontId="17" fillId="3" borderId="14" xfId="0" applyFont="1" applyFill="1" applyBorder="1" applyProtection="1"/>
    <xf numFmtId="0" fontId="17" fillId="3" borderId="15" xfId="0" applyFont="1" applyFill="1" applyBorder="1" applyProtection="1"/>
    <xf numFmtId="164" fontId="12" fillId="3" borderId="14" xfId="0" applyNumberFormat="1" applyFont="1" applyFill="1" applyBorder="1" applyAlignment="1" applyProtection="1">
      <alignment horizontal="center"/>
    </xf>
    <xf numFmtId="171" fontId="13" fillId="3" borderId="14" xfId="0" applyNumberFormat="1" applyFont="1" applyFill="1" applyBorder="1" applyAlignment="1" applyProtection="1">
      <alignment horizontal="center"/>
    </xf>
    <xf numFmtId="177" fontId="10" fillId="3" borderId="14" xfId="0" applyNumberFormat="1" applyFont="1" applyFill="1" applyBorder="1" applyAlignment="1" applyProtection="1">
      <alignment horizontal="left"/>
    </xf>
    <xf numFmtId="164" fontId="11" fillId="3" borderId="14" xfId="0" applyNumberFormat="1" applyFont="1" applyFill="1" applyBorder="1" applyAlignment="1" applyProtection="1">
      <alignment horizontal="center"/>
    </xf>
    <xf numFmtId="2" fontId="11" fillId="3" borderId="14" xfId="0" applyNumberFormat="1" applyFont="1" applyFill="1" applyBorder="1" applyAlignment="1" applyProtection="1">
      <alignment horizontal="center"/>
    </xf>
    <xf numFmtId="2" fontId="10" fillId="3" borderId="15" xfId="0" applyNumberFormat="1" applyFont="1" applyFill="1" applyBorder="1" applyAlignment="1" applyProtection="1">
      <alignment horizontal="center"/>
    </xf>
    <xf numFmtId="164" fontId="13" fillId="3" borderId="14" xfId="0" applyNumberFormat="1" applyFont="1" applyFill="1" applyBorder="1" applyAlignment="1" applyProtection="1">
      <alignment horizontal="center"/>
    </xf>
    <xf numFmtId="2" fontId="13" fillId="3" borderId="14" xfId="0" applyNumberFormat="1" applyFont="1" applyFill="1" applyBorder="1" applyAlignment="1" applyProtection="1">
      <alignment horizontal="center"/>
    </xf>
    <xf numFmtId="0" fontId="13" fillId="3" borderId="15" xfId="0" applyFont="1" applyFill="1" applyBorder="1" applyProtection="1"/>
    <xf numFmtId="171" fontId="10" fillId="3" borderId="14" xfId="0" applyNumberFormat="1" applyFont="1" applyFill="1" applyBorder="1" applyProtection="1"/>
    <xf numFmtId="171" fontId="17" fillId="3" borderId="14" xfId="0" applyNumberFormat="1" applyFont="1" applyFill="1" applyBorder="1" applyProtection="1"/>
    <xf numFmtId="171" fontId="10" fillId="3" borderId="14" xfId="0" applyNumberFormat="1" applyFont="1" applyFill="1" applyBorder="1" applyAlignment="1" applyProtection="1">
      <alignment horizontal="center"/>
    </xf>
    <xf numFmtId="164" fontId="13" fillId="3" borderId="14" xfId="0" applyNumberFormat="1" applyFont="1" applyFill="1" applyBorder="1" applyAlignment="1" applyProtection="1">
      <alignment horizontal="left"/>
    </xf>
    <xf numFmtId="171" fontId="10" fillId="3" borderId="17" xfId="0" applyNumberFormat="1" applyFont="1" applyFill="1" applyBorder="1" applyAlignment="1" applyProtection="1">
      <alignment horizontal="center"/>
    </xf>
    <xf numFmtId="0" fontId="13" fillId="3" borderId="17" xfId="0" applyFont="1" applyFill="1" applyBorder="1" applyAlignment="1" applyProtection="1">
      <alignment horizontal="center"/>
    </xf>
    <xf numFmtId="0" fontId="13" fillId="3" borderId="17" xfId="0" applyFont="1" applyFill="1" applyBorder="1" applyAlignment="1" applyProtection="1">
      <alignment horizontal="right"/>
    </xf>
    <xf numFmtId="0" fontId="17" fillId="3" borderId="14" xfId="0" applyFont="1" applyFill="1" applyBorder="1" applyAlignment="1" applyProtection="1">
      <alignment horizontal="center"/>
    </xf>
    <xf numFmtId="166" fontId="17" fillId="3" borderId="14" xfId="0" applyNumberFormat="1" applyFont="1" applyFill="1" applyBorder="1" applyAlignment="1" applyProtection="1">
      <alignment horizontal="center"/>
    </xf>
    <xf numFmtId="0" fontId="12" fillId="3" borderId="14" xfId="0" applyFont="1" applyFill="1" applyBorder="1" applyAlignment="1" applyProtection="1">
      <alignment horizontal="center"/>
    </xf>
    <xf numFmtId="164" fontId="10" fillId="3" borderId="14" xfId="0" applyNumberFormat="1" applyFont="1" applyFill="1" applyBorder="1" applyAlignment="1" applyProtection="1">
      <alignment horizontal="center"/>
    </xf>
    <xf numFmtId="165" fontId="10" fillId="3" borderId="14" xfId="0" applyNumberFormat="1" applyFont="1" applyFill="1" applyBorder="1" applyAlignment="1" applyProtection="1">
      <alignment horizontal="center"/>
    </xf>
    <xf numFmtId="165" fontId="10" fillId="3" borderId="14" xfId="0" applyNumberFormat="1" applyFont="1" applyFill="1" applyBorder="1" applyProtection="1"/>
    <xf numFmtId="171" fontId="10" fillId="3" borderId="15" xfId="0" applyNumberFormat="1" applyFont="1" applyFill="1" applyBorder="1" applyAlignment="1" applyProtection="1">
      <alignment horizontal="center"/>
    </xf>
    <xf numFmtId="175" fontId="10" fillId="3" borderId="15" xfId="0" applyNumberFormat="1" applyFont="1" applyFill="1" applyBorder="1" applyAlignment="1" applyProtection="1">
      <alignment horizontal="center"/>
    </xf>
    <xf numFmtId="0" fontId="11" fillId="3" borderId="13" xfId="0" applyFont="1" applyFill="1" applyBorder="1" applyProtection="1"/>
    <xf numFmtId="0" fontId="22" fillId="3" borderId="14" xfId="0" applyFont="1" applyFill="1" applyBorder="1" applyAlignment="1" applyProtection="1">
      <alignment horizontal="left"/>
    </xf>
    <xf numFmtId="0" fontId="27" fillId="3" borderId="14" xfId="0" applyFont="1" applyFill="1" applyBorder="1" applyProtection="1"/>
    <xf numFmtId="10" fontId="22" fillId="3" borderId="14" xfId="0" applyNumberFormat="1" applyFont="1" applyFill="1" applyBorder="1" applyAlignment="1" applyProtection="1">
      <alignment horizontal="center"/>
    </xf>
    <xf numFmtId="0" fontId="11" fillId="3" borderId="14" xfId="0" applyFont="1" applyFill="1" applyBorder="1" applyAlignment="1" applyProtection="1">
      <alignment horizontal="right"/>
    </xf>
    <xf numFmtId="2" fontId="11" fillId="3" borderId="15" xfId="0" applyNumberFormat="1" applyFont="1" applyFill="1" applyBorder="1" applyAlignment="1" applyProtection="1">
      <alignment horizontal="center"/>
    </xf>
    <xf numFmtId="0" fontId="11" fillId="3" borderId="14" xfId="0" applyFont="1" applyFill="1" applyBorder="1" applyProtection="1"/>
    <xf numFmtId="0" fontId="10" fillId="3" borderId="14" xfId="0" quotePrefix="1" applyFont="1" applyFill="1" applyBorder="1" applyAlignment="1" applyProtection="1">
      <alignment horizontal="left"/>
    </xf>
    <xf numFmtId="174" fontId="10" fillId="3" borderId="14" xfId="0" applyNumberFormat="1" applyFont="1" applyFill="1" applyBorder="1" applyAlignment="1" applyProtection="1">
      <alignment horizontal="center"/>
    </xf>
    <xf numFmtId="0" fontId="12" fillId="3" borderId="13" xfId="0" applyFont="1" applyFill="1" applyBorder="1" applyProtection="1"/>
    <xf numFmtId="0" fontId="12" fillId="3" borderId="14" xfId="0" quotePrefix="1" applyFont="1" applyFill="1" applyBorder="1" applyAlignment="1" applyProtection="1">
      <alignment horizontal="left"/>
    </xf>
    <xf numFmtId="174" fontId="12" fillId="3" borderId="14" xfId="0" applyNumberFormat="1" applyFont="1" applyFill="1" applyBorder="1" applyAlignment="1" applyProtection="1">
      <alignment horizontal="center"/>
    </xf>
    <xf numFmtId="2" fontId="12" fillId="3" borderId="15" xfId="0" applyNumberFormat="1" applyFont="1" applyFill="1" applyBorder="1" applyAlignment="1" applyProtection="1">
      <alignment horizontal="center"/>
    </xf>
    <xf numFmtId="0" fontId="10" fillId="3" borderId="14" xfId="0" quotePrefix="1" applyFont="1" applyFill="1" applyBorder="1" applyProtection="1"/>
    <xf numFmtId="10" fontId="10" fillId="3" borderId="14" xfId="0" applyNumberFormat="1" applyFont="1" applyFill="1" applyBorder="1" applyAlignment="1" applyProtection="1">
      <alignment horizontal="center"/>
    </xf>
    <xf numFmtId="0" fontId="12" fillId="3" borderId="14" xfId="0" quotePrefix="1" applyFont="1" applyFill="1" applyBorder="1" applyProtection="1"/>
    <xf numFmtId="10" fontId="12" fillId="3" borderId="14" xfId="0" applyNumberFormat="1" applyFont="1" applyFill="1" applyBorder="1" applyAlignment="1" applyProtection="1">
      <alignment horizontal="center"/>
    </xf>
    <xf numFmtId="0" fontId="12" fillId="3" borderId="15" xfId="0" applyFont="1" applyFill="1" applyBorder="1" applyProtection="1"/>
    <xf numFmtId="164" fontId="10" fillId="3" borderId="17" xfId="0" applyNumberFormat="1" applyFont="1" applyFill="1" applyBorder="1" applyAlignment="1" applyProtection="1">
      <alignment horizontal="center"/>
    </xf>
    <xf numFmtId="164" fontId="13" fillId="3" borderId="17" xfId="0" applyNumberFormat="1" applyFont="1" applyFill="1" applyBorder="1" applyAlignment="1" applyProtection="1">
      <alignment horizontal="center"/>
    </xf>
    <xf numFmtId="171" fontId="13" fillId="3" borderId="17" xfId="0" applyNumberFormat="1" applyFont="1" applyFill="1" applyBorder="1" applyAlignment="1" applyProtection="1">
      <alignment horizontal="center"/>
    </xf>
    <xf numFmtId="174" fontId="10" fillId="4" borderId="14" xfId="2" applyNumberFormat="1" applyFont="1" applyFill="1" applyBorder="1" applyAlignment="1" applyProtection="1">
      <alignment horizontal="center"/>
      <protection locked="0"/>
    </xf>
    <xf numFmtId="167" fontId="35" fillId="3" borderId="14" xfId="0" applyNumberFormat="1" applyFont="1" applyFill="1" applyBorder="1" applyProtection="1"/>
    <xf numFmtId="171" fontId="10" fillId="3" borderId="17" xfId="0" applyNumberFormat="1" applyFont="1" applyFill="1" applyBorder="1" applyProtection="1"/>
    <xf numFmtId="164" fontId="13" fillId="3" borderId="11" xfId="0" applyNumberFormat="1" applyFont="1" applyFill="1" applyBorder="1" applyAlignment="1" applyProtection="1">
      <alignment horizontal="center"/>
    </xf>
    <xf numFmtId="2" fontId="13" fillId="3" borderId="11" xfId="0" applyNumberFormat="1" applyFont="1" applyFill="1" applyBorder="1" applyAlignment="1" applyProtection="1">
      <alignment horizontal="center"/>
    </xf>
    <xf numFmtId="2" fontId="10" fillId="3" borderId="11" xfId="0" applyNumberFormat="1" applyFont="1" applyFill="1" applyBorder="1" applyProtection="1"/>
    <xf numFmtId="0" fontId="13" fillId="3" borderId="16" xfId="0" applyFont="1" applyFill="1" applyBorder="1" applyProtection="1"/>
    <xf numFmtId="164" fontId="13" fillId="3" borderId="17" xfId="0" applyNumberFormat="1" applyFont="1" applyFill="1" applyBorder="1" applyAlignment="1" applyProtection="1">
      <alignment horizontal="left"/>
    </xf>
    <xf numFmtId="2" fontId="13" fillId="3" borderId="17" xfId="0" applyNumberFormat="1" applyFont="1" applyFill="1" applyBorder="1" applyAlignment="1" applyProtection="1">
      <alignment horizontal="center"/>
    </xf>
    <xf numFmtId="0" fontId="13" fillId="3" borderId="18" xfId="0" applyFont="1" applyFill="1" applyBorder="1" applyProtection="1"/>
    <xf numFmtId="0" fontId="13" fillId="3" borderId="10" xfId="0" applyFont="1" applyFill="1" applyBorder="1" applyProtection="1"/>
    <xf numFmtId="164" fontId="13" fillId="3" borderId="11" xfId="0" applyNumberFormat="1" applyFont="1" applyFill="1" applyBorder="1" applyAlignment="1" applyProtection="1">
      <alignment horizontal="left"/>
    </xf>
    <xf numFmtId="0" fontId="13" fillId="3" borderId="12" xfId="0" applyFont="1" applyFill="1" applyBorder="1" applyProtection="1"/>
    <xf numFmtId="0" fontId="13" fillId="3" borderId="17" xfId="0" applyFont="1" applyFill="1" applyBorder="1" applyAlignment="1" applyProtection="1">
      <alignment horizontal="left"/>
    </xf>
    <xf numFmtId="0" fontId="13" fillId="3" borderId="11" xfId="0" applyFont="1" applyFill="1" applyBorder="1" applyAlignment="1" applyProtection="1">
      <alignment horizontal="left"/>
    </xf>
    <xf numFmtId="0" fontId="14" fillId="3" borderId="0" xfId="0" applyFont="1" applyFill="1" applyBorder="1" applyAlignment="1" applyProtection="1">
      <alignment horizontal="center"/>
    </xf>
    <xf numFmtId="0" fontId="14" fillId="4" borderId="0" xfId="0" applyFont="1" applyFill="1" applyBorder="1" applyAlignment="1" applyProtection="1">
      <alignment horizontal="center"/>
    </xf>
    <xf numFmtId="171" fontId="10" fillId="4" borderId="6" xfId="0" applyNumberFormat="1" applyFont="1" applyFill="1" applyBorder="1" applyProtection="1"/>
    <xf numFmtId="171" fontId="30" fillId="4" borderId="7" xfId="0" applyNumberFormat="1" applyFont="1" applyFill="1" applyBorder="1" applyAlignment="1" applyProtection="1">
      <alignment horizontal="right"/>
    </xf>
    <xf numFmtId="171" fontId="10" fillId="4" borderId="8" xfId="0" applyNumberFormat="1" applyFont="1" applyFill="1" applyBorder="1" applyProtection="1"/>
    <xf numFmtId="0" fontId="10" fillId="3" borderId="14" xfId="0" applyFont="1" applyFill="1" applyBorder="1" applyAlignment="1" applyProtection="1">
      <alignment horizontal="left"/>
      <protection locked="0"/>
    </xf>
    <xf numFmtId="164" fontId="10" fillId="3" borderId="14" xfId="0" applyNumberFormat="1" applyFont="1" applyFill="1" applyBorder="1" applyProtection="1"/>
    <xf numFmtId="176" fontId="13" fillId="3" borderId="14" xfId="0" applyNumberFormat="1" applyFont="1" applyFill="1" applyBorder="1" applyAlignment="1" applyProtection="1">
      <alignment horizontal="center"/>
    </xf>
    <xf numFmtId="1" fontId="13" fillId="3" borderId="14" xfId="0" applyNumberFormat="1" applyFont="1" applyFill="1" applyBorder="1" applyAlignment="1" applyProtection="1">
      <alignment horizontal="center"/>
    </xf>
    <xf numFmtId="171" fontId="10" fillId="4" borderId="14" xfId="0" applyNumberFormat="1" applyFont="1" applyFill="1" applyBorder="1" applyAlignment="1" applyProtection="1">
      <alignment horizontal="center"/>
      <protection locked="0"/>
    </xf>
    <xf numFmtId="176" fontId="10" fillId="4" borderId="14" xfId="0" applyNumberFormat="1" applyFont="1" applyFill="1" applyBorder="1" applyAlignment="1" applyProtection="1">
      <alignment horizontal="center"/>
      <protection locked="0"/>
    </xf>
    <xf numFmtId="0" fontId="10" fillId="3" borderId="11" xfId="0" applyFont="1" applyFill="1" applyBorder="1" applyAlignment="1" applyProtection="1">
      <alignment horizontal="left"/>
    </xf>
    <xf numFmtId="167" fontId="10" fillId="3" borderId="11" xfId="0" applyNumberFormat="1" applyFont="1" applyFill="1" applyBorder="1" applyProtection="1"/>
    <xf numFmtId="167" fontId="11" fillId="3" borderId="11" xfId="0" quotePrefix="1" applyNumberFormat="1" applyFont="1" applyFill="1" applyBorder="1" applyAlignment="1" applyProtection="1">
      <alignment horizontal="right"/>
    </xf>
    <xf numFmtId="0" fontId="12" fillId="3" borderId="14" xfId="0" applyFont="1" applyFill="1" applyBorder="1" applyAlignment="1" applyProtection="1"/>
    <xf numFmtId="167" fontId="11" fillId="3" borderId="14" xfId="0" quotePrefix="1" applyNumberFormat="1" applyFont="1" applyFill="1" applyBorder="1" applyAlignment="1" applyProtection="1">
      <alignment horizontal="right"/>
    </xf>
    <xf numFmtId="9" fontId="13" fillId="3" borderId="14" xfId="0" applyNumberFormat="1" applyFont="1" applyFill="1" applyBorder="1" applyAlignment="1" applyProtection="1">
      <alignment horizontal="center"/>
    </xf>
    <xf numFmtId="164" fontId="12" fillId="3" borderId="15" xfId="3" applyNumberFormat="1" applyFont="1" applyFill="1" applyBorder="1" applyAlignment="1" applyProtection="1">
      <alignment horizontal="left"/>
    </xf>
    <xf numFmtId="164" fontId="11" fillId="3" borderId="15" xfId="3" applyNumberFormat="1" applyFont="1" applyFill="1" applyBorder="1" applyAlignment="1" applyProtection="1">
      <alignment horizontal="left"/>
    </xf>
    <xf numFmtId="164" fontId="13" fillId="3" borderId="15" xfId="3" applyNumberFormat="1" applyFont="1" applyFill="1" applyBorder="1" applyAlignment="1" applyProtection="1">
      <alignment horizontal="left"/>
    </xf>
    <xf numFmtId="164" fontId="27" fillId="3" borderId="14" xfId="3" applyNumberFormat="1" applyFont="1" applyFill="1" applyBorder="1" applyAlignment="1" applyProtection="1">
      <alignment horizontal="left"/>
    </xf>
    <xf numFmtId="164" fontId="11" fillId="3" borderId="14" xfId="0" applyNumberFormat="1" applyFont="1" applyFill="1" applyBorder="1" applyProtection="1"/>
    <xf numFmtId="165" fontId="13" fillId="3" borderId="15" xfId="3" applyNumberFormat="1" applyFont="1" applyFill="1" applyBorder="1" applyProtection="1"/>
    <xf numFmtId="164" fontId="13" fillId="3" borderId="14" xfId="3" applyNumberFormat="1" applyFont="1" applyFill="1" applyBorder="1" applyAlignment="1" applyProtection="1">
      <alignment horizontal="left"/>
    </xf>
    <xf numFmtId="164" fontId="10" fillId="3" borderId="14" xfId="0" applyNumberFormat="1" applyFont="1" applyFill="1" applyBorder="1" applyAlignment="1" applyProtection="1">
      <alignment horizontal="left"/>
    </xf>
    <xf numFmtId="164" fontId="10" fillId="3" borderId="15" xfId="3" applyNumberFormat="1" applyFont="1" applyFill="1" applyBorder="1" applyAlignment="1" applyProtection="1">
      <alignment horizontal="left"/>
    </xf>
    <xf numFmtId="164" fontId="11" fillId="3" borderId="14" xfId="3" applyNumberFormat="1" applyFont="1" applyFill="1" applyBorder="1" applyAlignment="1" applyProtection="1">
      <alignment horizontal="left"/>
    </xf>
    <xf numFmtId="0" fontId="11" fillId="3" borderId="14" xfId="0" applyFont="1" applyFill="1" applyBorder="1" applyAlignment="1" applyProtection="1">
      <alignment horizontal="center"/>
    </xf>
    <xf numFmtId="164" fontId="13" fillId="3" borderId="18" xfId="3" applyNumberFormat="1" applyFont="1" applyFill="1" applyBorder="1" applyAlignment="1" applyProtection="1">
      <alignment horizontal="left"/>
    </xf>
    <xf numFmtId="0" fontId="11" fillId="3" borderId="11" xfId="0" applyFont="1" applyFill="1" applyBorder="1" applyProtection="1"/>
    <xf numFmtId="167" fontId="10" fillId="3" borderId="14" xfId="3" applyNumberFormat="1" applyFont="1" applyFill="1" applyBorder="1" applyProtection="1"/>
    <xf numFmtId="0" fontId="11" fillId="3" borderId="14" xfId="0" quotePrefix="1" applyNumberFormat="1" applyFont="1" applyFill="1" applyBorder="1" applyAlignment="1" applyProtection="1">
      <alignment horizontal="center"/>
    </xf>
    <xf numFmtId="167" fontId="13" fillId="3" borderId="14" xfId="3" applyNumberFormat="1" applyFont="1" applyFill="1" applyBorder="1" applyProtection="1"/>
    <xf numFmtId="167" fontId="12" fillId="3" borderId="14" xfId="3" applyNumberFormat="1" applyFont="1" applyFill="1" applyBorder="1" applyAlignment="1" applyProtection="1">
      <alignment horizontal="right"/>
    </xf>
    <xf numFmtId="1" fontId="10" fillId="3" borderId="14" xfId="0" applyNumberFormat="1" applyFont="1" applyFill="1" applyBorder="1" applyProtection="1"/>
    <xf numFmtId="1" fontId="13" fillId="3" borderId="14" xfId="0" applyNumberFormat="1" applyFont="1" applyFill="1" applyBorder="1" applyProtection="1"/>
    <xf numFmtId="167" fontId="25" fillId="3" borderId="17" xfId="3" applyNumberFormat="1" applyFont="1" applyFill="1" applyBorder="1" applyProtection="1"/>
    <xf numFmtId="165" fontId="13" fillId="3" borderId="17" xfId="3" applyNumberFormat="1" applyFont="1" applyFill="1" applyBorder="1" applyProtection="1"/>
    <xf numFmtId="0" fontId="32" fillId="4" borderId="4" xfId="0" applyFont="1" applyFill="1" applyBorder="1" applyProtection="1"/>
    <xf numFmtId="167" fontId="35" fillId="4" borderId="0" xfId="0" applyNumberFormat="1" applyFont="1" applyFill="1" applyBorder="1" applyProtection="1"/>
    <xf numFmtId="0" fontId="32" fillId="4" borderId="5" xfId="0" applyFont="1" applyFill="1" applyBorder="1" applyProtection="1"/>
    <xf numFmtId="0" fontId="34" fillId="4" borderId="0" xfId="0" applyNumberFormat="1" applyFont="1" applyFill="1" applyBorder="1" applyProtection="1"/>
    <xf numFmtId="0" fontId="37" fillId="4" borderId="0" xfId="0" applyNumberFormat="1" applyFont="1" applyFill="1" applyBorder="1" applyAlignment="1" applyProtection="1">
      <alignment horizontal="right"/>
    </xf>
    <xf numFmtId="0" fontId="34" fillId="4" borderId="0" xfId="0" quotePrefix="1" applyNumberFormat="1" applyFont="1" applyFill="1" applyBorder="1" applyAlignment="1" applyProtection="1">
      <alignment horizontal="center"/>
    </xf>
    <xf numFmtId="0" fontId="33" fillId="3" borderId="14" xfId="0" applyFont="1" applyFill="1" applyBorder="1" applyAlignment="1" applyProtection="1">
      <alignment horizontal="center"/>
    </xf>
    <xf numFmtId="165" fontId="33" fillId="3" borderId="15" xfId="3" applyNumberFormat="1" applyFont="1" applyFill="1" applyBorder="1" applyProtection="1"/>
    <xf numFmtId="0" fontId="33" fillId="4" borderId="4" xfId="0" applyFont="1" applyFill="1" applyBorder="1" applyProtection="1"/>
    <xf numFmtId="0" fontId="33" fillId="3" borderId="13" xfId="0" applyFont="1" applyFill="1" applyBorder="1" applyProtection="1"/>
    <xf numFmtId="0" fontId="35" fillId="3" borderId="14" xfId="0" applyFont="1" applyFill="1" applyBorder="1" applyAlignment="1" applyProtection="1">
      <alignment horizontal="left"/>
    </xf>
    <xf numFmtId="167" fontId="34" fillId="3" borderId="14" xfId="0" quotePrefix="1" applyNumberFormat="1" applyFont="1" applyFill="1" applyBorder="1" applyAlignment="1" applyProtection="1">
      <alignment horizontal="right"/>
    </xf>
    <xf numFmtId="0" fontId="33" fillId="4" borderId="5" xfId="0" applyFont="1" applyFill="1" applyBorder="1" applyProtection="1"/>
    <xf numFmtId="167" fontId="33" fillId="3" borderId="14" xfId="3" applyNumberFormat="1" applyFont="1" applyFill="1" applyBorder="1" applyAlignment="1" applyProtection="1">
      <alignment horizontal="left"/>
    </xf>
    <xf numFmtId="1" fontId="33" fillId="3" borderId="14" xfId="0" applyNumberFormat="1" applyFont="1" applyFill="1" applyBorder="1" applyProtection="1"/>
    <xf numFmtId="167" fontId="34" fillId="3" borderId="14" xfId="3" applyNumberFormat="1" applyFont="1" applyFill="1" applyBorder="1" applyAlignment="1" applyProtection="1">
      <alignment horizontal="center"/>
    </xf>
    <xf numFmtId="0" fontId="6" fillId="3" borderId="0" xfId="0" applyFont="1" applyFill="1" applyBorder="1" applyProtection="1"/>
    <xf numFmtId="0" fontId="6" fillId="3" borderId="0" xfId="0" applyNumberFormat="1" applyFont="1" applyFill="1" applyBorder="1" applyProtection="1"/>
    <xf numFmtId="0" fontId="6" fillId="4" borderId="1" xfId="0" applyFont="1" applyFill="1" applyBorder="1" applyProtection="1"/>
    <xf numFmtId="0" fontId="6" fillId="4" borderId="2" xfId="0" applyFont="1" applyFill="1" applyBorder="1" applyProtection="1"/>
    <xf numFmtId="0" fontId="6" fillId="4" borderId="2" xfId="0" applyNumberFormat="1" applyFont="1" applyFill="1" applyBorder="1" applyProtection="1"/>
    <xf numFmtId="0" fontId="6" fillId="4" borderId="3" xfId="0" applyFont="1" applyFill="1" applyBorder="1" applyProtection="1"/>
    <xf numFmtId="0" fontId="6" fillId="4" borderId="0" xfId="0" applyNumberFormat="1" applyFont="1" applyFill="1" applyBorder="1" applyProtection="1"/>
    <xf numFmtId="0" fontId="8" fillId="4" borderId="0" xfId="0" applyFont="1" applyFill="1" applyBorder="1" applyProtection="1"/>
    <xf numFmtId="0" fontId="15" fillId="4" borderId="4" xfId="0" applyFont="1" applyFill="1" applyBorder="1" applyProtection="1"/>
    <xf numFmtId="0" fontId="14" fillId="4" borderId="0" xfId="0" applyFont="1" applyFill="1" applyBorder="1" applyAlignment="1" applyProtection="1">
      <alignment horizontal="left"/>
    </xf>
    <xf numFmtId="0" fontId="11" fillId="4" borderId="0" xfId="0" applyFont="1" applyFill="1" applyBorder="1" applyAlignment="1" applyProtection="1">
      <alignment horizontal="right"/>
    </xf>
    <xf numFmtId="0" fontId="15" fillId="4" borderId="0" xfId="0" applyFont="1" applyFill="1" applyBorder="1" applyProtection="1"/>
    <xf numFmtId="0" fontId="12" fillId="4" borderId="4" xfId="0" applyFont="1" applyFill="1" applyBorder="1" applyAlignment="1" applyProtection="1">
      <alignment horizontal="right"/>
    </xf>
    <xf numFmtId="0" fontId="11" fillId="4" borderId="0" xfId="0" applyFont="1" applyFill="1" applyBorder="1" applyAlignment="1" applyProtection="1">
      <alignment horizontal="left"/>
    </xf>
    <xf numFmtId="0" fontId="8" fillId="4" borderId="5" xfId="0" applyFont="1" applyFill="1" applyBorder="1" applyProtection="1"/>
    <xf numFmtId="0" fontId="8" fillId="3" borderId="0" xfId="0" applyFont="1" applyFill="1" applyBorder="1" applyProtection="1"/>
    <xf numFmtId="0" fontId="6" fillId="3" borderId="11" xfId="0" applyFont="1" applyFill="1" applyBorder="1" applyProtection="1"/>
    <xf numFmtId="164" fontId="6" fillId="3" borderId="11" xfId="0" applyNumberFormat="1" applyFont="1" applyFill="1" applyBorder="1" applyProtection="1"/>
    <xf numFmtId="0" fontId="6" fillId="3" borderId="12" xfId="0" applyFont="1" applyFill="1" applyBorder="1" applyProtection="1"/>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left"/>
    </xf>
    <xf numFmtId="0" fontId="6" fillId="3" borderId="0" xfId="0" applyFont="1" applyFill="1" applyBorder="1" applyAlignment="1" applyProtection="1">
      <alignment horizontal="right"/>
    </xf>
    <xf numFmtId="164" fontId="6" fillId="4" borderId="13" xfId="0" applyNumberFormat="1" applyFont="1" applyFill="1" applyBorder="1" applyProtection="1">
      <protection locked="0"/>
    </xf>
    <xf numFmtId="0" fontId="7" fillId="3" borderId="0" xfId="0" applyFont="1" applyFill="1" applyBorder="1" applyAlignment="1" applyProtection="1">
      <alignment horizontal="right"/>
    </xf>
    <xf numFmtId="164" fontId="6" fillId="4" borderId="14" xfId="0" applyNumberFormat="1" applyFont="1" applyFill="1" applyBorder="1" applyProtection="1">
      <protection locked="0"/>
    </xf>
    <xf numFmtId="0" fontId="7" fillId="3" borderId="0" xfId="0" applyFont="1" applyFill="1" applyBorder="1" applyAlignment="1" applyProtection="1">
      <alignment horizontal="left" indent="2"/>
    </xf>
    <xf numFmtId="0" fontId="7" fillId="3" borderId="0" xfId="0" applyFont="1" applyFill="1" applyBorder="1" applyAlignment="1" applyProtection="1">
      <alignment horizontal="left"/>
    </xf>
    <xf numFmtId="0" fontId="6" fillId="3" borderId="16" xfId="0" applyFont="1" applyFill="1" applyBorder="1" applyProtection="1"/>
    <xf numFmtId="0" fontId="6" fillId="3" borderId="17" xfId="0" applyFont="1" applyFill="1" applyBorder="1" applyProtection="1"/>
    <xf numFmtId="0" fontId="6" fillId="3" borderId="17" xfId="0" applyNumberFormat="1" applyFont="1" applyFill="1" applyBorder="1" applyProtection="1"/>
    <xf numFmtId="0" fontId="6" fillId="3" borderId="18" xfId="0" applyFont="1" applyFill="1" applyBorder="1" applyProtection="1"/>
    <xf numFmtId="0" fontId="18" fillId="4" borderId="4" xfId="0" applyFont="1" applyFill="1" applyBorder="1" applyAlignment="1" applyProtection="1">
      <alignment horizontal="right"/>
    </xf>
    <xf numFmtId="0" fontId="19" fillId="4" borderId="0" xfId="0" applyFont="1" applyFill="1" applyBorder="1" applyAlignment="1" applyProtection="1">
      <alignment horizontal="center"/>
    </xf>
    <xf numFmtId="0" fontId="16" fillId="4" borderId="0" xfId="0" applyFont="1" applyFill="1" applyBorder="1" applyAlignment="1" applyProtection="1">
      <alignment horizontal="center"/>
    </xf>
    <xf numFmtId="0" fontId="37" fillId="3" borderId="0" xfId="0" applyFont="1" applyFill="1" applyBorder="1" applyAlignment="1" applyProtection="1">
      <alignment horizontal="center"/>
    </xf>
    <xf numFmtId="0" fontId="12" fillId="4" borderId="0" xfId="0" applyNumberFormat="1" applyFont="1" applyFill="1" applyBorder="1" applyAlignment="1" applyProtection="1">
      <alignment horizontal="center"/>
    </xf>
    <xf numFmtId="0" fontId="12" fillId="3" borderId="10" xfId="0" applyFont="1" applyFill="1" applyBorder="1" applyAlignment="1" applyProtection="1">
      <alignment horizontal="center"/>
    </xf>
    <xf numFmtId="0" fontId="12" fillId="3" borderId="11" xfId="0" applyFont="1" applyFill="1" applyBorder="1" applyAlignment="1" applyProtection="1">
      <alignment horizontal="center"/>
    </xf>
    <xf numFmtId="0" fontId="12" fillId="3" borderId="11" xfId="0" applyNumberFormat="1" applyFont="1" applyFill="1" applyBorder="1" applyAlignment="1" applyProtection="1">
      <alignment horizontal="center"/>
    </xf>
    <xf numFmtId="0" fontId="12" fillId="3" borderId="12" xfId="0" applyFont="1" applyFill="1" applyBorder="1" applyAlignment="1" applyProtection="1">
      <alignment horizontal="center"/>
    </xf>
    <xf numFmtId="0" fontId="12" fillId="3" borderId="13" xfId="0" applyFont="1" applyFill="1" applyBorder="1" applyAlignment="1" applyProtection="1">
      <alignment horizontal="center"/>
    </xf>
    <xf numFmtId="0" fontId="12" fillId="3" borderId="14" xfId="0" applyNumberFormat="1" applyFont="1" applyFill="1" applyBorder="1" applyAlignment="1" applyProtection="1">
      <alignment horizontal="center"/>
    </xf>
    <xf numFmtId="0" fontId="12" fillId="3" borderId="15" xfId="0" applyFont="1" applyFill="1" applyBorder="1" applyAlignment="1" applyProtection="1">
      <alignment horizontal="center"/>
    </xf>
    <xf numFmtId="0" fontId="15" fillId="3" borderId="0" xfId="0" applyFont="1" applyFill="1" applyBorder="1" applyProtection="1"/>
    <xf numFmtId="0" fontId="18" fillId="3" borderId="0" xfId="0" applyFont="1" applyFill="1" applyBorder="1" applyAlignment="1" applyProtection="1">
      <alignment horizontal="left"/>
    </xf>
    <xf numFmtId="0" fontId="32" fillId="3" borderId="0" xfId="0" applyFont="1" applyFill="1" applyBorder="1" applyProtection="1"/>
    <xf numFmtId="0" fontId="10" fillId="3" borderId="0" xfId="0" applyNumberFormat="1" applyFont="1" applyFill="1" applyBorder="1" applyProtection="1"/>
    <xf numFmtId="0" fontId="18" fillId="3" borderId="0" xfId="0" applyFont="1" applyFill="1" applyBorder="1" applyProtection="1"/>
    <xf numFmtId="0" fontId="10" fillId="4" borderId="2" xfId="0" applyNumberFormat="1" applyFont="1" applyFill="1" applyBorder="1" applyProtection="1"/>
    <xf numFmtId="0" fontId="10" fillId="4" borderId="0" xfId="0" applyNumberFormat="1" applyFont="1" applyFill="1" applyBorder="1" applyProtection="1"/>
    <xf numFmtId="0" fontId="17" fillId="4" borderId="4" xfId="0" applyFont="1" applyFill="1" applyBorder="1" applyAlignment="1" applyProtection="1">
      <alignment horizontal="right"/>
    </xf>
    <xf numFmtId="0" fontId="17" fillId="4" borderId="0" xfId="0" applyFont="1" applyFill="1" applyBorder="1" applyAlignment="1" applyProtection="1">
      <alignment horizontal="right"/>
    </xf>
    <xf numFmtId="0" fontId="20" fillId="4" borderId="0" xfId="0" applyFont="1" applyFill="1" applyBorder="1" applyAlignment="1" applyProtection="1">
      <alignment horizontal="left"/>
    </xf>
    <xf numFmtId="0" fontId="10" fillId="4" borderId="4" xfId="0" applyFont="1" applyFill="1" applyBorder="1" applyAlignment="1" applyProtection="1">
      <alignment horizontal="right"/>
    </xf>
    <xf numFmtId="0" fontId="13" fillId="4" borderId="4" xfId="0" applyFont="1" applyFill="1" applyBorder="1" applyAlignment="1" applyProtection="1">
      <alignment horizontal="right"/>
    </xf>
    <xf numFmtId="0" fontId="36" fillId="3" borderId="0" xfId="0" applyFont="1" applyFill="1" applyBorder="1" applyProtection="1"/>
    <xf numFmtId="0" fontId="34" fillId="4" borderId="4" xfId="0" applyFont="1" applyFill="1" applyBorder="1" applyProtection="1"/>
    <xf numFmtId="0" fontId="34" fillId="4" borderId="0" xfId="0" applyFont="1" applyFill="1" applyBorder="1" applyProtection="1"/>
    <xf numFmtId="0" fontId="37" fillId="4" borderId="0" xfId="0" applyFont="1" applyFill="1" applyBorder="1" applyProtection="1"/>
    <xf numFmtId="0" fontId="37" fillId="4" borderId="5" xfId="0" applyFont="1" applyFill="1" applyBorder="1" applyProtection="1"/>
    <xf numFmtId="0" fontId="10" fillId="3" borderId="10" xfId="0" applyFont="1" applyFill="1" applyBorder="1" applyAlignment="1" applyProtection="1">
      <alignment horizontal="right"/>
    </xf>
    <xf numFmtId="0" fontId="10" fillId="3" borderId="13" xfId="0" applyFont="1" applyFill="1" applyBorder="1" applyAlignment="1" applyProtection="1">
      <alignment horizontal="right"/>
    </xf>
    <xf numFmtId="0" fontId="10" fillId="3" borderId="14" xfId="0" applyNumberFormat="1" applyFont="1" applyFill="1" applyBorder="1" applyProtection="1"/>
    <xf numFmtId="0" fontId="12" fillId="3" borderId="13" xfId="0" applyFont="1" applyFill="1" applyBorder="1" applyAlignment="1" applyProtection="1">
      <alignment horizontal="right"/>
    </xf>
    <xf numFmtId="0" fontId="13" fillId="3" borderId="13" xfId="0" applyFont="1" applyFill="1" applyBorder="1" applyAlignment="1" applyProtection="1">
      <alignment horizontal="right"/>
    </xf>
    <xf numFmtId="0" fontId="10" fillId="3" borderId="16" xfId="0" applyFont="1" applyFill="1" applyBorder="1" applyAlignment="1" applyProtection="1">
      <alignment horizontal="right"/>
    </xf>
    <xf numFmtId="164" fontId="10" fillId="4" borderId="14" xfId="0" applyNumberFormat="1" applyFont="1" applyFill="1" applyBorder="1" applyAlignment="1" applyProtection="1">
      <protection locked="0"/>
    </xf>
    <xf numFmtId="0" fontId="18" fillId="4" borderId="0" xfId="0" applyFont="1" applyFill="1" applyBorder="1" applyAlignment="1" applyProtection="1"/>
    <xf numFmtId="165" fontId="12" fillId="4" borderId="0" xfId="3" applyNumberFormat="1" applyFont="1" applyFill="1" applyBorder="1" applyProtection="1"/>
    <xf numFmtId="165" fontId="12" fillId="4" borderId="5" xfId="3" applyNumberFormat="1" applyFont="1" applyFill="1" applyBorder="1" applyProtection="1"/>
    <xf numFmtId="0" fontId="13" fillId="4" borderId="4" xfId="0" applyFont="1" applyFill="1" applyBorder="1" applyAlignment="1" applyProtection="1">
      <alignment horizontal="left"/>
    </xf>
    <xf numFmtId="164" fontId="10" fillId="4" borderId="0" xfId="0" applyNumberFormat="1" applyFont="1" applyFill="1" applyBorder="1" applyProtection="1"/>
    <xf numFmtId="168" fontId="10" fillId="4" borderId="0" xfId="0" applyNumberFormat="1" applyFont="1" applyFill="1" applyBorder="1" applyProtection="1"/>
    <xf numFmtId="168" fontId="10" fillId="4" borderId="7" xfId="0" applyNumberFormat="1" applyFont="1" applyFill="1" applyBorder="1" applyProtection="1"/>
    <xf numFmtId="0" fontId="42" fillId="0" borderId="0" xfId="0" applyFont="1" applyFill="1" applyBorder="1" applyAlignment="1" applyProtection="1">
      <alignment horizontal="left"/>
    </xf>
    <xf numFmtId="0" fontId="42" fillId="0" borderId="0" xfId="0" applyFont="1" applyFill="1" applyAlignment="1" applyProtection="1">
      <alignment horizontal="left"/>
    </xf>
    <xf numFmtId="0" fontId="43" fillId="0" borderId="0" xfId="0" applyFont="1" applyFill="1" applyBorder="1" applyAlignment="1" applyProtection="1">
      <alignment horizontal="left"/>
    </xf>
    <xf numFmtId="0" fontId="42" fillId="0" borderId="0" xfId="0" quotePrefix="1" applyFont="1" applyFill="1" applyBorder="1" applyAlignment="1" applyProtection="1">
      <alignment horizontal="left"/>
    </xf>
    <xf numFmtId="165" fontId="42" fillId="0" borderId="0" xfId="0" applyNumberFormat="1" applyFont="1" applyFill="1" applyBorder="1" applyAlignment="1" applyProtection="1">
      <alignment horizontal="left"/>
    </xf>
    <xf numFmtId="3" fontId="42" fillId="0" borderId="0" xfId="0" applyNumberFormat="1" applyFont="1" applyFill="1" applyBorder="1" applyAlignment="1" applyProtection="1">
      <alignment horizontal="left"/>
    </xf>
    <xf numFmtId="0" fontId="44" fillId="0" borderId="0" xfId="0" applyFont="1" applyFill="1" applyAlignment="1" applyProtection="1">
      <alignment horizontal="left"/>
    </xf>
    <xf numFmtId="0" fontId="10" fillId="4" borderId="0" xfId="0" applyNumberFormat="1" applyFont="1" applyFill="1" applyBorder="1" applyAlignment="1" applyProtection="1">
      <alignment horizontal="center"/>
    </xf>
    <xf numFmtId="0" fontId="17" fillId="4" borderId="5" xfId="0" applyFont="1" applyFill="1" applyBorder="1" applyAlignment="1" applyProtection="1">
      <alignment horizontal="center"/>
    </xf>
    <xf numFmtId="0" fontId="10" fillId="3" borderId="17" xfId="0" applyNumberFormat="1" applyFont="1" applyFill="1" applyBorder="1" applyAlignment="1" applyProtection="1">
      <alignment horizontal="center"/>
    </xf>
    <xf numFmtId="164" fontId="10" fillId="3" borderId="0" xfId="0" applyNumberFormat="1" applyFont="1" applyFill="1" applyBorder="1" applyProtection="1"/>
    <xf numFmtId="0" fontId="16" fillId="3" borderId="0" xfId="0" applyFont="1" applyFill="1" applyBorder="1" applyAlignment="1" applyProtection="1">
      <alignment horizontal="center"/>
    </xf>
    <xf numFmtId="167" fontId="13" fillId="3" borderId="0" xfId="0" applyNumberFormat="1" applyFont="1" applyFill="1" applyBorder="1" applyAlignment="1" applyProtection="1">
      <alignment horizontal="center"/>
    </xf>
    <xf numFmtId="165" fontId="13" fillId="3" borderId="0" xfId="0" applyNumberFormat="1" applyFont="1" applyFill="1" applyBorder="1" applyAlignment="1" applyProtection="1">
      <alignment horizontal="center"/>
    </xf>
    <xf numFmtId="0" fontId="24" fillId="3" borderId="0" xfId="0" applyFont="1" applyFill="1" applyBorder="1" applyAlignment="1" applyProtection="1">
      <alignment horizontal="left"/>
    </xf>
    <xf numFmtId="0" fontId="17" fillId="3" borderId="0" xfId="0" applyFont="1" applyFill="1" applyProtection="1"/>
    <xf numFmtId="0" fontId="13" fillId="3" borderId="0" xfId="0" applyFont="1" applyFill="1" applyProtection="1"/>
    <xf numFmtId="165" fontId="13" fillId="3" borderId="0" xfId="0" applyNumberFormat="1" applyFont="1" applyFill="1" applyBorder="1" applyProtection="1"/>
    <xf numFmtId="0" fontId="10" fillId="3" borderId="0" xfId="0" applyFont="1" applyFill="1" applyAlignment="1" applyProtection="1">
      <alignment horizontal="center"/>
    </xf>
    <xf numFmtId="0" fontId="12" fillId="3" borderId="0" xfId="0" applyNumberFormat="1" applyFont="1" applyFill="1" applyBorder="1" applyProtection="1"/>
    <xf numFmtId="0" fontId="12" fillId="3" borderId="0" xfId="0" applyNumberFormat="1" applyFont="1" applyFill="1" applyProtection="1"/>
    <xf numFmtId="175" fontId="10" fillId="3" borderId="0" xfId="0" applyNumberFormat="1" applyFont="1" applyFill="1" applyBorder="1" applyProtection="1"/>
    <xf numFmtId="0" fontId="18" fillId="3" borderId="0" xfId="0" applyFont="1" applyFill="1" applyProtection="1"/>
    <xf numFmtId="171" fontId="18" fillId="3" borderId="0" xfId="0" applyNumberFormat="1" applyFont="1" applyFill="1" applyBorder="1" applyAlignment="1" applyProtection="1">
      <alignment horizontal="center"/>
    </xf>
    <xf numFmtId="9" fontId="10" fillId="3" borderId="0" xfId="2" applyFont="1" applyFill="1" applyBorder="1" applyAlignment="1" applyProtection="1">
      <alignment horizontal="center"/>
    </xf>
    <xf numFmtId="0" fontId="10" fillId="3" borderId="0" xfId="0" applyFont="1" applyFill="1" applyAlignment="1" applyProtection="1">
      <alignment horizontal="left"/>
    </xf>
    <xf numFmtId="0" fontId="24" fillId="4" borderId="0" xfId="0" applyFont="1" applyFill="1" applyAlignment="1">
      <alignment horizontal="center"/>
    </xf>
    <xf numFmtId="0" fontId="6" fillId="4" borderId="0" xfId="0" applyFont="1" applyFill="1"/>
    <xf numFmtId="0" fontId="10" fillId="4" borderId="2" xfId="0" applyFont="1" applyFill="1" applyBorder="1" applyAlignment="1" applyProtection="1">
      <alignment horizontal="left"/>
    </xf>
    <xf numFmtId="0" fontId="17" fillId="4" borderId="0" xfId="0" applyFont="1" applyFill="1" applyBorder="1" applyAlignment="1" applyProtection="1">
      <alignment horizontal="left"/>
    </xf>
    <xf numFmtId="0" fontId="19" fillId="4" borderId="5" xfId="0" applyFont="1" applyFill="1" applyBorder="1" applyAlignment="1" applyProtection="1"/>
    <xf numFmtId="0" fontId="13" fillId="4" borderId="7" xfId="0" applyFont="1" applyFill="1" applyBorder="1" applyAlignment="1" applyProtection="1">
      <alignment horizontal="left"/>
    </xf>
    <xf numFmtId="2" fontId="13" fillId="4" borderId="7" xfId="0" applyNumberFormat="1" applyFont="1" applyFill="1" applyBorder="1" applyAlignment="1" applyProtection="1">
      <alignment horizontal="center"/>
    </xf>
    <xf numFmtId="164" fontId="13" fillId="4" borderId="7" xfId="0" applyNumberFormat="1" applyFont="1" applyFill="1" applyBorder="1" applyAlignment="1" applyProtection="1">
      <alignment horizontal="center"/>
    </xf>
    <xf numFmtId="167" fontId="13" fillId="4" borderId="7" xfId="0" applyNumberFormat="1" applyFont="1" applyFill="1" applyBorder="1" applyAlignment="1" applyProtection="1">
      <alignment horizontal="center"/>
    </xf>
    <xf numFmtId="165" fontId="13" fillId="4" borderId="7" xfId="0" applyNumberFormat="1" applyFont="1" applyFill="1" applyBorder="1" applyAlignment="1" applyProtection="1">
      <alignment horizontal="center"/>
    </xf>
    <xf numFmtId="167" fontId="13" fillId="3" borderId="14" xfId="0" applyNumberFormat="1" applyFont="1" applyFill="1" applyBorder="1" applyAlignment="1" applyProtection="1">
      <alignment horizontal="center"/>
    </xf>
    <xf numFmtId="165" fontId="13" fillId="3" borderId="14" xfId="0" applyNumberFormat="1" applyFont="1" applyFill="1" applyBorder="1" applyAlignment="1" applyProtection="1">
      <alignment horizontal="center"/>
    </xf>
    <xf numFmtId="0" fontId="33" fillId="3" borderId="0" xfId="0" applyFont="1" applyFill="1" applyBorder="1" applyAlignment="1" applyProtection="1">
      <alignment horizontal="center"/>
    </xf>
    <xf numFmtId="0" fontId="15" fillId="4" borderId="0" xfId="0" applyFont="1" applyFill="1" applyBorder="1" applyAlignment="1" applyProtection="1">
      <alignment horizontal="left"/>
    </xf>
    <xf numFmtId="0" fontId="15" fillId="4" borderId="0" xfId="0" applyFont="1" applyFill="1" applyBorder="1" applyAlignment="1" applyProtection="1">
      <alignment horizontal="center"/>
    </xf>
    <xf numFmtId="0" fontId="10" fillId="4" borderId="4" xfId="0" applyFont="1" applyFill="1" applyBorder="1" applyAlignment="1" applyProtection="1">
      <alignment horizontal="center"/>
    </xf>
    <xf numFmtId="0" fontId="12" fillId="4" borderId="4" xfId="0" applyNumberFormat="1" applyFont="1" applyFill="1" applyBorder="1" applyProtection="1"/>
    <xf numFmtId="0" fontId="12" fillId="4" borderId="5" xfId="0" applyNumberFormat="1" applyFont="1" applyFill="1" applyBorder="1" applyProtection="1"/>
    <xf numFmtId="175" fontId="10" fillId="4" borderId="0" xfId="0" applyNumberFormat="1" applyFont="1" applyFill="1" applyBorder="1" applyProtection="1"/>
    <xf numFmtId="0" fontId="10" fillId="4" borderId="7" xfId="0" applyFont="1" applyFill="1" applyBorder="1" applyAlignment="1" applyProtection="1">
      <alignment horizontal="left"/>
    </xf>
    <xf numFmtId="0" fontId="10" fillId="3" borderId="13" xfId="0" applyFont="1" applyFill="1" applyBorder="1" applyAlignment="1" applyProtection="1">
      <alignment horizontal="center"/>
    </xf>
    <xf numFmtId="0" fontId="37" fillId="4" borderId="4" xfId="0" applyFont="1" applyFill="1" applyBorder="1" applyProtection="1"/>
    <xf numFmtId="0" fontId="35" fillId="4" borderId="4" xfId="0" applyFont="1" applyFill="1" applyBorder="1" applyAlignment="1" applyProtection="1">
      <alignment horizontal="center"/>
    </xf>
    <xf numFmtId="0" fontId="35" fillId="3" borderId="0" xfId="0" applyFont="1" applyFill="1" applyBorder="1" applyAlignment="1" applyProtection="1">
      <alignment horizontal="center"/>
    </xf>
    <xf numFmtId="0" fontId="12" fillId="3" borderId="13" xfId="0" applyNumberFormat="1" applyFont="1" applyFill="1" applyBorder="1" applyProtection="1"/>
    <xf numFmtId="0" fontId="12" fillId="3" borderId="14" xfId="0" applyNumberFormat="1" applyFont="1" applyFill="1" applyBorder="1" applyAlignment="1" applyProtection="1">
      <alignment horizontal="left"/>
    </xf>
    <xf numFmtId="0" fontId="12" fillId="3" borderId="14" xfId="0" applyNumberFormat="1" applyFont="1" applyFill="1" applyBorder="1" applyProtection="1"/>
    <xf numFmtId="175" fontId="10" fillId="3" borderId="17" xfId="0" applyNumberFormat="1" applyFont="1" applyFill="1" applyBorder="1" applyAlignment="1" applyProtection="1">
      <alignment horizontal="center"/>
    </xf>
    <xf numFmtId="2" fontId="10" fillId="4" borderId="11" xfId="0" applyNumberFormat="1" applyFont="1" applyFill="1" applyBorder="1" applyAlignment="1" applyProtection="1">
      <alignment horizontal="center"/>
    </xf>
    <xf numFmtId="164" fontId="10" fillId="4" borderId="0" xfId="0" applyNumberFormat="1" applyFont="1" applyFill="1" applyBorder="1" applyAlignment="1" applyProtection="1">
      <alignment horizontal="left"/>
    </xf>
    <xf numFmtId="171" fontId="10" fillId="4" borderId="0" xfId="0" applyNumberFormat="1" applyFont="1" applyFill="1" applyBorder="1" applyAlignment="1" applyProtection="1">
      <alignment horizontal="left"/>
    </xf>
    <xf numFmtId="9" fontId="10" fillId="3" borderId="14" xfId="0" applyNumberFormat="1" applyFont="1" applyFill="1" applyBorder="1" applyAlignment="1" applyProtection="1">
      <alignment horizontal="center"/>
    </xf>
    <xf numFmtId="0" fontId="13" fillId="3" borderId="15" xfId="0" applyFont="1" applyFill="1" applyBorder="1" applyAlignment="1" applyProtection="1">
      <alignment horizontal="right"/>
    </xf>
    <xf numFmtId="0" fontId="10" fillId="3" borderId="14" xfId="0" applyFont="1" applyFill="1" applyBorder="1" applyAlignment="1" applyProtection="1">
      <alignment horizontal="right"/>
    </xf>
    <xf numFmtId="164" fontId="11" fillId="3" borderId="14" xfId="0" applyNumberFormat="1" applyFont="1" applyFill="1" applyBorder="1" applyAlignment="1" applyProtection="1">
      <alignment horizontal="left"/>
    </xf>
    <xf numFmtId="0" fontId="11" fillId="3" borderId="15" xfId="0" applyFont="1" applyFill="1" applyBorder="1" applyAlignment="1" applyProtection="1">
      <alignment horizontal="right"/>
    </xf>
    <xf numFmtId="171" fontId="10" fillId="3" borderId="14" xfId="0" applyNumberFormat="1" applyFont="1" applyFill="1" applyBorder="1" applyAlignment="1" applyProtection="1">
      <alignment horizontal="left"/>
    </xf>
    <xf numFmtId="0" fontId="12" fillId="3" borderId="15" xfId="0" applyFont="1" applyFill="1" applyBorder="1" applyAlignment="1" applyProtection="1">
      <alignment horizontal="right"/>
    </xf>
    <xf numFmtId="0" fontId="13" fillId="3" borderId="18" xfId="0" applyFont="1" applyFill="1" applyBorder="1" applyAlignment="1" applyProtection="1">
      <alignment horizontal="right"/>
    </xf>
    <xf numFmtId="164" fontId="37" fillId="3" borderId="14" xfId="0" applyNumberFormat="1" applyFont="1" applyFill="1" applyBorder="1" applyAlignment="1" applyProtection="1">
      <alignment horizontal="left"/>
    </xf>
    <xf numFmtId="0" fontId="33" fillId="3" borderId="15" xfId="0" applyFont="1" applyFill="1" applyBorder="1" applyAlignment="1" applyProtection="1">
      <alignment horizontal="right"/>
    </xf>
    <xf numFmtId="171" fontId="35" fillId="3" borderId="14" xfId="0" applyNumberFormat="1" applyFont="1" applyFill="1" applyBorder="1" applyAlignment="1" applyProtection="1">
      <alignment horizontal="left"/>
    </xf>
    <xf numFmtId="0" fontId="33" fillId="3" borderId="0" xfId="0" applyFont="1" applyFill="1" applyBorder="1" applyProtection="1"/>
    <xf numFmtId="164" fontId="10" fillId="4" borderId="14" xfId="0" applyNumberFormat="1" applyFont="1" applyFill="1" applyBorder="1" applyAlignment="1" applyProtection="1">
      <alignment horizontal="left"/>
      <protection locked="0"/>
    </xf>
    <xf numFmtId="164" fontId="10" fillId="3" borderId="17" xfId="0" applyNumberFormat="1" applyFont="1" applyFill="1" applyBorder="1" applyAlignment="1" applyProtection="1">
      <alignment horizontal="left"/>
    </xf>
    <xf numFmtId="164" fontId="10" fillId="3" borderId="11" xfId="0" applyNumberFormat="1" applyFont="1" applyFill="1" applyBorder="1" applyAlignment="1" applyProtection="1">
      <alignment horizontal="left"/>
    </xf>
    <xf numFmtId="0" fontId="13" fillId="3" borderId="12" xfId="0" applyFont="1" applyFill="1" applyBorder="1" applyAlignment="1" applyProtection="1">
      <alignment horizontal="right"/>
    </xf>
    <xf numFmtId="171" fontId="10" fillId="3" borderId="17" xfId="0" applyNumberFormat="1" applyFont="1" applyFill="1" applyBorder="1" applyAlignment="1" applyProtection="1">
      <alignment horizontal="left"/>
    </xf>
    <xf numFmtId="171" fontId="10" fillId="3" borderId="11" xfId="0" applyNumberFormat="1" applyFont="1" applyFill="1" applyBorder="1" applyAlignment="1" applyProtection="1">
      <alignment horizontal="left"/>
    </xf>
    <xf numFmtId="0" fontId="11" fillId="3" borderId="11" xfId="0" applyNumberFormat="1" applyFont="1" applyFill="1" applyBorder="1" applyAlignment="1" applyProtection="1">
      <alignment horizontal="left"/>
    </xf>
    <xf numFmtId="166" fontId="10" fillId="4" borderId="14" xfId="0" applyNumberFormat="1" applyFont="1" applyFill="1" applyBorder="1" applyProtection="1">
      <protection locked="0"/>
    </xf>
    <xf numFmtId="166" fontId="10" fillId="4" borderId="14" xfId="0" applyNumberFormat="1" applyFont="1" applyFill="1" applyBorder="1" applyAlignment="1" applyProtection="1">
      <alignment horizontal="center"/>
      <protection locked="0"/>
    </xf>
    <xf numFmtId="164" fontId="10" fillId="4" borderId="14" xfId="3" applyNumberFormat="1" applyFont="1" applyFill="1" applyBorder="1" applyAlignment="1" applyProtection="1">
      <alignment horizontal="left"/>
      <protection locked="0"/>
    </xf>
    <xf numFmtId="167" fontId="10" fillId="4" borderId="14" xfId="3" applyNumberFormat="1" applyFont="1" applyFill="1" applyBorder="1" applyAlignment="1" applyProtection="1">
      <alignment horizontal="left"/>
      <protection locked="0"/>
    </xf>
    <xf numFmtId="167" fontId="10" fillId="3" borderId="17" xfId="0" applyNumberFormat="1" applyFont="1" applyFill="1" applyBorder="1" applyProtection="1"/>
    <xf numFmtId="167" fontId="25" fillId="3" borderId="11" xfId="3" applyNumberFormat="1" applyFont="1" applyFill="1" applyBorder="1" applyProtection="1"/>
    <xf numFmtId="0" fontId="47" fillId="3" borderId="0" xfId="0" applyFont="1" applyFill="1" applyBorder="1" applyProtection="1"/>
    <xf numFmtId="0" fontId="39" fillId="3" borderId="0" xfId="0" applyFont="1" applyFill="1" applyBorder="1" applyAlignment="1" applyProtection="1">
      <alignment horizontal="left"/>
    </xf>
    <xf numFmtId="0" fontId="40" fillId="3" borderId="0" xfId="0" applyFont="1" applyFill="1" applyBorder="1" applyAlignment="1" applyProtection="1">
      <alignment horizontal="left"/>
    </xf>
    <xf numFmtId="49" fontId="10" fillId="4" borderId="14" xfId="0" applyNumberFormat="1" applyFont="1" applyFill="1" applyBorder="1" applyAlignment="1" applyProtection="1">
      <alignment horizontal="center"/>
      <protection locked="0"/>
    </xf>
    <xf numFmtId="168" fontId="10" fillId="3" borderId="0" xfId="0" applyNumberFormat="1" applyFont="1" applyFill="1" applyBorder="1" applyProtection="1"/>
    <xf numFmtId="0" fontId="11" fillId="3" borderId="11" xfId="0" applyFont="1" applyFill="1" applyBorder="1" applyAlignment="1" applyProtection="1">
      <alignment horizontal="right"/>
    </xf>
    <xf numFmtId="165" fontId="12" fillId="3" borderId="12" xfId="3" applyNumberFormat="1" applyFont="1" applyFill="1" applyBorder="1" applyProtection="1"/>
    <xf numFmtId="165" fontId="12" fillId="3" borderId="15" xfId="3" applyNumberFormat="1" applyFont="1" applyFill="1" applyBorder="1" applyProtection="1"/>
    <xf numFmtId="0" fontId="13" fillId="3" borderId="13" xfId="0" applyFont="1" applyFill="1" applyBorder="1" applyAlignment="1" applyProtection="1">
      <alignment horizontal="left"/>
    </xf>
    <xf numFmtId="164" fontId="13" fillId="3" borderId="14" xfId="0" applyNumberFormat="1" applyFont="1" applyFill="1" applyBorder="1" applyAlignment="1" applyProtection="1">
      <alignment horizontal="right"/>
    </xf>
    <xf numFmtId="164" fontId="12" fillId="3" borderId="14" xfId="0" applyNumberFormat="1" applyFont="1" applyFill="1" applyBorder="1" applyProtection="1"/>
    <xf numFmtId="0" fontId="10" fillId="3" borderId="15" xfId="0" applyFont="1" applyFill="1" applyBorder="1" applyAlignment="1" applyProtection="1">
      <alignment horizontal="right"/>
    </xf>
    <xf numFmtId="0" fontId="10" fillId="3" borderId="17" xfId="0" applyFont="1" applyFill="1" applyBorder="1" applyAlignment="1" applyProtection="1">
      <alignment horizontal="right"/>
    </xf>
    <xf numFmtId="0" fontId="10" fillId="3" borderId="18" xfId="0" applyFont="1" applyFill="1" applyBorder="1" applyAlignment="1" applyProtection="1">
      <alignment horizontal="right"/>
    </xf>
    <xf numFmtId="165" fontId="12" fillId="3" borderId="0" xfId="3" applyNumberFormat="1" applyFont="1" applyFill="1" applyBorder="1" applyProtection="1"/>
    <xf numFmtId="164" fontId="10" fillId="4" borderId="14" xfId="0" applyNumberFormat="1" applyFont="1" applyFill="1" applyBorder="1" applyProtection="1">
      <protection locked="0"/>
    </xf>
    <xf numFmtId="165" fontId="37" fillId="4" borderId="0" xfId="3" applyNumberFormat="1" applyFont="1" applyFill="1" applyBorder="1" applyProtection="1"/>
    <xf numFmtId="165" fontId="37" fillId="4" borderId="5" xfId="3" applyNumberFormat="1" applyFont="1" applyFill="1" applyBorder="1" applyProtection="1"/>
    <xf numFmtId="165" fontId="37" fillId="3" borderId="0" xfId="3" applyNumberFormat="1" applyFont="1" applyFill="1" applyBorder="1" applyProtection="1"/>
    <xf numFmtId="0" fontId="34" fillId="3" borderId="14" xfId="0" applyFont="1" applyFill="1" applyBorder="1" applyAlignment="1" applyProtection="1">
      <alignment horizontal="right"/>
    </xf>
    <xf numFmtId="165" fontId="37" fillId="3" borderId="15" xfId="3" applyNumberFormat="1" applyFont="1" applyFill="1" applyBorder="1" applyProtection="1"/>
    <xf numFmtId="164" fontId="35" fillId="3" borderId="14" xfId="0" applyNumberFormat="1" applyFont="1" applyFill="1" applyBorder="1" applyProtection="1"/>
    <xf numFmtId="0" fontId="35" fillId="3" borderId="14" xfId="0" applyFont="1" applyFill="1" applyBorder="1" applyAlignment="1" applyProtection="1">
      <alignment horizontal="right"/>
    </xf>
    <xf numFmtId="0" fontId="35" fillId="3" borderId="15" xfId="0" applyFont="1" applyFill="1" applyBorder="1" applyAlignment="1" applyProtection="1">
      <alignment horizontal="right"/>
    </xf>
    <xf numFmtId="164" fontId="10" fillId="4" borderId="2" xfId="0" applyNumberFormat="1" applyFont="1" applyFill="1" applyBorder="1" applyAlignment="1" applyProtection="1">
      <alignment horizontal="center"/>
    </xf>
    <xf numFmtId="164" fontId="10" fillId="4" borderId="2" xfId="0" applyNumberFormat="1" applyFont="1" applyFill="1" applyBorder="1" applyProtection="1"/>
    <xf numFmtId="0" fontId="14" fillId="4" borderId="0" xfId="0" applyFont="1" applyFill="1" applyBorder="1" applyAlignment="1" applyProtection="1"/>
    <xf numFmtId="164" fontId="14" fillId="4" borderId="0" xfId="0" applyNumberFormat="1" applyFont="1" applyFill="1" applyBorder="1" applyAlignment="1" applyProtection="1">
      <alignment horizontal="center"/>
    </xf>
    <xf numFmtId="164" fontId="14" fillId="4" borderId="0" xfId="0" applyNumberFormat="1" applyFont="1" applyFill="1" applyBorder="1" applyProtection="1"/>
    <xf numFmtId="0" fontId="11" fillId="4" borderId="6" xfId="0" applyFont="1" applyFill="1" applyBorder="1" applyProtection="1"/>
    <xf numFmtId="0" fontId="41" fillId="4" borderId="4" xfId="0" applyFont="1" applyFill="1" applyBorder="1" applyProtection="1"/>
    <xf numFmtId="0" fontId="39" fillId="3" borderId="13" xfId="0" applyFont="1" applyFill="1" applyBorder="1" applyProtection="1"/>
    <xf numFmtId="0" fontId="39" fillId="3" borderId="14" xfId="0" applyFont="1" applyFill="1" applyBorder="1" applyProtection="1"/>
    <xf numFmtId="2" fontId="39" fillId="3" borderId="15" xfId="0" applyNumberFormat="1" applyFont="1" applyFill="1" applyBorder="1" applyProtection="1"/>
    <xf numFmtId="0" fontId="39" fillId="4" borderId="5" xfId="0" applyFont="1" applyFill="1" applyBorder="1" applyProtection="1"/>
    <xf numFmtId="0" fontId="47" fillId="3" borderId="13" xfId="0" applyFont="1" applyFill="1" applyBorder="1" applyProtection="1"/>
    <xf numFmtId="0" fontId="47" fillId="3" borderId="14" xfId="0" applyFont="1" applyFill="1" applyBorder="1" applyProtection="1"/>
    <xf numFmtId="0" fontId="47" fillId="3" borderId="15" xfId="0" applyFont="1" applyFill="1" applyBorder="1" applyProtection="1"/>
    <xf numFmtId="0" fontId="47" fillId="4" borderId="5" xfId="0" applyFont="1" applyFill="1" applyBorder="1" applyProtection="1"/>
    <xf numFmtId="0" fontId="41" fillId="3" borderId="14" xfId="0" applyFont="1" applyFill="1" applyBorder="1" applyProtection="1"/>
    <xf numFmtId="164" fontId="37" fillId="4" borderId="0" xfId="0" applyNumberFormat="1" applyFont="1" applyFill="1" applyBorder="1" applyProtection="1"/>
    <xf numFmtId="0" fontId="6" fillId="0" borderId="0" xfId="0" applyFont="1" applyFill="1" applyBorder="1" applyAlignment="1" applyProtection="1">
      <alignment horizontal="left"/>
    </xf>
    <xf numFmtId="173" fontId="6" fillId="2"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xf>
    <xf numFmtId="3"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center"/>
    </xf>
    <xf numFmtId="0" fontId="6" fillId="0" borderId="0" xfId="2" applyNumberFormat="1" applyFont="1" applyFill="1" applyAlignment="1" applyProtection="1">
      <alignment horizontal="center"/>
    </xf>
    <xf numFmtId="4" fontId="6"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xf>
    <xf numFmtId="4" fontId="6" fillId="0" borderId="0" xfId="0" applyNumberFormat="1" applyFont="1" applyFill="1" applyBorder="1" applyAlignment="1" applyProtection="1">
      <alignment horizontal="left" vertical="top"/>
    </xf>
    <xf numFmtId="0" fontId="7" fillId="0" borderId="0" xfId="0" applyNumberFormat="1" applyFont="1" applyFill="1" applyBorder="1" applyAlignment="1" applyProtection="1">
      <alignment horizontal="left"/>
    </xf>
    <xf numFmtId="3" fontId="6" fillId="0" borderId="0" xfId="0" applyNumberFormat="1" applyFont="1" applyFill="1" applyBorder="1" applyAlignment="1" applyProtection="1">
      <alignment horizontal="left" vertical="top" wrapText="1"/>
    </xf>
    <xf numFmtId="4" fontId="6" fillId="0" borderId="0" xfId="0" applyNumberFormat="1" applyFont="1" applyFill="1" applyBorder="1" applyAlignment="1" applyProtection="1">
      <alignment horizontal="left"/>
    </xf>
    <xf numFmtId="0" fontId="7" fillId="0" borderId="0" xfId="0" applyFont="1" applyFill="1" applyAlignment="1" applyProtection="1">
      <alignment horizontal="left"/>
    </xf>
    <xf numFmtId="10" fontId="6" fillId="0" borderId="0" xfId="0" applyNumberFormat="1" applyFont="1" applyFill="1" applyAlignment="1" applyProtection="1">
      <alignment horizontal="left"/>
    </xf>
    <xf numFmtId="171" fontId="6" fillId="0" borderId="0" xfId="0" applyNumberFormat="1" applyFont="1" applyFill="1" applyAlignment="1" applyProtection="1">
      <alignment horizontal="left"/>
    </xf>
    <xf numFmtId="10" fontId="6" fillId="0" borderId="0" xfId="0" applyNumberFormat="1" applyFont="1" applyFill="1" applyBorder="1" applyAlignment="1" applyProtection="1">
      <alignment horizontal="right"/>
    </xf>
    <xf numFmtId="165" fontId="6" fillId="2"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171"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left"/>
      <protection locked="0"/>
    </xf>
    <xf numFmtId="164" fontId="6" fillId="2" borderId="0" xfId="0" applyNumberFormat="1" applyFont="1" applyFill="1" applyBorder="1" applyAlignment="1" applyProtection="1">
      <alignment horizontal="left"/>
      <protection locked="0"/>
    </xf>
    <xf numFmtId="164" fontId="6" fillId="0" borderId="0" xfId="0" applyNumberFormat="1" applyFont="1" applyFill="1" applyBorder="1" applyAlignment="1" applyProtection="1">
      <alignment horizontal="left"/>
    </xf>
    <xf numFmtId="0" fontId="1" fillId="0" borderId="0" xfId="0" applyFont="1"/>
    <xf numFmtId="2" fontId="6" fillId="3" borderId="14" xfId="0" applyNumberFormat="1" applyFont="1" applyFill="1" applyBorder="1" applyAlignment="1" applyProtection="1">
      <alignment horizontal="left"/>
    </xf>
    <xf numFmtId="0" fontId="7" fillId="3" borderId="14" xfId="0" applyFont="1" applyFill="1" applyBorder="1" applyProtection="1"/>
    <xf numFmtId="0" fontId="26" fillId="3" borderId="0" xfId="0" applyFont="1" applyFill="1" applyBorder="1" applyProtection="1"/>
    <xf numFmtId="164" fontId="12" fillId="3" borderId="14" xfId="3" applyNumberFormat="1" applyFont="1" applyFill="1" applyBorder="1" applyAlignment="1" applyProtection="1">
      <alignment horizontal="left"/>
    </xf>
    <xf numFmtId="0" fontId="6" fillId="3" borderId="14" xfId="0" applyNumberFormat="1" applyFont="1" applyFill="1" applyBorder="1" applyAlignment="1" applyProtection="1">
      <alignment horizontal="left"/>
    </xf>
    <xf numFmtId="165" fontId="42" fillId="3" borderId="14" xfId="0" applyNumberFormat="1" applyFont="1" applyFill="1" applyBorder="1" applyProtection="1"/>
    <xf numFmtId="0" fontId="44" fillId="3" borderId="14" xfId="0" applyFont="1" applyFill="1" applyBorder="1" applyAlignment="1" applyProtection="1">
      <alignment horizontal="right"/>
    </xf>
    <xf numFmtId="0" fontId="31" fillId="4" borderId="0" xfId="0" applyFont="1" applyFill="1" applyBorder="1" applyProtection="1"/>
    <xf numFmtId="2" fontId="46" fillId="4" borderId="14" xfId="0" applyNumberFormat="1" applyFont="1" applyFill="1" applyBorder="1" applyAlignment="1" applyProtection="1">
      <alignment horizontal="center"/>
      <protection locked="0"/>
    </xf>
    <xf numFmtId="165" fontId="13" fillId="3" borderId="0" xfId="0" applyNumberFormat="1" applyFont="1" applyFill="1" applyBorder="1" applyAlignment="1" applyProtection="1">
      <alignment horizontal="left"/>
    </xf>
    <xf numFmtId="167" fontId="13" fillId="3" borderId="14" xfId="0" applyNumberFormat="1" applyFont="1" applyFill="1" applyBorder="1" applyAlignment="1" applyProtection="1">
      <alignment horizontal="left"/>
    </xf>
    <xf numFmtId="171" fontId="13" fillId="3" borderId="11" xfId="0" applyNumberFormat="1" applyFont="1" applyFill="1" applyBorder="1" applyAlignment="1" applyProtection="1">
      <alignment horizontal="left"/>
    </xf>
    <xf numFmtId="167" fontId="13" fillId="3" borderId="17" xfId="0" applyNumberFormat="1" applyFont="1" applyFill="1" applyBorder="1" applyAlignment="1" applyProtection="1">
      <alignment horizontal="left"/>
    </xf>
    <xf numFmtId="167" fontId="13" fillId="4" borderId="0" xfId="0" applyNumberFormat="1" applyFont="1" applyFill="1" applyBorder="1" applyAlignment="1" applyProtection="1">
      <alignment horizontal="left"/>
    </xf>
    <xf numFmtId="167" fontId="13" fillId="3" borderId="0" xfId="0" applyNumberFormat="1" applyFont="1" applyFill="1" applyBorder="1" applyAlignment="1" applyProtection="1">
      <alignment horizontal="left"/>
    </xf>
    <xf numFmtId="167" fontId="18" fillId="3" borderId="0" xfId="0" applyNumberFormat="1" applyFont="1" applyFill="1" applyBorder="1" applyAlignment="1" applyProtection="1">
      <alignment horizontal="left"/>
    </xf>
    <xf numFmtId="9" fontId="10" fillId="3" borderId="0" xfId="2" applyFont="1" applyFill="1" applyBorder="1" applyAlignment="1" applyProtection="1">
      <alignment horizontal="left"/>
    </xf>
    <xf numFmtId="165" fontId="13" fillId="3" borderId="17" xfId="0" applyNumberFormat="1" applyFont="1" applyFill="1" applyBorder="1" applyAlignment="1" applyProtection="1">
      <alignment horizontal="left"/>
    </xf>
    <xf numFmtId="165" fontId="13" fillId="4" borderId="0" xfId="0" applyNumberFormat="1" applyFont="1" applyFill="1" applyBorder="1" applyAlignment="1" applyProtection="1">
      <alignment horizontal="left"/>
    </xf>
    <xf numFmtId="0" fontId="10" fillId="3" borderId="18" xfId="0" applyFont="1" applyFill="1" applyBorder="1" applyAlignment="1" applyProtection="1">
      <alignment horizontal="left"/>
    </xf>
    <xf numFmtId="0" fontId="50" fillId="0" borderId="0" xfId="0" applyFont="1" applyFill="1" applyBorder="1" applyAlignment="1" applyProtection="1">
      <alignment horizontal="left" indent="1"/>
    </xf>
    <xf numFmtId="0" fontId="46" fillId="0" borderId="0" xfId="0" applyFont="1" applyFill="1" applyBorder="1" applyAlignment="1" applyProtection="1">
      <alignment horizontal="left"/>
    </xf>
    <xf numFmtId="0" fontId="48" fillId="0" borderId="0" xfId="0" applyFont="1" applyFill="1" applyBorder="1" applyAlignment="1" applyProtection="1">
      <alignment horizontal="left" indent="1"/>
    </xf>
    <xf numFmtId="165" fontId="46" fillId="0" borderId="0" xfId="0" applyNumberFormat="1" applyFont="1" applyFill="1" applyBorder="1" applyAlignment="1" applyProtection="1">
      <alignment horizontal="left"/>
    </xf>
    <xf numFmtId="0" fontId="48" fillId="0" borderId="0" xfId="0" applyFont="1" applyFill="1" applyBorder="1" applyAlignment="1" applyProtection="1">
      <alignment horizontal="left"/>
    </xf>
    <xf numFmtId="165" fontId="48" fillId="0" borderId="0" xfId="0" applyNumberFormat="1" applyFont="1" applyFill="1" applyBorder="1" applyAlignment="1" applyProtection="1">
      <alignment horizontal="left"/>
    </xf>
    <xf numFmtId="0" fontId="46" fillId="0" borderId="0" xfId="0" applyNumberFormat="1" applyFont="1" applyFill="1" applyBorder="1" applyAlignment="1" applyProtection="1">
      <alignment horizontal="left"/>
    </xf>
    <xf numFmtId="165" fontId="46" fillId="0" borderId="0" xfId="3" applyFont="1" applyFill="1" applyBorder="1" applyAlignment="1" applyProtection="1">
      <alignment horizontal="left"/>
    </xf>
    <xf numFmtId="165" fontId="42" fillId="0" borderId="0" xfId="0" applyNumberFormat="1" applyFont="1" applyFill="1" applyAlignment="1" applyProtection="1">
      <alignment horizontal="left"/>
    </xf>
    <xf numFmtId="0" fontId="46" fillId="3" borderId="0" xfId="0" applyFont="1" applyFill="1" applyBorder="1" applyProtection="1"/>
    <xf numFmtId="0" fontId="38" fillId="3" borderId="0" xfId="0" applyFont="1" applyFill="1" applyBorder="1" applyProtection="1"/>
    <xf numFmtId="0" fontId="51" fillId="3" borderId="0" xfId="0" applyFont="1" applyFill="1" applyBorder="1" applyProtection="1"/>
    <xf numFmtId="1" fontId="51" fillId="3" borderId="0" xfId="0" applyNumberFormat="1" applyFont="1" applyFill="1" applyBorder="1" applyAlignment="1" applyProtection="1">
      <alignment horizontal="center"/>
    </xf>
    <xf numFmtId="174" fontId="6" fillId="4" borderId="14" xfId="2" applyNumberFormat="1" applyFont="1" applyFill="1" applyBorder="1" applyAlignment="1" applyProtection="1">
      <alignment horizontal="center"/>
      <protection locked="0"/>
    </xf>
    <xf numFmtId="165" fontId="6" fillId="3" borderId="14" xfId="0" applyNumberFormat="1" applyFont="1" applyFill="1" applyBorder="1" applyProtection="1"/>
    <xf numFmtId="171" fontId="6" fillId="3" borderId="15" xfId="0" applyNumberFormat="1" applyFont="1" applyFill="1" applyBorder="1" applyAlignment="1" applyProtection="1">
      <alignment horizontal="center"/>
    </xf>
    <xf numFmtId="165" fontId="6" fillId="4" borderId="5" xfId="0" applyNumberFormat="1" applyFont="1" applyFill="1" applyBorder="1" applyProtection="1"/>
    <xf numFmtId="165" fontId="6" fillId="3" borderId="0" xfId="0" applyNumberFormat="1" applyFont="1" applyFill="1" applyBorder="1" applyProtection="1"/>
    <xf numFmtId="0" fontId="46" fillId="4" borderId="4" xfId="0" applyFont="1" applyFill="1" applyBorder="1" applyProtection="1"/>
    <xf numFmtId="0" fontId="46" fillId="3" borderId="13" xfId="0" applyFont="1" applyFill="1" applyBorder="1" applyProtection="1"/>
    <xf numFmtId="0" fontId="46" fillId="3" borderId="14" xfId="0" applyFont="1" applyFill="1" applyBorder="1" applyProtection="1"/>
    <xf numFmtId="174" fontId="46" fillId="4" borderId="14" xfId="2" applyNumberFormat="1" applyFont="1" applyFill="1" applyBorder="1" applyAlignment="1" applyProtection="1">
      <alignment horizontal="center"/>
      <protection locked="0"/>
    </xf>
    <xf numFmtId="165" fontId="46" fillId="3" borderId="14" xfId="0" applyNumberFormat="1" applyFont="1" applyFill="1" applyBorder="1" applyProtection="1"/>
    <xf numFmtId="171" fontId="46" fillId="3" borderId="15" xfId="0" applyNumberFormat="1" applyFont="1" applyFill="1" applyBorder="1" applyAlignment="1" applyProtection="1">
      <alignment horizontal="center"/>
    </xf>
    <xf numFmtId="165" fontId="46" fillId="4" borderId="5" xfId="0" applyNumberFormat="1" applyFont="1" applyFill="1" applyBorder="1" applyProtection="1"/>
    <xf numFmtId="165" fontId="46" fillId="3" borderId="0" xfId="0" applyNumberFormat="1" applyFont="1" applyFill="1" applyBorder="1" applyProtection="1"/>
    <xf numFmtId="167" fontId="6" fillId="3" borderId="14" xfId="3" applyNumberFormat="1" applyFont="1" applyFill="1" applyBorder="1" applyAlignment="1" applyProtection="1">
      <alignment horizontal="left"/>
    </xf>
    <xf numFmtId="0" fontId="8" fillId="4" borderId="4" xfId="0" applyFont="1" applyFill="1" applyBorder="1" applyProtection="1"/>
    <xf numFmtId="0" fontId="8" fillId="4" borderId="0" xfId="0" applyFont="1" applyFill="1" applyBorder="1" applyAlignment="1" applyProtection="1">
      <alignment horizontal="center"/>
    </xf>
    <xf numFmtId="0" fontId="53" fillId="4" borderId="0" xfId="0" applyFont="1" applyFill="1" applyBorder="1" applyProtection="1"/>
    <xf numFmtId="167" fontId="14" fillId="4" borderId="0" xfId="0" applyNumberFormat="1" applyFont="1" applyFill="1" applyBorder="1" applyProtection="1"/>
    <xf numFmtId="0" fontId="53" fillId="3" borderId="0" xfId="0" applyFont="1" applyFill="1" applyBorder="1" applyProtection="1"/>
    <xf numFmtId="167" fontId="14" fillId="3" borderId="0" xfId="0" applyNumberFormat="1" applyFont="1" applyFill="1" applyBorder="1" applyProtection="1"/>
    <xf numFmtId="0" fontId="6" fillId="0" borderId="0" xfId="0" applyFont="1" applyFill="1" applyBorder="1" applyAlignment="1" applyProtection="1">
      <alignment horizontal="left" wrapText="1"/>
    </xf>
    <xf numFmtId="2" fontId="6" fillId="0" borderId="0" xfId="0" applyNumberFormat="1" applyFont="1" applyFill="1" applyBorder="1" applyAlignment="1" applyProtection="1">
      <alignment horizontal="left" wrapText="1"/>
    </xf>
    <xf numFmtId="2" fontId="7" fillId="0" borderId="0" xfId="0" applyNumberFormat="1" applyFont="1" applyFill="1" applyBorder="1" applyAlignment="1" applyProtection="1">
      <alignment horizontal="left" wrapText="1"/>
    </xf>
    <xf numFmtId="171" fontId="6" fillId="0" borderId="0" xfId="0" applyNumberFormat="1" applyFont="1" applyFill="1" applyBorder="1" applyAlignment="1" applyProtection="1">
      <alignment horizontal="left"/>
      <protection locked="0"/>
    </xf>
    <xf numFmtId="9" fontId="6" fillId="5" borderId="0" xfId="0" applyNumberFormat="1" applyFont="1" applyFill="1" applyAlignment="1" applyProtection="1">
      <alignment horizontal="left"/>
    </xf>
    <xf numFmtId="169" fontId="54" fillId="3" borderId="14" xfId="3" applyNumberFormat="1" applyFont="1" applyFill="1" applyBorder="1" applyAlignment="1" applyProtection="1">
      <alignment horizontal="right"/>
    </xf>
    <xf numFmtId="164" fontId="6" fillId="4" borderId="14" xfId="0" applyNumberFormat="1" applyFont="1" applyFill="1" applyBorder="1" applyAlignment="1" applyProtection="1">
      <alignment horizontal="center"/>
      <protection locked="0"/>
    </xf>
    <xf numFmtId="164" fontId="6" fillId="4" borderId="14" xfId="0" applyNumberFormat="1" applyFont="1" applyFill="1" applyBorder="1" applyAlignment="1" applyProtection="1">
      <protection locked="0"/>
    </xf>
    <xf numFmtId="164" fontId="7" fillId="4" borderId="14" xfId="0" applyNumberFormat="1" applyFont="1" applyFill="1" applyBorder="1" applyAlignment="1" applyProtection="1">
      <alignment horizontal="center"/>
      <protection locked="0"/>
    </xf>
    <xf numFmtId="167" fontId="6" fillId="4" borderId="14" xfId="3" applyNumberFormat="1" applyFont="1" applyFill="1" applyBorder="1" applyProtection="1">
      <protection locked="0"/>
    </xf>
    <xf numFmtId="0" fontId="55" fillId="0" borderId="0" xfId="0" applyFont="1" applyFill="1" applyAlignment="1" applyProtection="1">
      <alignment horizontal="left"/>
    </xf>
    <xf numFmtId="165" fontId="55" fillId="2" borderId="0" xfId="0" applyNumberFormat="1" applyFont="1" applyFill="1" applyBorder="1" applyAlignment="1" applyProtection="1">
      <alignment horizontal="left"/>
      <protection locked="0"/>
    </xf>
    <xf numFmtId="0" fontId="55" fillId="2" borderId="0" xfId="0" applyFont="1" applyFill="1" applyBorder="1" applyAlignment="1" applyProtection="1">
      <alignment horizontal="left"/>
      <protection locked="0"/>
    </xf>
    <xf numFmtId="0" fontId="35" fillId="4" borderId="0" xfId="0" applyFont="1" applyFill="1" applyBorder="1" applyAlignment="1" applyProtection="1">
      <alignment horizontal="right"/>
    </xf>
    <xf numFmtId="0" fontId="6" fillId="4" borderId="0" xfId="0" applyFont="1" applyFill="1" applyBorder="1" applyAlignment="1" applyProtection="1">
      <alignment horizontal="right"/>
    </xf>
    <xf numFmtId="0" fontId="6" fillId="4" borderId="14" xfId="0" applyFont="1" applyFill="1" applyBorder="1" applyAlignment="1" applyProtection="1">
      <alignment horizontal="left" vertical="top" wrapText="1"/>
      <protection locked="0"/>
    </xf>
    <xf numFmtId="0" fontId="6" fillId="4" borderId="15" xfId="0" applyFont="1" applyFill="1" applyBorder="1" applyAlignment="1" applyProtection="1">
      <alignment horizontal="left" vertical="top" wrapText="1"/>
      <protection locked="0"/>
    </xf>
    <xf numFmtId="0" fontId="6" fillId="4" borderId="18"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0" xfId="0" applyFont="1" applyFill="1" applyBorder="1" applyAlignment="1" applyProtection="1">
      <alignment horizontal="right"/>
    </xf>
    <xf numFmtId="164" fontId="7" fillId="4" borderId="0" xfId="0" applyNumberFormat="1" applyFont="1" applyFill="1" applyBorder="1" applyAlignment="1" applyProtection="1">
      <alignment horizontal="left"/>
    </xf>
    <xf numFmtId="0" fontId="7" fillId="4" borderId="7" xfId="0" applyFont="1" applyFill="1" applyBorder="1" applyAlignment="1" applyProtection="1">
      <alignment horizontal="right"/>
    </xf>
    <xf numFmtId="167" fontId="7" fillId="4" borderId="7" xfId="0" applyNumberFormat="1" applyFont="1" applyFill="1" applyBorder="1" applyProtection="1"/>
    <xf numFmtId="167" fontId="7" fillId="3" borderId="0" xfId="0" applyNumberFormat="1" applyFont="1" applyFill="1" applyBorder="1" applyProtection="1"/>
    <xf numFmtId="168" fontId="6" fillId="3" borderId="0" xfId="0" applyNumberFormat="1" applyFont="1" applyFill="1" applyBorder="1" applyProtection="1"/>
    <xf numFmtId="167" fontId="6" fillId="4" borderId="14" xfId="3" applyNumberFormat="1" applyFont="1" applyFill="1" applyBorder="1" applyAlignment="1" applyProtection="1">
      <alignment horizontal="left" vertical="top" wrapText="1"/>
      <protection locked="0"/>
    </xf>
    <xf numFmtId="42" fontId="6" fillId="0" borderId="0" xfId="0" applyNumberFormat="1" applyFont="1" applyFill="1" applyBorder="1" applyAlignment="1" applyProtection="1">
      <alignment horizontal="left"/>
    </xf>
    <xf numFmtId="169" fontId="6" fillId="0" borderId="0" xfId="0" applyNumberFormat="1" applyFont="1" applyFill="1" applyBorder="1" applyAlignment="1" applyProtection="1">
      <alignment horizontal="left"/>
    </xf>
    <xf numFmtId="165" fontId="55" fillId="5" borderId="0" xfId="0" applyNumberFormat="1" applyFont="1" applyFill="1" applyAlignment="1" applyProtection="1">
      <alignment horizontal="left"/>
      <protection locked="0"/>
    </xf>
    <xf numFmtId="0" fontId="7" fillId="4" borderId="0" xfId="0" applyFont="1" applyFill="1"/>
    <xf numFmtId="167" fontId="6" fillId="3" borderId="0" xfId="3" applyNumberFormat="1" applyFont="1" applyFill="1" applyBorder="1" applyProtection="1"/>
    <xf numFmtId="165" fontId="6" fillId="3" borderId="0" xfId="3" applyFont="1" applyFill="1" applyBorder="1" applyProtection="1"/>
    <xf numFmtId="167" fontId="6" fillId="4" borderId="2" xfId="3" applyNumberFormat="1" applyFont="1" applyFill="1" applyBorder="1" applyProtection="1"/>
    <xf numFmtId="165" fontId="6" fillId="4" borderId="2" xfId="3" applyFont="1" applyFill="1" applyBorder="1" applyProtection="1"/>
    <xf numFmtId="167" fontId="6" fillId="4" borderId="0" xfId="3" applyNumberFormat="1" applyFont="1" applyFill="1" applyBorder="1" applyProtection="1"/>
    <xf numFmtId="165" fontId="6" fillId="4" borderId="0" xfId="3" applyFont="1" applyFill="1" applyBorder="1" applyProtection="1"/>
    <xf numFmtId="167" fontId="35" fillId="4" borderId="0" xfId="3" applyNumberFormat="1" applyFont="1" applyFill="1" applyBorder="1" applyProtection="1"/>
    <xf numFmtId="165" fontId="35" fillId="4" borderId="0" xfId="3" applyFont="1" applyFill="1" applyBorder="1" applyProtection="1"/>
    <xf numFmtId="167" fontId="6" fillId="3" borderId="11" xfId="3" applyNumberFormat="1" applyFont="1" applyFill="1" applyBorder="1" applyProtection="1"/>
    <xf numFmtId="165" fontId="6" fillId="3" borderId="11" xfId="3" applyFont="1" applyFill="1" applyBorder="1" applyProtection="1"/>
    <xf numFmtId="0" fontId="6" fillId="4" borderId="15" xfId="0" applyFont="1" applyFill="1" applyBorder="1" applyProtection="1"/>
    <xf numFmtId="0" fontId="6" fillId="4" borderId="14" xfId="0" applyNumberFormat="1" applyFont="1" applyFill="1" applyBorder="1" applyAlignment="1" applyProtection="1">
      <alignment horizontal="center"/>
      <protection locked="0"/>
    </xf>
    <xf numFmtId="171" fontId="6" fillId="4" borderId="14" xfId="3" applyNumberFormat="1" applyFont="1" applyFill="1" applyBorder="1" applyAlignment="1" applyProtection="1">
      <alignment horizontal="center"/>
      <protection locked="0"/>
    </xf>
    <xf numFmtId="0" fontId="6" fillId="4" borderId="18" xfId="0" applyFont="1" applyFill="1" applyBorder="1" applyProtection="1"/>
    <xf numFmtId="0" fontId="6" fillId="3" borderId="0" xfId="0" applyFont="1" applyFill="1" applyBorder="1" applyProtection="1">
      <protection locked="0"/>
    </xf>
    <xf numFmtId="167" fontId="6" fillId="3" borderId="0" xfId="3" applyNumberFormat="1" applyFont="1" applyFill="1" applyBorder="1" applyAlignment="1" applyProtection="1">
      <alignment horizontal="right"/>
    </xf>
    <xf numFmtId="165" fontId="6" fillId="3" borderId="0" xfId="3" applyFont="1" applyFill="1" applyBorder="1" applyAlignment="1" applyProtection="1">
      <alignment horizontal="right"/>
    </xf>
    <xf numFmtId="167" fontId="6" fillId="4" borderId="0" xfId="3" applyNumberFormat="1" applyFont="1" applyFill="1" applyBorder="1" applyAlignment="1" applyProtection="1">
      <alignment horizontal="right"/>
    </xf>
    <xf numFmtId="165" fontId="6" fillId="4" borderId="0" xfId="3" applyFont="1" applyFill="1" applyBorder="1" applyAlignment="1" applyProtection="1">
      <alignment horizontal="right"/>
    </xf>
    <xf numFmtId="167" fontId="7" fillId="4" borderId="0" xfId="3" applyNumberFormat="1" applyFont="1" applyFill="1" applyBorder="1" applyAlignment="1" applyProtection="1">
      <alignment horizontal="left"/>
    </xf>
    <xf numFmtId="165" fontId="7" fillId="4" borderId="0" xfId="3" applyFont="1" applyFill="1" applyBorder="1" applyAlignment="1" applyProtection="1">
      <alignment horizontal="left"/>
    </xf>
    <xf numFmtId="167" fontId="7" fillId="4" borderId="7" xfId="3" applyNumberFormat="1" applyFont="1" applyFill="1" applyBorder="1" applyProtection="1"/>
    <xf numFmtId="165" fontId="7" fillId="4" borderId="7" xfId="3" applyFont="1" applyFill="1" applyBorder="1" applyProtection="1"/>
    <xf numFmtId="167" fontId="7" fillId="3" borderId="0" xfId="3" applyNumberFormat="1" applyFont="1" applyFill="1" applyBorder="1" applyProtection="1"/>
    <xf numFmtId="165" fontId="7" fillId="3" borderId="0" xfId="3" applyFont="1" applyFill="1" applyBorder="1" applyProtection="1"/>
    <xf numFmtId="49" fontId="39" fillId="3" borderId="0" xfId="0" applyNumberFormat="1" applyFont="1" applyFill="1" applyBorder="1" applyAlignment="1" applyProtection="1">
      <alignment horizontal="left"/>
    </xf>
    <xf numFmtId="0" fontId="39" fillId="3" borderId="0" xfId="0" applyFont="1" applyFill="1" applyAlignment="1" applyProtection="1">
      <alignment horizontal="left"/>
    </xf>
    <xf numFmtId="4" fontId="55" fillId="2" borderId="0" xfId="0" applyNumberFormat="1" applyFont="1" applyFill="1" applyBorder="1" applyAlignment="1" applyProtection="1">
      <alignment horizontal="left"/>
      <protection locked="0"/>
    </xf>
    <xf numFmtId="10" fontId="55" fillId="2" borderId="0" xfId="2" applyNumberFormat="1" applyFont="1" applyFill="1" applyBorder="1" applyAlignment="1" applyProtection="1">
      <alignment horizontal="left"/>
      <protection locked="0"/>
    </xf>
    <xf numFmtId="0" fontId="55" fillId="0" borderId="0" xfId="0" applyFont="1" applyFill="1" applyAlignment="1" applyProtection="1">
      <alignment horizontal="right"/>
    </xf>
    <xf numFmtId="0" fontId="57" fillId="0" borderId="0" xfId="0" applyFont="1" applyFill="1" applyAlignment="1" applyProtection="1">
      <alignment horizontal="left"/>
    </xf>
    <xf numFmtId="0" fontId="56" fillId="0" borderId="0" xfId="0" applyFont="1" applyFill="1" applyAlignment="1" applyProtection="1">
      <alignment horizontal="left" indent="1"/>
    </xf>
    <xf numFmtId="0" fontId="58" fillId="0" borderId="0" xfId="0" applyFont="1" applyFill="1" applyBorder="1" applyAlignment="1" applyProtection="1">
      <alignment horizontal="left" indent="1"/>
    </xf>
    <xf numFmtId="0" fontId="59" fillId="4" borderId="0" xfId="0" applyFont="1" applyFill="1" applyBorder="1" applyProtection="1"/>
    <xf numFmtId="0" fontId="60" fillId="0" borderId="0" xfId="0" applyFont="1" applyFill="1" applyBorder="1" applyAlignment="1" applyProtection="1">
      <alignment horizontal="left"/>
    </xf>
    <xf numFmtId="0" fontId="61" fillId="0" borderId="0" xfId="0" applyFont="1" applyFill="1" applyBorder="1" applyAlignment="1" applyProtection="1">
      <alignment horizontal="left"/>
    </xf>
    <xf numFmtId="0" fontId="62" fillId="0" borderId="0" xfId="0" applyFont="1" applyFill="1" applyBorder="1" applyAlignment="1" applyProtection="1">
      <alignment horizontal="left"/>
    </xf>
    <xf numFmtId="0" fontId="61" fillId="0" borderId="0" xfId="0" applyFont="1" applyFill="1" applyAlignment="1" applyProtection="1">
      <alignment horizontal="left"/>
    </xf>
    <xf numFmtId="165" fontId="61" fillId="0" borderId="0" xfId="0" applyNumberFormat="1" applyFont="1" applyFill="1" applyAlignment="1" applyProtection="1">
      <alignment horizontal="left"/>
      <protection locked="0"/>
    </xf>
    <xf numFmtId="0" fontId="57" fillId="4" borderId="4" xfId="0" applyFont="1" applyFill="1" applyBorder="1" applyProtection="1"/>
    <xf numFmtId="0" fontId="57" fillId="4" borderId="0" xfId="0" applyFont="1" applyFill="1" applyBorder="1" applyProtection="1"/>
    <xf numFmtId="0" fontId="57" fillId="4" borderId="5" xfId="0" applyFont="1" applyFill="1" applyBorder="1" applyProtection="1"/>
    <xf numFmtId="0" fontId="57" fillId="3" borderId="0" xfId="0" applyFont="1" applyFill="1" applyBorder="1" applyProtection="1"/>
    <xf numFmtId="0" fontId="62" fillId="4" borderId="0" xfId="0" applyFont="1" applyFill="1" applyBorder="1" applyAlignment="1" applyProtection="1">
      <alignment horizontal="right"/>
    </xf>
    <xf numFmtId="0" fontId="12" fillId="4" borderId="0" xfId="0" applyFont="1" applyFill="1" applyBorder="1" applyAlignment="1" applyProtection="1">
      <alignment horizontal="right"/>
    </xf>
    <xf numFmtId="174" fontId="10" fillId="4" borderId="14" xfId="0" applyNumberFormat="1" applyFont="1" applyFill="1" applyBorder="1" applyAlignment="1" applyProtection="1">
      <alignment horizontal="center"/>
      <protection locked="0"/>
    </xf>
    <xf numFmtId="174" fontId="11" fillId="3" borderId="14" xfId="0" applyNumberFormat="1" applyFont="1" applyFill="1" applyBorder="1" applyAlignment="1" applyProtection="1">
      <alignment horizontal="center"/>
    </xf>
    <xf numFmtId="174" fontId="10" fillId="3" borderId="14" xfId="0" applyNumberFormat="1" applyFont="1" applyFill="1" applyBorder="1" applyProtection="1"/>
    <xf numFmtId="174" fontId="13" fillId="3" borderId="14" xfId="0" applyNumberFormat="1" applyFont="1" applyFill="1" applyBorder="1" applyAlignment="1" applyProtection="1">
      <alignment horizontal="center"/>
    </xf>
    <xf numFmtId="0" fontId="7" fillId="4" borderId="0" xfId="0" applyFont="1" applyFill="1" applyBorder="1" applyProtection="1"/>
    <xf numFmtId="0" fontId="63" fillId="4" borderId="0" xfId="0" applyFont="1" applyFill="1" applyBorder="1" applyAlignment="1" applyProtection="1">
      <alignment horizontal="right"/>
    </xf>
    <xf numFmtId="0" fontId="64" fillId="4" borderId="0" xfId="0" applyFont="1" applyFill="1" applyBorder="1" applyProtection="1"/>
    <xf numFmtId="167" fontId="65" fillId="4" borderId="0" xfId="0" applyNumberFormat="1" applyFont="1" applyFill="1" applyBorder="1" applyAlignment="1" applyProtection="1">
      <alignment horizontal="center"/>
    </xf>
    <xf numFmtId="0" fontId="65" fillId="4" borderId="0" xfId="0" applyFont="1" applyFill="1" applyBorder="1" applyAlignment="1" applyProtection="1">
      <alignment horizontal="right"/>
    </xf>
    <xf numFmtId="0" fontId="65" fillId="4" borderId="0" xfId="0" applyFont="1" applyFill="1" applyBorder="1" applyAlignment="1" applyProtection="1">
      <alignment horizontal="center"/>
    </xf>
    <xf numFmtId="0" fontId="64" fillId="3" borderId="14" xfId="0" applyFont="1" applyFill="1" applyBorder="1" applyProtection="1"/>
    <xf numFmtId="0" fontId="66" fillId="3" borderId="14" xfId="0" applyFont="1" applyFill="1" applyBorder="1" applyProtection="1"/>
    <xf numFmtId="167" fontId="65" fillId="3" borderId="14" xfId="0" applyNumberFormat="1" applyFont="1" applyFill="1" applyBorder="1" applyAlignment="1" applyProtection="1">
      <alignment horizontal="center"/>
    </xf>
    <xf numFmtId="0" fontId="65" fillId="3" borderId="14" xfId="0" applyNumberFormat="1" applyFont="1" applyFill="1" applyBorder="1" applyAlignment="1" applyProtection="1">
      <alignment horizontal="left" indent="2"/>
    </xf>
    <xf numFmtId="0" fontId="66" fillId="3" borderId="14" xfId="0" quotePrefix="1" applyNumberFormat="1" applyFont="1" applyFill="1" applyBorder="1" applyAlignment="1" applyProtection="1">
      <alignment horizontal="center"/>
    </xf>
    <xf numFmtId="0" fontId="63" fillId="3" borderId="14" xfId="0" applyFont="1" applyFill="1" applyBorder="1" applyAlignment="1" applyProtection="1">
      <alignment horizontal="left" indent="2"/>
    </xf>
    <xf numFmtId="0" fontId="66" fillId="3" borderId="0" xfId="0" applyFont="1" applyFill="1" applyBorder="1" applyProtection="1"/>
    <xf numFmtId="0" fontId="66" fillId="3" borderId="0" xfId="0" quotePrefix="1" applyNumberFormat="1" applyFont="1" applyFill="1" applyBorder="1" applyAlignment="1" applyProtection="1">
      <alignment horizontal="center"/>
    </xf>
    <xf numFmtId="0" fontId="66" fillId="4" borderId="0" xfId="0" applyFont="1" applyFill="1" applyBorder="1" applyProtection="1"/>
    <xf numFmtId="1" fontId="65" fillId="4" borderId="0" xfId="0" applyNumberFormat="1" applyFont="1" applyFill="1" applyBorder="1" applyAlignment="1" applyProtection="1">
      <alignment horizontal="center"/>
    </xf>
    <xf numFmtId="0" fontId="65" fillId="3" borderId="14" xfId="0" applyFont="1" applyFill="1" applyBorder="1" applyAlignment="1" applyProtection="1">
      <alignment horizontal="left"/>
    </xf>
    <xf numFmtId="1" fontId="63" fillId="4" borderId="0" xfId="0" applyNumberFormat="1" applyFont="1" applyFill="1" applyBorder="1" applyAlignment="1" applyProtection="1">
      <alignment horizontal="right"/>
    </xf>
    <xf numFmtId="0" fontId="7" fillId="4" borderId="14" xfId="0" applyFont="1" applyFill="1" applyBorder="1" applyAlignment="1" applyProtection="1">
      <alignment horizontal="left"/>
      <protection locked="0"/>
    </xf>
    <xf numFmtId="0" fontId="46" fillId="4" borderId="0" xfId="0" applyFont="1" applyFill="1" applyBorder="1" applyProtection="1"/>
    <xf numFmtId="0" fontId="67" fillId="4" borderId="0" xfId="0" applyFont="1" applyFill="1" applyBorder="1" applyProtection="1"/>
    <xf numFmtId="0" fontId="66" fillId="4" borderId="0" xfId="0" applyFont="1" applyFill="1" applyBorder="1" applyAlignment="1" applyProtection="1">
      <alignment horizontal="center"/>
    </xf>
    <xf numFmtId="0" fontId="68" fillId="4" borderId="0" xfId="0" applyFont="1" applyFill="1" applyBorder="1" applyProtection="1"/>
    <xf numFmtId="0" fontId="69" fillId="4" borderId="0" xfId="0" applyFont="1" applyFill="1" applyBorder="1" applyAlignment="1" applyProtection="1">
      <alignment horizontal="center"/>
    </xf>
    <xf numFmtId="0" fontId="65" fillId="4" borderId="0" xfId="0" applyNumberFormat="1" applyFont="1" applyFill="1" applyBorder="1" applyAlignment="1" applyProtection="1">
      <alignment horizontal="center"/>
    </xf>
    <xf numFmtId="0" fontId="6" fillId="4" borderId="14" xfId="0" applyFont="1" applyFill="1" applyBorder="1" applyProtection="1">
      <protection locked="0"/>
    </xf>
    <xf numFmtId="177" fontId="6" fillId="3" borderId="14" xfId="0" applyNumberFormat="1" applyFont="1" applyFill="1" applyBorder="1" applyAlignment="1" applyProtection="1">
      <alignment horizontal="left"/>
    </xf>
    <xf numFmtId="0" fontId="7" fillId="3" borderId="17" xfId="0" applyFont="1" applyFill="1" applyBorder="1" applyProtection="1"/>
    <xf numFmtId="0" fontId="7" fillId="3" borderId="11" xfId="0" applyFont="1" applyFill="1" applyBorder="1" applyProtection="1"/>
    <xf numFmtId="0" fontId="7" fillId="4" borderId="0" xfId="0" applyFont="1" applyFill="1" applyBorder="1" applyAlignment="1" applyProtection="1">
      <alignment horizontal="left"/>
    </xf>
    <xf numFmtId="0" fontId="7" fillId="3" borderId="11" xfId="0" applyFont="1" applyFill="1" applyBorder="1" applyAlignment="1" applyProtection="1">
      <alignment horizontal="left"/>
    </xf>
    <xf numFmtId="0" fontId="6" fillId="3" borderId="17" xfId="0" applyFont="1" applyFill="1" applyBorder="1" applyAlignment="1" applyProtection="1">
      <alignment horizontal="left"/>
    </xf>
    <xf numFmtId="0" fontId="6" fillId="4" borderId="0" xfId="0" applyFont="1" applyFill="1" applyBorder="1" applyAlignment="1" applyProtection="1">
      <alignment horizontal="left"/>
    </xf>
    <xf numFmtId="0" fontId="46" fillId="4" borderId="2" xfId="0" applyFont="1" applyFill="1" applyBorder="1" applyProtection="1"/>
    <xf numFmtId="0" fontId="46" fillId="3" borderId="11" xfId="0" applyFont="1" applyFill="1" applyBorder="1" applyProtection="1"/>
    <xf numFmtId="0" fontId="45" fillId="3" borderId="14" xfId="0" applyFont="1" applyFill="1" applyBorder="1" applyProtection="1"/>
    <xf numFmtId="0" fontId="48" fillId="3" borderId="14" xfId="0" applyFont="1" applyFill="1" applyBorder="1" applyProtection="1"/>
    <xf numFmtId="0" fontId="50" fillId="3" borderId="14" xfId="0" applyFont="1" applyFill="1" applyBorder="1" applyAlignment="1" applyProtection="1">
      <alignment horizontal="left"/>
    </xf>
    <xf numFmtId="0" fontId="46" fillId="4" borderId="14" xfId="0" applyFont="1" applyFill="1" applyBorder="1" applyProtection="1">
      <protection locked="0"/>
    </xf>
    <xf numFmtId="0" fontId="50" fillId="3" borderId="14" xfId="0" applyFont="1" applyFill="1" applyBorder="1" applyProtection="1"/>
    <xf numFmtId="0" fontId="48" fillId="3" borderId="14" xfId="0" applyFont="1" applyFill="1" applyBorder="1" applyAlignment="1" applyProtection="1">
      <alignment horizontal="left"/>
    </xf>
    <xf numFmtId="0" fontId="46" fillId="3" borderId="14" xfId="0" applyFont="1" applyFill="1" applyBorder="1" applyAlignment="1" applyProtection="1">
      <alignment horizontal="left"/>
    </xf>
    <xf numFmtId="0" fontId="46" fillId="3" borderId="14" xfId="0" applyFont="1" applyFill="1" applyBorder="1" applyProtection="1">
      <protection locked="0"/>
    </xf>
    <xf numFmtId="0" fontId="48" fillId="3" borderId="14" xfId="0" quotePrefix="1" applyFont="1" applyFill="1" applyBorder="1" applyAlignment="1" applyProtection="1">
      <alignment horizontal="left"/>
    </xf>
    <xf numFmtId="0" fontId="48" fillId="3" borderId="14" xfId="0" quotePrefix="1" applyFont="1" applyFill="1" applyBorder="1" applyProtection="1"/>
    <xf numFmtId="177" fontId="46" fillId="3" borderId="14" xfId="0" applyNumberFormat="1" applyFont="1" applyFill="1" applyBorder="1" applyAlignment="1" applyProtection="1">
      <alignment horizontal="left"/>
    </xf>
    <xf numFmtId="0" fontId="46" fillId="3" borderId="17" xfId="0" applyFont="1" applyFill="1" applyBorder="1" applyProtection="1"/>
    <xf numFmtId="0" fontId="45" fillId="3" borderId="17" xfId="0" applyFont="1" applyFill="1" applyBorder="1" applyProtection="1"/>
    <xf numFmtId="0" fontId="45" fillId="4" borderId="0" xfId="0" applyFont="1" applyFill="1" applyBorder="1" applyProtection="1"/>
    <xf numFmtId="0" fontId="45" fillId="3" borderId="11" xfId="0" applyFont="1" applyFill="1" applyBorder="1" applyProtection="1"/>
    <xf numFmtId="0" fontId="46" fillId="0" borderId="14" xfId="0" applyFont="1" applyFill="1" applyBorder="1" applyProtection="1"/>
    <xf numFmtId="0" fontId="45" fillId="3" borderId="17" xfId="0" applyFont="1" applyFill="1" applyBorder="1" applyAlignment="1" applyProtection="1">
      <alignment horizontal="left"/>
    </xf>
    <xf numFmtId="0" fontId="45" fillId="4" borderId="0" xfId="0" applyFont="1" applyFill="1" applyBorder="1" applyAlignment="1" applyProtection="1">
      <alignment horizontal="left"/>
    </xf>
    <xf numFmtId="0" fontId="45" fillId="3" borderId="11" xfId="0" applyFont="1" applyFill="1" applyBorder="1" applyAlignment="1" applyProtection="1">
      <alignment horizontal="left"/>
    </xf>
    <xf numFmtId="0" fontId="45" fillId="3" borderId="14" xfId="0" applyFont="1" applyFill="1" applyBorder="1" applyAlignment="1" applyProtection="1">
      <alignment horizontal="left"/>
    </xf>
    <xf numFmtId="0" fontId="46" fillId="3" borderId="17" xfId="0" applyFont="1" applyFill="1" applyBorder="1" applyAlignment="1" applyProtection="1">
      <alignment horizontal="left"/>
    </xf>
    <xf numFmtId="0" fontId="46" fillId="4" borderId="0" xfId="0" applyFont="1" applyFill="1" applyBorder="1" applyAlignment="1" applyProtection="1">
      <alignment horizontal="left"/>
    </xf>
    <xf numFmtId="0" fontId="46" fillId="4" borderId="7" xfId="0" applyFont="1" applyFill="1" applyBorder="1" applyProtection="1"/>
    <xf numFmtId="0" fontId="46" fillId="3" borderId="0" xfId="0" applyFont="1" applyFill="1" applyProtection="1"/>
    <xf numFmtId="0" fontId="50" fillId="3" borderId="0" xfId="0" applyNumberFormat="1" applyFont="1" applyFill="1" applyBorder="1" applyAlignment="1" applyProtection="1">
      <alignment horizontal="left"/>
    </xf>
    <xf numFmtId="0" fontId="64" fillId="3" borderId="14" xfId="0" applyFont="1" applyFill="1" applyBorder="1" applyAlignment="1" applyProtection="1">
      <alignment horizontal="left"/>
    </xf>
    <xf numFmtId="164" fontId="45" fillId="6" borderId="14" xfId="0" applyNumberFormat="1" applyFont="1" applyFill="1" applyBorder="1" applyAlignment="1" applyProtection="1">
      <alignment horizontal="left"/>
    </xf>
    <xf numFmtId="2" fontId="45" fillId="6" borderId="14" xfId="0" applyNumberFormat="1" applyFont="1" applyFill="1" applyBorder="1" applyAlignment="1" applyProtection="1">
      <alignment horizontal="center"/>
    </xf>
    <xf numFmtId="170" fontId="45" fillId="6" borderId="14" xfId="0" applyNumberFormat="1" applyFont="1" applyFill="1" applyBorder="1" applyAlignment="1" applyProtection="1">
      <alignment horizontal="center"/>
    </xf>
    <xf numFmtId="164" fontId="45" fillId="6" borderId="14" xfId="0" applyNumberFormat="1" applyFont="1" applyFill="1" applyBorder="1" applyAlignment="1" applyProtection="1">
      <alignment horizontal="center"/>
    </xf>
    <xf numFmtId="164" fontId="48" fillId="6" borderId="14" xfId="0" applyNumberFormat="1" applyFont="1" applyFill="1" applyBorder="1" applyAlignment="1" applyProtection="1">
      <alignment horizontal="center"/>
    </xf>
    <xf numFmtId="2" fontId="48" fillId="6" borderId="14" xfId="0" applyNumberFormat="1" applyFont="1" applyFill="1" applyBorder="1" applyAlignment="1" applyProtection="1">
      <alignment horizontal="center"/>
    </xf>
    <xf numFmtId="164" fontId="10" fillId="5" borderId="14" xfId="0" applyNumberFormat="1" applyFont="1" applyFill="1" applyBorder="1" applyAlignment="1" applyProtection="1">
      <alignment horizontal="center"/>
    </xf>
    <xf numFmtId="164" fontId="6" fillId="5" borderId="14" xfId="0" applyNumberFormat="1" applyFont="1" applyFill="1" applyBorder="1" applyAlignment="1" applyProtection="1">
      <alignment horizontal="center"/>
    </xf>
    <xf numFmtId="164" fontId="46" fillId="5" borderId="14" xfId="0" applyNumberFormat="1" applyFont="1" applyFill="1" applyBorder="1" applyAlignment="1" applyProtection="1">
      <alignment horizontal="center"/>
    </xf>
    <xf numFmtId="2" fontId="10" fillId="5" borderId="14" xfId="0" applyNumberFormat="1" applyFont="1" applyFill="1" applyBorder="1" applyAlignment="1" applyProtection="1">
      <alignment horizontal="center"/>
    </xf>
    <xf numFmtId="0" fontId="63" fillId="3" borderId="14" xfId="0" applyFont="1" applyFill="1" applyBorder="1" applyAlignment="1" applyProtection="1">
      <alignment horizontal="center"/>
    </xf>
    <xf numFmtId="0" fontId="64" fillId="3" borderId="0" xfId="0" applyFont="1" applyFill="1" applyBorder="1" applyProtection="1"/>
    <xf numFmtId="0" fontId="66" fillId="3" borderId="0" xfId="0" applyFont="1" applyFill="1" applyBorder="1" applyAlignment="1" applyProtection="1">
      <alignment horizontal="center"/>
    </xf>
    <xf numFmtId="0" fontId="65" fillId="3" borderId="0" xfId="0" applyFont="1" applyFill="1" applyBorder="1" applyAlignment="1" applyProtection="1">
      <alignment horizontal="center"/>
    </xf>
    <xf numFmtId="164" fontId="66" fillId="3" borderId="0" xfId="0" applyNumberFormat="1" applyFont="1" applyFill="1" applyBorder="1" applyAlignment="1" applyProtection="1">
      <alignment horizontal="left"/>
    </xf>
    <xf numFmtId="2" fontId="66" fillId="3" borderId="0" xfId="0" applyNumberFormat="1" applyFont="1" applyFill="1" applyBorder="1" applyAlignment="1" applyProtection="1">
      <alignment horizontal="center"/>
    </xf>
    <xf numFmtId="0" fontId="6" fillId="3" borderId="14" xfId="0" applyFont="1" applyFill="1" applyBorder="1" applyAlignment="1" applyProtection="1">
      <alignment horizontal="right"/>
    </xf>
    <xf numFmtId="164" fontId="48" fillId="6" borderId="14" xfId="0" applyNumberFormat="1" applyFont="1" applyFill="1" applyBorder="1" applyAlignment="1" applyProtection="1">
      <alignment horizontal="center"/>
      <protection locked="0"/>
    </xf>
    <xf numFmtId="0" fontId="6" fillId="3" borderId="14" xfId="0" applyFont="1" applyFill="1" applyBorder="1" applyAlignment="1" applyProtection="1">
      <alignment horizontal="center"/>
    </xf>
    <xf numFmtId="171" fontId="6" fillId="3" borderId="14" xfId="0" applyNumberFormat="1" applyFont="1" applyFill="1" applyBorder="1" applyAlignment="1" applyProtection="1">
      <alignment horizontal="center"/>
    </xf>
    <xf numFmtId="2" fontId="6" fillId="3" borderId="14" xfId="0" applyNumberFormat="1" applyFont="1" applyFill="1" applyBorder="1" applyAlignment="1" applyProtection="1">
      <alignment horizontal="center"/>
    </xf>
    <xf numFmtId="2" fontId="6" fillId="3" borderId="14" xfId="0" applyNumberFormat="1" applyFont="1" applyFill="1" applyBorder="1" applyProtection="1"/>
    <xf numFmtId="171" fontId="45" fillId="6" borderId="14" xfId="0" applyNumberFormat="1" applyFont="1" applyFill="1" applyBorder="1" applyAlignment="1" applyProtection="1">
      <alignment horizontal="center"/>
    </xf>
    <xf numFmtId="2" fontId="46" fillId="6" borderId="14" xfId="0" applyNumberFormat="1" applyFont="1" applyFill="1" applyBorder="1" applyAlignment="1" applyProtection="1">
      <alignment horizontal="center"/>
    </xf>
    <xf numFmtId="164" fontId="46" fillId="6" borderId="14" xfId="0" applyNumberFormat="1" applyFont="1" applyFill="1" applyBorder="1" applyProtection="1"/>
    <xf numFmtId="171" fontId="10" fillId="5" borderId="14" xfId="0" applyNumberFormat="1" applyFont="1" applyFill="1" applyBorder="1" applyAlignment="1" applyProtection="1">
      <alignment horizontal="center"/>
    </xf>
    <xf numFmtId="0" fontId="63" fillId="4" borderId="0" xfId="0" applyNumberFormat="1" applyFont="1" applyFill="1" applyBorder="1" applyAlignment="1" applyProtection="1">
      <alignment horizontal="left"/>
    </xf>
    <xf numFmtId="0" fontId="63" fillId="4" borderId="0" xfId="0" applyNumberFormat="1" applyFont="1" applyFill="1" applyBorder="1" applyAlignment="1" applyProtection="1">
      <alignment horizontal="center"/>
    </xf>
    <xf numFmtId="173" fontId="63" fillId="4" borderId="0" xfId="0" applyNumberFormat="1" applyFont="1" applyFill="1" applyBorder="1" applyAlignment="1" applyProtection="1">
      <alignment horizontal="center"/>
    </xf>
    <xf numFmtId="1" fontId="63" fillId="4" borderId="0" xfId="0" applyNumberFormat="1" applyFont="1" applyFill="1" applyBorder="1" applyAlignment="1" applyProtection="1">
      <alignment horizontal="center"/>
    </xf>
    <xf numFmtId="2" fontId="6" fillId="6" borderId="14" xfId="0" applyNumberFormat="1" applyFont="1" applyFill="1" applyBorder="1" applyAlignment="1" applyProtection="1">
      <alignment horizontal="center"/>
    </xf>
    <xf numFmtId="164" fontId="6" fillId="6" borderId="14" xfId="0" applyNumberFormat="1" applyFont="1" applyFill="1" applyBorder="1" applyProtection="1"/>
    <xf numFmtId="171" fontId="7" fillId="6" borderId="14" xfId="0" applyNumberFormat="1" applyFont="1" applyFill="1" applyBorder="1" applyAlignment="1" applyProtection="1">
      <alignment horizontal="center"/>
    </xf>
    <xf numFmtId="2" fontId="7" fillId="6" borderId="14" xfId="0" applyNumberFormat="1" applyFont="1" applyFill="1" applyBorder="1" applyAlignment="1" applyProtection="1">
      <alignment horizontal="center"/>
    </xf>
    <xf numFmtId="164" fontId="7" fillId="6" borderId="14" xfId="0" applyNumberFormat="1" applyFont="1" applyFill="1" applyBorder="1" applyAlignment="1" applyProtection="1">
      <alignment horizontal="center"/>
    </xf>
    <xf numFmtId="0" fontId="66" fillId="4" borderId="0" xfId="0" applyFont="1" applyFill="1" applyBorder="1" applyAlignment="1" applyProtection="1">
      <alignment horizontal="left"/>
    </xf>
    <xf numFmtId="0" fontId="64" fillId="4" borderId="0" xfId="0" applyFont="1" applyFill="1" applyBorder="1" applyAlignment="1" applyProtection="1">
      <alignment horizontal="left"/>
    </xf>
    <xf numFmtId="0" fontId="64" fillId="3" borderId="11" xfId="0" applyFont="1" applyFill="1" applyBorder="1" applyAlignment="1" applyProtection="1">
      <alignment horizontal="left"/>
    </xf>
    <xf numFmtId="0" fontId="66" fillId="3" borderId="11" xfId="0" applyFont="1" applyFill="1" applyBorder="1" applyProtection="1"/>
    <xf numFmtId="0" fontId="66" fillId="3" borderId="11" xfId="0" applyFont="1" applyFill="1" applyBorder="1" applyAlignment="1" applyProtection="1">
      <alignment horizontal="center"/>
    </xf>
    <xf numFmtId="164" fontId="64" fillId="3" borderId="11" xfId="0" applyNumberFormat="1" applyFont="1" applyFill="1" applyBorder="1" applyAlignment="1" applyProtection="1">
      <alignment horizontal="center"/>
    </xf>
    <xf numFmtId="167" fontId="64" fillId="3" borderId="11" xfId="0" applyNumberFormat="1" applyFont="1" applyFill="1" applyBorder="1" applyAlignment="1" applyProtection="1">
      <alignment horizontal="center"/>
    </xf>
    <xf numFmtId="0" fontId="64" fillId="3" borderId="14" xfId="0" applyFont="1" applyFill="1" applyBorder="1" applyAlignment="1" applyProtection="1">
      <alignment horizontal="center"/>
    </xf>
    <xf numFmtId="164" fontId="64" fillId="3" borderId="14" xfId="0" applyNumberFormat="1" applyFont="1" applyFill="1" applyBorder="1" applyAlignment="1" applyProtection="1">
      <alignment horizontal="center"/>
    </xf>
    <xf numFmtId="167" fontId="64" fillId="3" borderId="14" xfId="0" applyNumberFormat="1" applyFont="1" applyFill="1" applyBorder="1" applyAlignment="1" applyProtection="1">
      <alignment horizontal="center"/>
    </xf>
    <xf numFmtId="164" fontId="45" fillId="5" borderId="14" xfId="0" applyNumberFormat="1" applyFont="1" applyFill="1" applyBorder="1" applyAlignment="1" applyProtection="1">
      <alignment horizontal="center"/>
    </xf>
    <xf numFmtId="2" fontId="46" fillId="5" borderId="14" xfId="0" applyNumberFormat="1" applyFont="1" applyFill="1" applyBorder="1" applyAlignment="1" applyProtection="1">
      <alignment horizontal="center"/>
    </xf>
    <xf numFmtId="0" fontId="63" fillId="4" borderId="0" xfId="0" applyFont="1" applyFill="1" applyBorder="1" applyAlignment="1" applyProtection="1"/>
    <xf numFmtId="0" fontId="64" fillId="4" borderId="0" xfId="0" applyNumberFormat="1" applyFont="1" applyFill="1" applyBorder="1" applyAlignment="1" applyProtection="1">
      <alignment horizontal="center"/>
    </xf>
    <xf numFmtId="0" fontId="64" fillId="3" borderId="0" xfId="0" applyFont="1" applyFill="1" applyBorder="1" applyAlignment="1" applyProtection="1">
      <alignment horizontal="left"/>
    </xf>
    <xf numFmtId="164" fontId="64" fillId="3" borderId="0" xfId="0" applyNumberFormat="1" applyFont="1" applyFill="1" applyBorder="1" applyAlignment="1" applyProtection="1">
      <alignment horizontal="center"/>
    </xf>
    <xf numFmtId="164" fontId="64" fillId="3" borderId="0" xfId="0" applyNumberFormat="1" applyFont="1" applyFill="1" applyBorder="1" applyAlignment="1" applyProtection="1">
      <alignment horizontal="left"/>
    </xf>
    <xf numFmtId="164" fontId="64" fillId="3" borderId="0" xfId="0" applyNumberFormat="1" applyFont="1" applyFill="1" applyBorder="1" applyProtection="1"/>
    <xf numFmtId="0" fontId="64" fillId="3" borderId="0" xfId="0" applyFont="1" applyFill="1" applyBorder="1" applyAlignment="1" applyProtection="1">
      <alignment horizontal="center"/>
    </xf>
    <xf numFmtId="2" fontId="64" fillId="3" borderId="0" xfId="0" applyNumberFormat="1" applyFont="1" applyFill="1" applyBorder="1" applyAlignment="1" applyProtection="1">
      <alignment horizontal="center"/>
    </xf>
    <xf numFmtId="165" fontId="64" fillId="3" borderId="0" xfId="0" applyNumberFormat="1" applyFont="1" applyFill="1" applyBorder="1" applyAlignment="1" applyProtection="1">
      <alignment horizontal="left"/>
    </xf>
    <xf numFmtId="2" fontId="64" fillId="3" borderId="0" xfId="0" applyNumberFormat="1" applyFont="1" applyFill="1" applyBorder="1" applyProtection="1"/>
    <xf numFmtId="165" fontId="64" fillId="3" borderId="0" xfId="0" applyNumberFormat="1" applyFont="1" applyFill="1" applyBorder="1" applyProtection="1"/>
    <xf numFmtId="2" fontId="10" fillId="5" borderId="11" xfId="0" applyNumberFormat="1" applyFont="1" applyFill="1" applyBorder="1" applyAlignment="1" applyProtection="1">
      <alignment horizontal="center"/>
    </xf>
    <xf numFmtId="164" fontId="13" fillId="5" borderId="11" xfId="0" applyNumberFormat="1" applyFont="1" applyFill="1" applyBorder="1" applyAlignment="1" applyProtection="1">
      <alignment horizontal="left"/>
    </xf>
    <xf numFmtId="164" fontId="10" fillId="5" borderId="14" xfId="0" applyNumberFormat="1" applyFont="1" applyFill="1" applyBorder="1" applyAlignment="1" applyProtection="1">
      <alignment horizontal="left"/>
    </xf>
    <xf numFmtId="0" fontId="12" fillId="5" borderId="14" xfId="0" applyNumberFormat="1" applyFont="1" applyFill="1" applyBorder="1" applyAlignment="1" applyProtection="1">
      <alignment horizontal="center"/>
    </xf>
    <xf numFmtId="164" fontId="7" fillId="6" borderId="14" xfId="0" applyNumberFormat="1" applyFont="1" applyFill="1" applyBorder="1" applyAlignment="1" applyProtection="1">
      <alignment horizontal="left"/>
    </xf>
    <xf numFmtId="164" fontId="11" fillId="6" borderId="14" xfId="0" applyNumberFormat="1" applyFont="1" applyFill="1" applyBorder="1" applyAlignment="1" applyProtection="1">
      <alignment horizontal="left"/>
    </xf>
    <xf numFmtId="164" fontId="12" fillId="6" borderId="14" xfId="0" applyNumberFormat="1" applyFont="1" applyFill="1" applyBorder="1" applyAlignment="1" applyProtection="1">
      <alignment horizontal="left"/>
    </xf>
    <xf numFmtId="0" fontId="50" fillId="4" borderId="0" xfId="0" applyFont="1" applyFill="1" applyBorder="1" applyProtection="1"/>
    <xf numFmtId="167" fontId="50" fillId="4" borderId="0" xfId="0" applyNumberFormat="1" applyFont="1" applyFill="1" applyBorder="1" applyAlignment="1" applyProtection="1">
      <alignment horizontal="left"/>
    </xf>
    <xf numFmtId="0" fontId="46" fillId="3" borderId="14" xfId="0" quotePrefix="1" applyFont="1" applyFill="1" applyBorder="1" applyAlignment="1" applyProtection="1">
      <alignment horizontal="left" indent="1"/>
    </xf>
    <xf numFmtId="49" fontId="46" fillId="4" borderId="14" xfId="0" applyNumberFormat="1" applyFont="1" applyFill="1" applyBorder="1" applyAlignment="1" applyProtection="1">
      <alignment horizontal="left"/>
      <protection locked="0"/>
    </xf>
    <xf numFmtId="49" fontId="46" fillId="4" borderId="14" xfId="0" applyNumberFormat="1" applyFont="1" applyFill="1" applyBorder="1" applyProtection="1">
      <protection locked="0"/>
    </xf>
    <xf numFmtId="1" fontId="45" fillId="3" borderId="14" xfId="0" applyNumberFormat="1" applyFont="1" applyFill="1" applyBorder="1" applyProtection="1"/>
    <xf numFmtId="1" fontId="48" fillId="3" borderId="14" xfId="0" applyNumberFormat="1" applyFont="1" applyFill="1" applyBorder="1" applyProtection="1"/>
    <xf numFmtId="0" fontId="46" fillId="3" borderId="14" xfId="0" quotePrefix="1" applyFont="1" applyFill="1" applyBorder="1" applyAlignment="1" applyProtection="1">
      <alignment horizontal="left"/>
    </xf>
    <xf numFmtId="1" fontId="45" fillId="3" borderId="14" xfId="0" applyNumberFormat="1" applyFont="1" applyFill="1" applyBorder="1" applyAlignment="1" applyProtection="1">
      <alignment horizontal="left"/>
    </xf>
    <xf numFmtId="1" fontId="46" fillId="3" borderId="14" xfId="0" applyNumberFormat="1" applyFont="1" applyFill="1" applyBorder="1" applyProtection="1"/>
    <xf numFmtId="1" fontId="46" fillId="4" borderId="14" xfId="0" applyNumberFormat="1" applyFont="1" applyFill="1" applyBorder="1" applyProtection="1">
      <protection locked="0"/>
    </xf>
    <xf numFmtId="1" fontId="46" fillId="4" borderId="14" xfId="0" applyNumberFormat="1" applyFont="1" applyFill="1" applyBorder="1" applyAlignment="1" applyProtection="1">
      <alignment horizontal="left"/>
      <protection locked="0"/>
    </xf>
    <xf numFmtId="0" fontId="48" fillId="3" borderId="0" xfId="0" applyFont="1" applyFill="1" applyBorder="1" applyAlignment="1" applyProtection="1">
      <alignment horizontal="left"/>
    </xf>
    <xf numFmtId="0" fontId="45" fillId="3" borderId="0" xfId="0" applyFont="1" applyFill="1" applyBorder="1" applyAlignment="1" applyProtection="1">
      <alignment horizontal="right"/>
    </xf>
    <xf numFmtId="0" fontId="12" fillId="4" borderId="0" xfId="0" applyNumberFormat="1" applyFont="1" applyFill="1" applyBorder="1" applyAlignment="1" applyProtection="1">
      <alignment horizontal="right"/>
    </xf>
    <xf numFmtId="0" fontId="63" fillId="4" borderId="0" xfId="0" applyNumberFormat="1" applyFont="1" applyFill="1" applyBorder="1" applyAlignment="1" applyProtection="1">
      <alignment horizontal="right"/>
    </xf>
    <xf numFmtId="0" fontId="65" fillId="4" borderId="0" xfId="0" quotePrefix="1" applyNumberFormat="1" applyFont="1" applyFill="1" applyBorder="1" applyAlignment="1" applyProtection="1">
      <alignment horizontal="center"/>
    </xf>
    <xf numFmtId="1" fontId="64" fillId="3" borderId="14" xfId="0" applyNumberFormat="1" applyFont="1" applyFill="1" applyBorder="1" applyProtection="1"/>
    <xf numFmtId="0" fontId="63" fillId="3" borderId="0" xfId="0" applyFont="1" applyFill="1" applyBorder="1" applyProtection="1"/>
    <xf numFmtId="0" fontId="65" fillId="3" borderId="0" xfId="0" applyFont="1" applyFill="1" applyBorder="1" applyAlignment="1" applyProtection="1">
      <alignment horizontal="right"/>
    </xf>
    <xf numFmtId="167" fontId="66" fillId="3" borderId="0" xfId="0" applyNumberFormat="1" applyFont="1" applyFill="1" applyBorder="1" applyProtection="1"/>
    <xf numFmtId="0" fontId="66" fillId="3" borderId="0" xfId="0" applyFont="1" applyFill="1" applyBorder="1" applyAlignment="1" applyProtection="1">
      <alignment horizontal="left"/>
    </xf>
    <xf numFmtId="167" fontId="64" fillId="3" borderId="0" xfId="0" applyNumberFormat="1" applyFont="1" applyFill="1" applyBorder="1" applyProtection="1"/>
    <xf numFmtId="0" fontId="63" fillId="3" borderId="0" xfId="0" applyFont="1" applyFill="1" applyBorder="1" applyAlignment="1" applyProtection="1">
      <alignment horizontal="right"/>
    </xf>
    <xf numFmtId="0" fontId="63" fillId="3" borderId="0" xfId="0" applyFont="1" applyFill="1" applyBorder="1" applyAlignment="1" applyProtection="1">
      <alignment horizontal="left"/>
    </xf>
    <xf numFmtId="164" fontId="10" fillId="5" borderId="14" xfId="0" applyNumberFormat="1" applyFont="1" applyFill="1" applyBorder="1" applyProtection="1"/>
    <xf numFmtId="164" fontId="10" fillId="5" borderId="14" xfId="3" applyNumberFormat="1" applyFont="1" applyFill="1" applyBorder="1" applyAlignment="1" applyProtection="1">
      <alignment horizontal="left"/>
    </xf>
    <xf numFmtId="167" fontId="10" fillId="5" borderId="14" xfId="3" applyNumberFormat="1" applyFont="1" applyFill="1" applyBorder="1" applyProtection="1"/>
    <xf numFmtId="167" fontId="7" fillId="6" borderId="14" xfId="3" applyNumberFormat="1" applyFont="1" applyFill="1" applyBorder="1" applyProtection="1"/>
    <xf numFmtId="164" fontId="7" fillId="6" borderId="14" xfId="3" applyNumberFormat="1" applyFont="1" applyFill="1" applyBorder="1" applyProtection="1"/>
    <xf numFmtId="167" fontId="7" fillId="6" borderId="14" xfId="0" applyNumberFormat="1" applyFont="1" applyFill="1" applyBorder="1" applyProtection="1"/>
    <xf numFmtId="164" fontId="7" fillId="6" borderId="14" xfId="0" applyNumberFormat="1" applyFont="1" applyFill="1" applyBorder="1" applyProtection="1"/>
    <xf numFmtId="164" fontId="7" fillId="6" borderId="14" xfId="3" applyNumberFormat="1" applyFont="1" applyFill="1" applyBorder="1" applyAlignment="1" applyProtection="1">
      <alignment horizontal="left"/>
    </xf>
    <xf numFmtId="164" fontId="12" fillId="6" borderId="14" xfId="3" applyNumberFormat="1" applyFont="1" applyFill="1" applyBorder="1" applyAlignment="1" applyProtection="1">
      <alignment horizontal="left"/>
    </xf>
    <xf numFmtId="164" fontId="12" fillId="6" borderId="14" xfId="3" applyNumberFormat="1" applyFont="1" applyFill="1" applyBorder="1" applyAlignment="1" applyProtection="1">
      <alignment horizontal="right"/>
    </xf>
    <xf numFmtId="164" fontId="12" fillId="6" borderId="14" xfId="0" applyNumberFormat="1" applyFont="1" applyFill="1" applyBorder="1" applyProtection="1"/>
    <xf numFmtId="166" fontId="12" fillId="6" borderId="14" xfId="0" applyNumberFormat="1" applyFont="1" applyFill="1" applyBorder="1" applyAlignment="1" applyProtection="1">
      <alignment horizontal="center"/>
      <protection locked="0"/>
    </xf>
    <xf numFmtId="0" fontId="6" fillId="3" borderId="0" xfId="0" applyFont="1" applyFill="1" applyBorder="1" applyAlignment="1" applyProtection="1"/>
    <xf numFmtId="0" fontId="6" fillId="4" borderId="2" xfId="0" applyFont="1" applyFill="1" applyBorder="1" applyAlignment="1" applyProtection="1"/>
    <xf numFmtId="0" fontId="6" fillId="4" borderId="0" xfId="0" applyFont="1" applyFill="1" applyBorder="1" applyAlignment="1" applyProtection="1"/>
    <xf numFmtId="0" fontId="63" fillId="4" borderId="0" xfId="0" applyFont="1" applyFill="1" applyBorder="1" applyAlignment="1" applyProtection="1">
      <alignment horizontal="left"/>
    </xf>
    <xf numFmtId="0" fontId="72" fillId="4" borderId="0" xfId="0" applyFont="1" applyFill="1" applyBorder="1" applyProtection="1"/>
    <xf numFmtId="0" fontId="65" fillId="4" borderId="0" xfId="0" applyFont="1" applyFill="1" applyBorder="1" applyAlignment="1" applyProtection="1">
      <alignment horizontal="left"/>
    </xf>
    <xf numFmtId="0" fontId="66" fillId="4" borderId="0" xfId="0" applyNumberFormat="1" applyFont="1" applyFill="1" applyBorder="1" applyProtection="1"/>
    <xf numFmtId="164" fontId="6" fillId="5" borderId="14" xfId="0" applyNumberFormat="1" applyFont="1" applyFill="1" applyBorder="1" applyAlignment="1" applyProtection="1"/>
    <xf numFmtId="164" fontId="6" fillId="5" borderId="13" xfId="0" applyNumberFormat="1" applyFont="1" applyFill="1" applyBorder="1" applyProtection="1"/>
    <xf numFmtId="164" fontId="7" fillId="6" borderId="13" xfId="0" applyNumberFormat="1" applyFont="1" applyFill="1" applyBorder="1" applyAlignment="1" applyProtection="1"/>
    <xf numFmtId="164" fontId="7" fillId="6" borderId="14" xfId="0" applyNumberFormat="1" applyFont="1" applyFill="1" applyBorder="1" applyAlignment="1" applyProtection="1"/>
    <xf numFmtId="0" fontId="63" fillId="4" borderId="0" xfId="0" applyFont="1" applyFill="1" applyBorder="1" applyAlignment="1" applyProtection="1">
      <alignment horizontal="center"/>
    </xf>
    <xf numFmtId="1" fontId="63" fillId="4" borderId="0" xfId="0" quotePrefix="1" applyNumberFormat="1" applyFont="1" applyFill="1" applyBorder="1" applyAlignment="1" applyProtection="1">
      <alignment horizontal="center"/>
    </xf>
    <xf numFmtId="0" fontId="10" fillId="5" borderId="14" xfId="0" applyNumberFormat="1" applyFont="1" applyFill="1" applyBorder="1" applyAlignment="1" applyProtection="1">
      <alignment horizontal="center"/>
    </xf>
    <xf numFmtId="164" fontId="10" fillId="5" borderId="14" xfId="0" applyNumberFormat="1" applyFont="1" applyFill="1" applyBorder="1" applyAlignment="1" applyProtection="1"/>
    <xf numFmtId="164" fontId="11" fillId="6" borderId="14" xfId="0" applyNumberFormat="1" applyFont="1" applyFill="1" applyBorder="1" applyAlignment="1" applyProtection="1">
      <alignment horizontal="center"/>
    </xf>
    <xf numFmtId="167" fontId="35" fillId="3" borderId="0" xfId="0" applyNumberFormat="1" applyFont="1" applyFill="1" applyBorder="1" applyProtection="1"/>
    <xf numFmtId="0" fontId="36" fillId="4" borderId="0" xfId="0" applyFont="1" applyFill="1" applyBorder="1" applyAlignment="1" applyProtection="1"/>
    <xf numFmtId="164" fontId="36" fillId="4" borderId="0" xfId="0" applyNumberFormat="1" applyFont="1" applyFill="1" applyBorder="1" applyAlignment="1" applyProtection="1">
      <alignment horizontal="center"/>
    </xf>
    <xf numFmtId="164" fontId="36" fillId="4" borderId="0" xfId="0" applyNumberFormat="1" applyFont="1" applyFill="1" applyBorder="1" applyProtection="1"/>
    <xf numFmtId="164" fontId="12" fillId="6" borderId="14" xfId="0" applyNumberFormat="1" applyFont="1" applyFill="1" applyBorder="1" applyAlignment="1" applyProtection="1">
      <alignment horizontal="center"/>
    </xf>
    <xf numFmtId="167" fontId="66" fillId="4" borderId="0" xfId="0" applyNumberFormat="1" applyFont="1" applyFill="1" applyBorder="1" applyProtection="1"/>
    <xf numFmtId="0" fontId="63" fillId="4" borderId="0" xfId="0" applyFont="1" applyFill="1" applyBorder="1" applyProtection="1"/>
    <xf numFmtId="0" fontId="66" fillId="4" borderId="0" xfId="0" quotePrefix="1" applyFont="1" applyFill="1" applyBorder="1" applyProtection="1"/>
    <xf numFmtId="2" fontId="63" fillId="4" borderId="0" xfId="0" applyNumberFormat="1" applyFont="1" applyFill="1" applyBorder="1" applyAlignment="1" applyProtection="1">
      <alignment horizontal="center"/>
    </xf>
    <xf numFmtId="0" fontId="66" fillId="4" borderId="0" xfId="0" quotePrefix="1" applyNumberFormat="1" applyFont="1" applyFill="1" applyBorder="1" applyAlignment="1" applyProtection="1">
      <alignment horizontal="center"/>
    </xf>
    <xf numFmtId="1" fontId="66" fillId="4" borderId="0" xfId="0" applyNumberFormat="1" applyFont="1" applyFill="1" applyBorder="1" applyAlignment="1" applyProtection="1">
      <alignment horizontal="center"/>
    </xf>
    <xf numFmtId="1" fontId="10" fillId="5" borderId="14" xfId="0" applyNumberFormat="1" applyFont="1" applyFill="1" applyBorder="1" applyAlignment="1" applyProtection="1">
      <alignment horizontal="left"/>
    </xf>
    <xf numFmtId="1" fontId="10" fillId="5" borderId="14" xfId="0" applyNumberFormat="1" applyFont="1" applyFill="1" applyBorder="1" applyAlignment="1" applyProtection="1">
      <alignment horizontal="center"/>
    </xf>
    <xf numFmtId="172" fontId="10" fillId="5" borderId="14" xfId="0" applyNumberFormat="1" applyFont="1" applyFill="1" applyBorder="1" applyAlignment="1" applyProtection="1">
      <alignment horizontal="left"/>
    </xf>
    <xf numFmtId="0" fontId="10" fillId="5" borderId="14" xfId="0" applyFont="1" applyFill="1" applyBorder="1" applyAlignment="1" applyProtection="1">
      <alignment horizontal="center"/>
    </xf>
    <xf numFmtId="4" fontId="10" fillId="5" borderId="14" xfId="0" applyNumberFormat="1" applyFont="1" applyFill="1" applyBorder="1" applyAlignment="1" applyProtection="1">
      <alignment horizontal="center"/>
    </xf>
    <xf numFmtId="164" fontId="10" fillId="5" borderId="14" xfId="0" quotePrefix="1" applyNumberFormat="1" applyFont="1" applyFill="1" applyBorder="1" applyAlignment="1" applyProtection="1">
      <alignment horizontal="center"/>
    </xf>
    <xf numFmtId="164" fontId="63" fillId="3" borderId="14" xfId="0" applyNumberFormat="1" applyFont="1" applyFill="1" applyBorder="1" applyAlignment="1" applyProtection="1">
      <alignment horizontal="center"/>
    </xf>
    <xf numFmtId="0" fontId="63" fillId="0" borderId="0" xfId="0" applyFont="1" applyFill="1" applyBorder="1" applyAlignment="1" applyProtection="1">
      <alignment horizontal="left" indent="1"/>
    </xf>
    <xf numFmtId="0" fontId="63" fillId="0" borderId="0" xfId="0" applyFont="1" applyFill="1" applyAlignment="1" applyProtection="1">
      <alignment horizontal="left" indent="1"/>
    </xf>
    <xf numFmtId="0" fontId="63" fillId="0" borderId="0" xfId="0" applyFont="1" applyAlignment="1" applyProtection="1">
      <alignment horizontal="left" indent="1"/>
    </xf>
    <xf numFmtId="0" fontId="66" fillId="0" borderId="0" xfId="0" applyFont="1" applyFill="1" applyAlignment="1" applyProtection="1">
      <alignment horizontal="left"/>
    </xf>
    <xf numFmtId="0" fontId="64" fillId="0" borderId="0" xfId="0" applyFont="1" applyFill="1" applyBorder="1" applyAlignment="1" applyProtection="1">
      <alignment horizontal="left"/>
    </xf>
    <xf numFmtId="0" fontId="66" fillId="0" borderId="0" xfId="0" applyFont="1" applyFill="1" applyBorder="1" applyAlignment="1" applyProtection="1">
      <alignment horizontal="left"/>
    </xf>
    <xf numFmtId="0" fontId="63" fillId="0" borderId="0" xfId="0" applyNumberFormat="1" applyFont="1" applyFill="1" applyBorder="1" applyAlignment="1" applyProtection="1">
      <alignment horizontal="left" indent="1"/>
    </xf>
    <xf numFmtId="0" fontId="64" fillId="0" borderId="0" xfId="0" applyFont="1" applyFill="1" applyAlignment="1" applyProtection="1">
      <alignment horizontal="left"/>
    </xf>
    <xf numFmtId="0" fontId="63" fillId="0" borderId="0" xfId="0" applyFont="1" applyFill="1" applyBorder="1" applyAlignment="1" applyProtection="1">
      <alignment horizontal="left"/>
    </xf>
    <xf numFmtId="0" fontId="64" fillId="0" borderId="0" xfId="0" applyFont="1" applyFill="1" applyBorder="1" applyAlignment="1" applyProtection="1">
      <alignment horizontal="left" vertical="top" wrapText="1"/>
    </xf>
    <xf numFmtId="0" fontId="7" fillId="6" borderId="14" xfId="0" applyNumberFormat="1" applyFont="1" applyFill="1" applyBorder="1" applyAlignment="1" applyProtection="1">
      <alignment horizontal="center"/>
    </xf>
    <xf numFmtId="1" fontId="7" fillId="6" borderId="14" xfId="0" applyNumberFormat="1" applyFont="1" applyFill="1" applyBorder="1" applyAlignment="1" applyProtection="1">
      <alignment horizontal="center"/>
    </xf>
    <xf numFmtId="0" fontId="6" fillId="6" borderId="14" xfId="0" applyNumberFormat="1" applyFont="1" applyFill="1" applyBorder="1" applyAlignment="1" applyProtection="1">
      <alignment horizontal="center"/>
    </xf>
    <xf numFmtId="165" fontId="7" fillId="6" borderId="14" xfId="0" applyNumberFormat="1" applyFont="1" applyFill="1" applyBorder="1" applyAlignment="1" applyProtection="1">
      <alignment horizontal="left"/>
    </xf>
    <xf numFmtId="165" fontId="7" fillId="6" borderId="14" xfId="3" applyNumberFormat="1" applyFont="1" applyFill="1" applyBorder="1" applyProtection="1"/>
    <xf numFmtId="1" fontId="6" fillId="6" borderId="14" xfId="0" applyNumberFormat="1" applyFont="1" applyFill="1" applyBorder="1" applyAlignment="1" applyProtection="1">
      <alignment horizontal="center"/>
    </xf>
    <xf numFmtId="1" fontId="10" fillId="5" borderId="14" xfId="0" applyNumberFormat="1" applyFont="1" applyFill="1" applyBorder="1" applyAlignment="1" applyProtection="1">
      <alignment horizontal="center"/>
      <protection locked="0"/>
    </xf>
    <xf numFmtId="0" fontId="10" fillId="5" borderId="14" xfId="0" quotePrefix="1" applyNumberFormat="1" applyFont="1" applyFill="1" applyBorder="1" applyAlignment="1" applyProtection="1">
      <alignment horizontal="center"/>
    </xf>
    <xf numFmtId="0" fontId="10" fillId="5" borderId="17" xfId="0" applyNumberFormat="1" applyFont="1" applyFill="1" applyBorder="1" applyAlignment="1" applyProtection="1">
      <alignment horizontal="center"/>
    </xf>
    <xf numFmtId="0" fontId="63" fillId="3" borderId="0" xfId="0" applyNumberFormat="1" applyFont="1" applyFill="1" applyBorder="1" applyAlignment="1" applyProtection="1">
      <alignment horizontal="right"/>
    </xf>
    <xf numFmtId="178" fontId="10" fillId="3" borderId="17" xfId="0" applyNumberFormat="1" applyFont="1" applyFill="1" applyBorder="1" applyProtection="1"/>
    <xf numFmtId="178" fontId="10" fillId="3" borderId="14" xfId="0" applyNumberFormat="1" applyFont="1" applyFill="1" applyBorder="1" applyProtection="1"/>
    <xf numFmtId="2" fontId="7" fillId="6" borderId="17" xfId="0" applyNumberFormat="1" applyFont="1" applyFill="1" applyBorder="1" applyAlignment="1" applyProtection="1">
      <alignment horizontal="center"/>
    </xf>
    <xf numFmtId="164" fontId="7" fillId="6" borderId="17" xfId="0" applyNumberFormat="1" applyFont="1" applyFill="1" applyBorder="1" applyAlignment="1" applyProtection="1">
      <alignment horizontal="left"/>
    </xf>
    <xf numFmtId="176" fontId="10" fillId="5" borderId="14" xfId="0" applyNumberFormat="1" applyFont="1" applyFill="1" applyBorder="1" applyAlignment="1" applyProtection="1">
      <alignment horizontal="center"/>
    </xf>
    <xf numFmtId="1" fontId="63" fillId="5" borderId="0" xfId="0" applyNumberFormat="1" applyFont="1" applyFill="1" applyBorder="1" applyAlignment="1" applyProtection="1">
      <alignment horizontal="center"/>
    </xf>
    <xf numFmtId="0" fontId="63" fillId="3" borderId="0" xfId="0" applyFont="1" applyFill="1" applyBorder="1" applyAlignment="1" applyProtection="1">
      <alignment horizontal="left" indent="2"/>
    </xf>
    <xf numFmtId="10" fontId="6" fillId="5" borderId="0" xfId="0" applyNumberFormat="1" applyFont="1" applyFill="1" applyAlignment="1" applyProtection="1">
      <alignment horizontal="center"/>
      <protection locked="0"/>
    </xf>
    <xf numFmtId="171" fontId="10" fillId="4" borderId="7" xfId="0" applyNumberFormat="1" applyFont="1" applyFill="1" applyBorder="1" applyAlignment="1" applyProtection="1">
      <alignment horizontal="center"/>
    </xf>
    <xf numFmtId="0" fontId="49" fillId="4" borderId="0" xfId="0" applyFont="1" applyFill="1"/>
    <xf numFmtId="14" fontId="74" fillId="4" borderId="0" xfId="0" applyNumberFormat="1" applyFont="1" applyFill="1" applyAlignment="1">
      <alignment horizontal="left"/>
    </xf>
    <xf numFmtId="0" fontId="7" fillId="4" borderId="9" xfId="0" applyFont="1" applyFill="1" applyBorder="1" applyAlignment="1">
      <alignment horizontal="center"/>
    </xf>
    <xf numFmtId="0" fontId="6" fillId="4" borderId="0" xfId="0" applyFont="1" applyFill="1" applyAlignment="1">
      <alignment horizontal="center"/>
    </xf>
    <xf numFmtId="171" fontId="6" fillId="4" borderId="0" xfId="0" applyNumberFormat="1" applyFont="1" applyFill="1" applyAlignment="1">
      <alignment horizontal="center"/>
    </xf>
    <xf numFmtId="4" fontId="6" fillId="5" borderId="0" xfId="0" applyNumberFormat="1" applyFont="1" applyFill="1" applyBorder="1" applyAlignment="1" applyProtection="1">
      <alignment horizontal="left"/>
      <protection locked="0"/>
    </xf>
    <xf numFmtId="165" fontId="6" fillId="5" borderId="0" xfId="0" applyNumberFormat="1" applyFont="1" applyFill="1" applyBorder="1" applyAlignment="1" applyProtection="1">
      <alignment horizontal="left"/>
      <protection locked="0"/>
    </xf>
    <xf numFmtId="165" fontId="6" fillId="5" borderId="0" xfId="1" applyFont="1" applyFill="1" applyAlignment="1">
      <alignment horizontal="left"/>
    </xf>
    <xf numFmtId="10" fontId="6" fillId="5" borderId="0" xfId="2" applyNumberFormat="1" applyFont="1" applyFill="1" applyBorder="1" applyAlignment="1" applyProtection="1">
      <alignment horizontal="left"/>
      <protection locked="0"/>
    </xf>
    <xf numFmtId="165" fontId="6" fillId="5" borderId="0" xfId="0" applyNumberFormat="1" applyFont="1" applyFill="1" applyAlignment="1" applyProtection="1">
      <alignment horizontal="left"/>
      <protection locked="0"/>
    </xf>
    <xf numFmtId="165" fontId="63" fillId="3" borderId="12" xfId="3" applyNumberFormat="1" applyFont="1" applyFill="1" applyBorder="1" applyProtection="1"/>
    <xf numFmtId="165" fontId="63" fillId="3" borderId="0" xfId="3" applyNumberFormat="1" applyFont="1" applyFill="1" applyBorder="1" applyProtection="1"/>
    <xf numFmtId="167" fontId="65" fillId="3" borderId="0" xfId="3" applyNumberFormat="1" applyFont="1" applyFill="1" applyBorder="1" applyAlignment="1" applyProtection="1">
      <alignment horizontal="left"/>
    </xf>
    <xf numFmtId="167" fontId="64" fillId="3" borderId="0" xfId="3" applyNumberFormat="1" applyFont="1" applyFill="1" applyBorder="1" applyAlignment="1" applyProtection="1">
      <alignment horizontal="left"/>
    </xf>
    <xf numFmtId="165" fontId="65" fillId="3" borderId="12" xfId="3" applyNumberFormat="1" applyFont="1" applyFill="1" applyBorder="1" applyAlignment="1" applyProtection="1">
      <alignment horizontal="left"/>
    </xf>
    <xf numFmtId="165" fontId="65" fillId="3" borderId="0" xfId="3" applyFont="1" applyFill="1" applyBorder="1" applyAlignment="1" applyProtection="1">
      <alignment horizontal="left"/>
    </xf>
    <xf numFmtId="165" fontId="66" fillId="3" borderId="0" xfId="3" applyFont="1" applyFill="1" applyBorder="1" applyAlignment="1" applyProtection="1">
      <alignment horizontal="left"/>
    </xf>
    <xf numFmtId="0" fontId="65" fillId="3" borderId="0" xfId="0" applyFont="1" applyFill="1" applyBorder="1" applyAlignment="1" applyProtection="1">
      <alignment horizontal="left"/>
    </xf>
    <xf numFmtId="0" fontId="65" fillId="3" borderId="0" xfId="0" applyFont="1" applyFill="1" applyBorder="1" applyProtection="1"/>
    <xf numFmtId="0" fontId="63" fillId="3" borderId="0" xfId="0" applyNumberFormat="1" applyFont="1" applyFill="1" applyBorder="1" applyAlignment="1" applyProtection="1">
      <alignment horizontal="left"/>
    </xf>
    <xf numFmtId="0" fontId="63" fillId="3" borderId="0" xfId="0" applyFont="1" applyFill="1" applyBorder="1" applyAlignment="1" applyProtection="1">
      <alignment horizontal="center"/>
    </xf>
    <xf numFmtId="0" fontId="63" fillId="3" borderId="14" xfId="0" applyNumberFormat="1" applyFont="1" applyFill="1" applyBorder="1" applyAlignment="1" applyProtection="1">
      <alignment horizontal="center"/>
    </xf>
    <xf numFmtId="167" fontId="63" fillId="3" borderId="0" xfId="3" applyNumberFormat="1" applyFont="1" applyFill="1" applyBorder="1" applyAlignment="1" applyProtection="1">
      <alignment horizontal="center"/>
    </xf>
    <xf numFmtId="165" fontId="63" fillId="3" borderId="12" xfId="3" applyNumberFormat="1" applyFont="1" applyFill="1" applyBorder="1" applyAlignment="1" applyProtection="1">
      <alignment horizontal="center"/>
    </xf>
    <xf numFmtId="165" fontId="63" fillId="3" borderId="0" xfId="3" applyFont="1" applyFill="1" applyBorder="1" applyAlignment="1" applyProtection="1">
      <alignment horizontal="center"/>
    </xf>
    <xf numFmtId="167" fontId="6" fillId="5" borderId="14" xfId="3" applyNumberFormat="1" applyFont="1" applyFill="1" applyBorder="1" applyAlignment="1" applyProtection="1">
      <alignment horizontal="left" vertical="top" wrapText="1"/>
      <protection locked="0"/>
    </xf>
    <xf numFmtId="167" fontId="7" fillId="5" borderId="15" xfId="3" applyNumberFormat="1" applyFont="1" applyFill="1" applyBorder="1" applyAlignment="1" applyProtection="1">
      <alignment horizontal="left" vertical="top" wrapText="1"/>
      <protection locked="0"/>
    </xf>
    <xf numFmtId="167" fontId="6" fillId="7" borderId="0" xfId="3" applyNumberFormat="1" applyFont="1" applyFill="1" applyBorder="1" applyAlignment="1" applyProtection="1">
      <alignment horizontal="left" vertical="top" wrapText="1"/>
      <protection locked="0"/>
    </xf>
    <xf numFmtId="165" fontId="6" fillId="7" borderId="0" xfId="3" applyFont="1" applyFill="1" applyBorder="1" applyAlignment="1" applyProtection="1">
      <alignment horizontal="left" vertical="top" wrapText="1"/>
      <protection locked="0"/>
    </xf>
    <xf numFmtId="167" fontId="7" fillId="7" borderId="15" xfId="3" applyNumberFormat="1" applyFont="1" applyFill="1" applyBorder="1" applyAlignment="1" applyProtection="1">
      <alignment horizontal="left" vertical="top" wrapText="1"/>
      <protection locked="0"/>
    </xf>
    <xf numFmtId="165" fontId="6" fillId="8" borderId="0" xfId="0" applyNumberFormat="1" applyFont="1" applyFill="1" applyBorder="1" applyAlignment="1" applyProtection="1">
      <alignment horizontal="left"/>
      <protection locked="0"/>
    </xf>
    <xf numFmtId="165" fontId="6" fillId="8" borderId="0" xfId="0" applyNumberFormat="1" applyFont="1" applyFill="1" applyBorder="1" applyProtection="1">
      <protection locked="0"/>
    </xf>
    <xf numFmtId="10" fontId="6" fillId="8" borderId="0" xfId="0" applyNumberFormat="1" applyFont="1" applyFill="1" applyAlignment="1" applyProtection="1">
      <alignment horizontal="center"/>
      <protection locked="0"/>
    </xf>
    <xf numFmtId="164" fontId="6" fillId="8" borderId="0" xfId="0" applyNumberFormat="1" applyFont="1" applyFill="1" applyBorder="1" applyAlignment="1" applyProtection="1">
      <alignment horizontal="left"/>
      <protection locked="0"/>
    </xf>
    <xf numFmtId="164" fontId="6" fillId="9" borderId="0" xfId="0" applyNumberFormat="1" applyFont="1" applyFill="1" applyBorder="1" applyAlignment="1" applyProtection="1">
      <alignment horizontal="center"/>
      <protection locked="0"/>
    </xf>
    <xf numFmtId="165" fontId="6" fillId="9" borderId="0" xfId="0" applyNumberFormat="1" applyFont="1" applyFill="1" applyBorder="1" applyProtection="1">
      <protection locked="0"/>
    </xf>
    <xf numFmtId="0" fontId="69" fillId="4" borderId="0" xfId="0" applyFont="1" applyFill="1" applyBorder="1" applyAlignment="1" applyProtection="1">
      <alignment horizontal="center"/>
    </xf>
    <xf numFmtId="0" fontId="63" fillId="4" borderId="0" xfId="0" applyFont="1" applyFill="1" applyBorder="1" applyAlignment="1" applyProtection="1">
      <alignment horizontal="center"/>
    </xf>
    <xf numFmtId="0" fontId="70" fillId="4" borderId="0" xfId="0" applyFont="1" applyFill="1" applyBorder="1" applyAlignment="1" applyProtection="1">
      <alignment horizontal="center"/>
    </xf>
    <xf numFmtId="0" fontId="71" fillId="4" borderId="0" xfId="0" applyFont="1" applyFill="1" applyAlignment="1"/>
    <xf numFmtId="0" fontId="65" fillId="4" borderId="0" xfId="0" applyNumberFormat="1" applyFont="1" applyFill="1" applyBorder="1" applyAlignment="1" applyProtection="1">
      <alignment horizontal="center"/>
    </xf>
    <xf numFmtId="0" fontId="63" fillId="4" borderId="0" xfId="0" applyFont="1" applyFill="1" applyBorder="1" applyAlignment="1" applyProtection="1"/>
    <xf numFmtId="0" fontId="63" fillId="4" borderId="0" xfId="0" applyFont="1" applyFill="1" applyBorder="1" applyAlignment="1" applyProtection="1">
      <alignment horizontal="right"/>
    </xf>
  </cellXfs>
  <cellStyles count="4">
    <cellStyle name="Euro" xfId="1"/>
    <cellStyle name="Procent" xfId="2" builtinId="5"/>
    <cellStyle name="Standaard" xfId="0" builtinId="0"/>
    <cellStyle name="Valuta" xfId="3" builtin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nl-NL"/>
              <a:t>Desinvesteringen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0</c:v>
              </c:pt>
              <c:pt idx="1">
                <c:v>0</c:v>
              </c:pt>
              <c:pt idx="2">
                <c:v>0</c:v>
              </c:pt>
              <c:pt idx="3">
                <c:v>0</c:v>
              </c:pt>
            </c:numLit>
          </c:val>
        </c:ser>
        <c:dLbls>
          <c:showLegendKey val="0"/>
          <c:showVal val="0"/>
          <c:showCatName val="0"/>
          <c:showSerName val="0"/>
          <c:showPercent val="0"/>
          <c:showBubbleSize val="0"/>
        </c:dLbls>
        <c:gapWidth val="150"/>
        <c:axId val="2068502800"/>
        <c:axId val="2068497360"/>
      </c:barChart>
      <c:catAx>
        <c:axId val="206850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2068497360"/>
        <c:crosses val="autoZero"/>
        <c:auto val="1"/>
        <c:lblAlgn val="ctr"/>
        <c:lblOffset val="100"/>
        <c:tickLblSkip val="2"/>
        <c:tickMarkSkip val="2"/>
        <c:noMultiLvlLbl val="0"/>
      </c:catAx>
      <c:valAx>
        <c:axId val="20684973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20685028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nl-NL"/>
              <a:t>Afschrijvingen (totaal)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300</c:v>
              </c:pt>
              <c:pt idx="1">
                <c:v>300</c:v>
              </c:pt>
              <c:pt idx="2">
                <c:v>300</c:v>
              </c:pt>
              <c:pt idx="3">
                <c:v>300</c:v>
              </c:pt>
            </c:numLit>
          </c:val>
        </c:ser>
        <c:dLbls>
          <c:showLegendKey val="0"/>
          <c:showVal val="0"/>
          <c:showCatName val="0"/>
          <c:showSerName val="0"/>
          <c:showPercent val="0"/>
          <c:showBubbleSize val="0"/>
        </c:dLbls>
        <c:gapWidth val="150"/>
        <c:axId val="2068495184"/>
        <c:axId val="2068497904"/>
      </c:barChart>
      <c:catAx>
        <c:axId val="2068495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nl-NL"/>
          </a:p>
        </c:txPr>
        <c:crossAx val="2068497904"/>
        <c:crosses val="autoZero"/>
        <c:auto val="1"/>
        <c:lblAlgn val="ctr"/>
        <c:lblOffset val="100"/>
        <c:tickLblSkip val="2"/>
        <c:tickMarkSkip val="2"/>
        <c:noMultiLvlLbl val="0"/>
      </c:catAx>
      <c:valAx>
        <c:axId val="20684979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684951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nl-NL" sz="125" b="1" i="0" strike="noStrike">
                <a:solidFill>
                  <a:srgbClr val="000000"/>
                </a:solidFill>
                <a:latin typeface="Arial"/>
                <a:cs typeface="Arial"/>
              </a:rPr>
              <a:t>Waarde materiële vaste activa</a:t>
            </a:r>
          </a:p>
          <a:p>
            <a:pPr>
              <a:defRPr sz="175" b="0" i="0" u="none" strike="noStrike" baseline="0">
                <a:solidFill>
                  <a:srgbClr val="000000"/>
                </a:solidFill>
                <a:latin typeface="Arial"/>
                <a:ea typeface="Arial"/>
                <a:cs typeface="Arial"/>
              </a:defRPr>
            </a:pPr>
            <a:r>
              <a:rPr lang="nl-NL" sz="125" b="0" i="1" strike="noStrike">
                <a:solidFill>
                  <a:srgbClr val="000000"/>
                </a:solidFill>
                <a:latin typeface="Arial"/>
                <a:cs typeface="Arial"/>
              </a:rPr>
              <a:t>(per 31-12)</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11700</c:v>
              </c:pt>
              <c:pt idx="1">
                <c:v>11400</c:v>
              </c:pt>
              <c:pt idx="2">
                <c:v>11100</c:v>
              </c:pt>
              <c:pt idx="3">
                <c:v>10800</c:v>
              </c:pt>
            </c:numLit>
          </c:val>
        </c:ser>
        <c:dLbls>
          <c:showLegendKey val="0"/>
          <c:showVal val="0"/>
          <c:showCatName val="0"/>
          <c:showSerName val="0"/>
          <c:showPercent val="0"/>
          <c:showBubbleSize val="0"/>
        </c:dLbls>
        <c:gapWidth val="150"/>
        <c:axId val="2068507696"/>
        <c:axId val="2068504976"/>
      </c:barChart>
      <c:catAx>
        <c:axId val="206850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2068504976"/>
        <c:crosses val="autoZero"/>
        <c:auto val="1"/>
        <c:lblAlgn val="ctr"/>
        <c:lblOffset val="100"/>
        <c:tickLblSkip val="2"/>
        <c:tickMarkSkip val="2"/>
        <c:noMultiLvlLbl val="0"/>
      </c:catAx>
      <c:valAx>
        <c:axId val="20685049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20685076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nl-NL"/>
              <a:t>Desinvesteringen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0</c:v>
              </c:pt>
              <c:pt idx="1">
                <c:v>0</c:v>
              </c:pt>
              <c:pt idx="2">
                <c:v>0</c:v>
              </c:pt>
              <c:pt idx="3">
                <c:v>0</c:v>
              </c:pt>
            </c:numLit>
          </c:val>
        </c:ser>
        <c:dLbls>
          <c:showLegendKey val="0"/>
          <c:showVal val="0"/>
          <c:showCatName val="0"/>
          <c:showSerName val="0"/>
          <c:showPercent val="0"/>
          <c:showBubbleSize val="0"/>
        </c:dLbls>
        <c:gapWidth val="150"/>
        <c:axId val="2068493008"/>
        <c:axId val="2068493552"/>
      </c:barChart>
      <c:catAx>
        <c:axId val="2068493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2068493552"/>
        <c:crosses val="autoZero"/>
        <c:auto val="1"/>
        <c:lblAlgn val="ctr"/>
        <c:lblOffset val="100"/>
        <c:tickLblSkip val="2"/>
        <c:tickMarkSkip val="2"/>
        <c:noMultiLvlLbl val="0"/>
      </c:catAx>
      <c:valAx>
        <c:axId val="20684935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20684930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nl-NL"/>
              <a:t>Afschrijvingen (totaal)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300</c:v>
              </c:pt>
              <c:pt idx="1">
                <c:v>300</c:v>
              </c:pt>
              <c:pt idx="2">
                <c:v>300</c:v>
              </c:pt>
              <c:pt idx="3">
                <c:v>300</c:v>
              </c:pt>
            </c:numLit>
          </c:val>
        </c:ser>
        <c:dLbls>
          <c:showLegendKey val="0"/>
          <c:showVal val="0"/>
          <c:showCatName val="0"/>
          <c:showSerName val="0"/>
          <c:showPercent val="0"/>
          <c:showBubbleSize val="0"/>
        </c:dLbls>
        <c:gapWidth val="150"/>
        <c:axId val="2001866528"/>
        <c:axId val="2001865440"/>
      </c:barChart>
      <c:catAx>
        <c:axId val="2001866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nl-NL"/>
          </a:p>
        </c:txPr>
        <c:crossAx val="2001865440"/>
        <c:crosses val="autoZero"/>
        <c:auto val="1"/>
        <c:lblAlgn val="ctr"/>
        <c:lblOffset val="100"/>
        <c:tickLblSkip val="2"/>
        <c:tickMarkSkip val="2"/>
        <c:noMultiLvlLbl val="0"/>
      </c:catAx>
      <c:valAx>
        <c:axId val="20018654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018665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nl-NL" sz="125" b="1" i="0" strike="noStrike">
                <a:solidFill>
                  <a:srgbClr val="000000"/>
                </a:solidFill>
                <a:latin typeface="Arial"/>
                <a:cs typeface="Arial"/>
              </a:rPr>
              <a:t>Waarde materiële vaste activa</a:t>
            </a:r>
          </a:p>
          <a:p>
            <a:pPr>
              <a:defRPr sz="175" b="0" i="0" u="none" strike="noStrike" baseline="0">
                <a:solidFill>
                  <a:srgbClr val="000000"/>
                </a:solidFill>
                <a:latin typeface="Arial"/>
                <a:ea typeface="Arial"/>
                <a:cs typeface="Arial"/>
              </a:defRPr>
            </a:pPr>
            <a:r>
              <a:rPr lang="nl-NL" sz="125" b="0" i="1" strike="noStrike">
                <a:solidFill>
                  <a:srgbClr val="000000"/>
                </a:solidFill>
                <a:latin typeface="Arial"/>
                <a:cs typeface="Arial"/>
              </a:rPr>
              <a:t>(per 31-12)</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11700</c:v>
              </c:pt>
              <c:pt idx="1">
                <c:v>11400</c:v>
              </c:pt>
              <c:pt idx="2">
                <c:v>11100</c:v>
              </c:pt>
              <c:pt idx="3">
                <c:v>10800</c:v>
              </c:pt>
            </c:numLit>
          </c:val>
        </c:ser>
        <c:dLbls>
          <c:showLegendKey val="0"/>
          <c:showVal val="0"/>
          <c:showCatName val="0"/>
          <c:showSerName val="0"/>
          <c:showPercent val="0"/>
          <c:showBubbleSize val="0"/>
        </c:dLbls>
        <c:gapWidth val="150"/>
        <c:axId val="2003554064"/>
        <c:axId val="2075160688"/>
      </c:barChart>
      <c:catAx>
        <c:axId val="2003554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2075160688"/>
        <c:crosses val="autoZero"/>
        <c:auto val="1"/>
        <c:lblAlgn val="ctr"/>
        <c:lblOffset val="100"/>
        <c:tickLblSkip val="2"/>
        <c:tickMarkSkip val="2"/>
        <c:noMultiLvlLbl val="0"/>
      </c:catAx>
      <c:valAx>
        <c:axId val="20751606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2003554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167167</xdr:colOff>
      <xdr:row>2</xdr:row>
      <xdr:rowOff>43144</xdr:rowOff>
    </xdr:from>
    <xdr:to>
      <xdr:col>13</xdr:col>
      <xdr:colOff>526116</xdr:colOff>
      <xdr:row>4</xdr:row>
      <xdr:rowOff>35860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7096885" y="401732"/>
          <a:ext cx="1022337" cy="35130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504825</xdr:colOff>
      <xdr:row>32</xdr:row>
      <xdr:rowOff>0</xdr:rowOff>
    </xdr:from>
    <xdr:to>
      <xdr:col>10</xdr:col>
      <xdr:colOff>0</xdr:colOff>
      <xdr:row>32</xdr:row>
      <xdr:rowOff>0</xdr:rowOff>
    </xdr:to>
    <xdr:graphicFrame macro="">
      <xdr:nvGraphicFramePr>
        <xdr:cNvPr id="1433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32</xdr:row>
      <xdr:rowOff>0</xdr:rowOff>
    </xdr:from>
    <xdr:to>
      <xdr:col>9</xdr:col>
      <xdr:colOff>104775</xdr:colOff>
      <xdr:row>32</xdr:row>
      <xdr:rowOff>0</xdr:rowOff>
    </xdr:to>
    <xdr:graphicFrame macro="">
      <xdr:nvGraphicFramePr>
        <xdr:cNvPr id="1433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32</xdr:row>
      <xdr:rowOff>0</xdr:rowOff>
    </xdr:from>
    <xdr:to>
      <xdr:col>10</xdr:col>
      <xdr:colOff>0</xdr:colOff>
      <xdr:row>32</xdr:row>
      <xdr:rowOff>0</xdr:rowOff>
    </xdr:to>
    <xdr:graphicFrame macro="">
      <xdr:nvGraphicFramePr>
        <xdr:cNvPr id="1433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504825</xdr:colOff>
      <xdr:row>64</xdr:row>
      <xdr:rowOff>0</xdr:rowOff>
    </xdr:from>
    <xdr:to>
      <xdr:col>10</xdr:col>
      <xdr:colOff>0</xdr:colOff>
      <xdr:row>64</xdr:row>
      <xdr:rowOff>0</xdr:rowOff>
    </xdr:to>
    <xdr:graphicFrame macro="">
      <xdr:nvGraphicFramePr>
        <xdr:cNvPr id="880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64</xdr:row>
      <xdr:rowOff>0</xdr:rowOff>
    </xdr:from>
    <xdr:to>
      <xdr:col>9</xdr:col>
      <xdr:colOff>104775</xdr:colOff>
      <xdr:row>64</xdr:row>
      <xdr:rowOff>0</xdr:rowOff>
    </xdr:to>
    <xdr:graphicFrame macro="">
      <xdr:nvGraphicFramePr>
        <xdr:cNvPr id="880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64</xdr:row>
      <xdr:rowOff>0</xdr:rowOff>
    </xdr:from>
    <xdr:to>
      <xdr:col>10</xdr:col>
      <xdr:colOff>0</xdr:colOff>
      <xdr:row>64</xdr:row>
      <xdr:rowOff>0</xdr:rowOff>
    </xdr:to>
    <xdr:graphicFrame macro="">
      <xdr:nvGraphicFramePr>
        <xdr:cNvPr id="880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6349816</xdr:colOff>
      <xdr:row>3</xdr:row>
      <xdr:rowOff>41462</xdr:rowOff>
    </xdr:from>
    <xdr:to>
      <xdr:col>2</xdr:col>
      <xdr:colOff>7749991</xdr:colOff>
      <xdr:row>4</xdr:row>
      <xdr:rowOff>226919</xdr:rowOff>
    </xdr:to>
    <xdr:pic>
      <xdr:nvPicPr>
        <xdr:cNvPr id="4" name="Picture 9"/>
        <xdr:cNvPicPr>
          <a:picLocks noChangeAspect="1" noChangeArrowheads="1"/>
        </xdr:cNvPicPr>
      </xdr:nvPicPr>
      <xdr:blipFill>
        <a:blip xmlns:r="http://schemas.openxmlformats.org/officeDocument/2006/relationships" r:embed="rId1"/>
        <a:srcRect/>
        <a:stretch>
          <a:fillRect/>
        </a:stretch>
      </xdr:blipFill>
      <xdr:spPr bwMode="auto">
        <a:xfrm>
          <a:off x="606241" y="527237"/>
          <a:ext cx="0" cy="423582"/>
        </a:xfrm>
        <a:prstGeom prst="rect">
          <a:avLst/>
        </a:prstGeom>
        <a:noFill/>
        <a:ln w="9525">
          <a:noFill/>
          <a:miter lim="800000"/>
          <a:headEnd/>
          <a:tailEnd/>
        </a:ln>
      </xdr:spPr>
    </xdr:pic>
    <xdr:clientData/>
  </xdr:twoCellAnchor>
  <xdr:twoCellAnchor>
    <xdr:from>
      <xdr:col>18</xdr:col>
      <xdr:colOff>360271</xdr:colOff>
      <xdr:row>3</xdr:row>
      <xdr:rowOff>33056</xdr:rowOff>
    </xdr:from>
    <xdr:to>
      <xdr:col>21</xdr:col>
      <xdr:colOff>137835</xdr:colOff>
      <xdr:row>4</xdr:row>
      <xdr:rowOff>218513</xdr:rowOff>
    </xdr:to>
    <xdr:pic>
      <xdr:nvPicPr>
        <xdr:cNvPr id="5" name="Picture 9"/>
        <xdr:cNvPicPr>
          <a:picLocks noChangeAspect="1" noChangeArrowheads="1"/>
        </xdr:cNvPicPr>
      </xdr:nvPicPr>
      <xdr:blipFill>
        <a:blip xmlns:r="http://schemas.openxmlformats.org/officeDocument/2006/relationships" r:embed="rId1"/>
        <a:srcRect/>
        <a:stretch>
          <a:fillRect/>
        </a:stretch>
      </xdr:blipFill>
      <xdr:spPr bwMode="auto">
        <a:xfrm>
          <a:off x="15114496" y="518831"/>
          <a:ext cx="1387289" cy="42358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goedhart@poraad.n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23"/>
  <sheetViews>
    <sheetView showGridLines="0" zoomScale="85" zoomScaleNormal="85" zoomScaleSheetLayoutView="100" workbookViewId="0">
      <selection activeCell="K3" sqref="K3"/>
    </sheetView>
  </sheetViews>
  <sheetFormatPr defaultColWidth="9.140625" defaultRowHeight="12.75" x14ac:dyDescent="0.2"/>
  <cols>
    <col min="1" max="1" width="3.7109375" style="482" customWidth="1"/>
    <col min="2" max="2" width="2.7109375" style="482" customWidth="1"/>
    <col min="3" max="4" width="9.140625" style="482"/>
    <col min="5" max="5" width="9.140625" style="482" customWidth="1"/>
    <col min="6" max="6" width="11.42578125" style="482" customWidth="1"/>
    <col min="7" max="10" width="9.140625" style="482"/>
    <col min="11" max="11" width="9.5703125" style="482" bestFit="1" customWidth="1"/>
    <col min="12" max="13" width="9.7109375" style="482" customWidth="1"/>
    <col min="14" max="14" width="9.140625" style="482" customWidth="1"/>
    <col min="15" max="15" width="1.5703125" style="482" customWidth="1"/>
    <col min="16" max="16384" width="9.140625" style="482"/>
  </cols>
  <sheetData>
    <row r="3" spans="3:11" ht="15" x14ac:dyDescent="0.25">
      <c r="C3" s="963" t="s">
        <v>520</v>
      </c>
      <c r="J3" s="481" t="s">
        <v>186</v>
      </c>
      <c r="K3" s="964">
        <v>42644</v>
      </c>
    </row>
    <row r="4" spans="3:11" x14ac:dyDescent="0.2">
      <c r="C4" s="687"/>
    </row>
    <row r="5" spans="3:11" x14ac:dyDescent="0.2">
      <c r="C5" s="687"/>
    </row>
    <row r="6" spans="3:11" x14ac:dyDescent="0.2">
      <c r="C6" s="482" t="s">
        <v>291</v>
      </c>
      <c r="G6" s="965" t="s">
        <v>375</v>
      </c>
      <c r="H6" s="482" t="s">
        <v>465</v>
      </c>
    </row>
    <row r="7" spans="3:11" x14ac:dyDescent="0.2">
      <c r="C7" s="482" t="s">
        <v>292</v>
      </c>
    </row>
    <row r="9" spans="3:11" x14ac:dyDescent="0.2">
      <c r="C9" s="482" t="s">
        <v>531</v>
      </c>
    </row>
    <row r="10" spans="3:11" x14ac:dyDescent="0.2">
      <c r="C10" s="482" t="s">
        <v>530</v>
      </c>
    </row>
    <row r="11" spans="3:11" x14ac:dyDescent="0.2">
      <c r="C11" s="482" t="s">
        <v>91</v>
      </c>
    </row>
    <row r="13" spans="3:11" x14ac:dyDescent="0.2">
      <c r="C13" s="482" t="s">
        <v>304</v>
      </c>
    </row>
    <row r="14" spans="3:11" x14ac:dyDescent="0.2">
      <c r="C14" s="482" t="s">
        <v>303</v>
      </c>
    </row>
    <row r="15" spans="3:11" x14ac:dyDescent="0.2">
      <c r="C15" s="482" t="s">
        <v>311</v>
      </c>
    </row>
    <row r="16" spans="3:11" x14ac:dyDescent="0.2">
      <c r="C16" s="482" t="s">
        <v>1</v>
      </c>
    </row>
    <row r="18" spans="3:3" x14ac:dyDescent="0.2">
      <c r="C18" s="687" t="s">
        <v>39</v>
      </c>
    </row>
    <row r="19" spans="3:3" x14ac:dyDescent="0.2">
      <c r="C19" s="482" t="s">
        <v>293</v>
      </c>
    </row>
    <row r="20" spans="3:3" x14ac:dyDescent="0.2">
      <c r="C20" s="482" t="s">
        <v>469</v>
      </c>
    </row>
    <row r="21" spans="3:3" x14ac:dyDescent="0.2">
      <c r="C21" s="482" t="s">
        <v>307</v>
      </c>
    </row>
    <row r="22" spans="3:3" x14ac:dyDescent="0.2">
      <c r="C22" s="482" t="s">
        <v>475</v>
      </c>
    </row>
    <row r="23" spans="3:3" x14ac:dyDescent="0.2">
      <c r="C23" s="482" t="s">
        <v>312</v>
      </c>
    </row>
    <row r="24" spans="3:3" x14ac:dyDescent="0.2">
      <c r="C24" s="482" t="s">
        <v>470</v>
      </c>
    </row>
    <row r="25" spans="3:3" x14ac:dyDescent="0.2">
      <c r="C25" s="482" t="s">
        <v>505</v>
      </c>
    </row>
    <row r="26" spans="3:3" x14ac:dyDescent="0.2">
      <c r="C26" s="482" t="s">
        <v>506</v>
      </c>
    </row>
    <row r="27" spans="3:3" x14ac:dyDescent="0.2">
      <c r="C27" s="482" t="s">
        <v>507</v>
      </c>
    </row>
    <row r="28" spans="3:3" x14ac:dyDescent="0.2">
      <c r="C28" s="687"/>
    </row>
    <row r="29" spans="3:3" x14ac:dyDescent="0.2">
      <c r="C29" s="687" t="s">
        <v>33</v>
      </c>
    </row>
    <row r="30" spans="3:3" x14ac:dyDescent="0.2">
      <c r="C30" s="482" t="s">
        <v>313</v>
      </c>
    </row>
    <row r="31" spans="3:3" x14ac:dyDescent="0.2">
      <c r="C31" s="482" t="s">
        <v>444</v>
      </c>
    </row>
    <row r="32" spans="3:3" x14ac:dyDescent="0.2">
      <c r="C32" s="482" t="s">
        <v>332</v>
      </c>
    </row>
    <row r="33" spans="3:6" x14ac:dyDescent="0.2">
      <c r="C33" s="482" t="s">
        <v>333</v>
      </c>
    </row>
    <row r="35" spans="3:6" x14ac:dyDescent="0.2">
      <c r="C35" s="687" t="s">
        <v>34</v>
      </c>
    </row>
    <row r="36" spans="3:6" x14ac:dyDescent="0.2">
      <c r="C36" s="482" t="s">
        <v>524</v>
      </c>
    </row>
    <row r="37" spans="3:6" x14ac:dyDescent="0.2">
      <c r="C37" s="482" t="s">
        <v>301</v>
      </c>
    </row>
    <row r="38" spans="3:6" x14ac:dyDescent="0.2">
      <c r="C38" s="482" t="s">
        <v>66</v>
      </c>
    </row>
    <row r="39" spans="3:6" x14ac:dyDescent="0.2">
      <c r="C39" s="482" t="s">
        <v>508</v>
      </c>
    </row>
    <row r="40" spans="3:6" x14ac:dyDescent="0.2">
      <c r="C40" s="482" t="s">
        <v>509</v>
      </c>
      <c r="D40" s="966"/>
      <c r="E40" s="966"/>
      <c r="F40" s="967"/>
    </row>
    <row r="41" spans="3:6" x14ac:dyDescent="0.2">
      <c r="C41" s="482" t="s">
        <v>510</v>
      </c>
      <c r="D41" s="966"/>
      <c r="E41" s="966"/>
      <c r="F41" s="967"/>
    </row>
    <row r="42" spans="3:6" x14ac:dyDescent="0.2">
      <c r="C42" s="482" t="s">
        <v>511</v>
      </c>
      <c r="D42" s="966"/>
      <c r="E42" s="966"/>
      <c r="F42" s="966"/>
    </row>
    <row r="44" spans="3:6" x14ac:dyDescent="0.2">
      <c r="C44" s="687" t="s">
        <v>490</v>
      </c>
    </row>
    <row r="45" spans="3:6" x14ac:dyDescent="0.2">
      <c r="C45" s="482" t="s">
        <v>2</v>
      </c>
    </row>
    <row r="46" spans="3:6" x14ac:dyDescent="0.2">
      <c r="C46" s="482" t="s">
        <v>3</v>
      </c>
    </row>
    <row r="48" spans="3:6" x14ac:dyDescent="0.2">
      <c r="C48" s="687" t="s">
        <v>4</v>
      </c>
    </row>
    <row r="49" spans="3:3" x14ac:dyDescent="0.2">
      <c r="C49" s="482" t="s">
        <v>106</v>
      </c>
    </row>
    <row r="50" spans="3:3" x14ac:dyDescent="0.2">
      <c r="C50" s="482" t="s">
        <v>445</v>
      </c>
    </row>
    <row r="51" spans="3:3" x14ac:dyDescent="0.2">
      <c r="C51" s="482" t="s">
        <v>302</v>
      </c>
    </row>
    <row r="52" spans="3:3" x14ac:dyDescent="0.2">
      <c r="C52" s="482" t="s">
        <v>314</v>
      </c>
    </row>
    <row r="53" spans="3:3" x14ac:dyDescent="0.2">
      <c r="C53" s="482" t="s">
        <v>5</v>
      </c>
    </row>
    <row r="54" spans="3:3" x14ac:dyDescent="0.2">
      <c r="C54" s="482" t="s">
        <v>451</v>
      </c>
    </row>
    <row r="55" spans="3:3" x14ac:dyDescent="0.2">
      <c r="C55" s="482" t="s">
        <v>305</v>
      </c>
    </row>
    <row r="56" spans="3:3" x14ac:dyDescent="0.2">
      <c r="C56" s="482" t="s">
        <v>294</v>
      </c>
    </row>
    <row r="57" spans="3:3" x14ac:dyDescent="0.2">
      <c r="C57" s="482" t="s">
        <v>525</v>
      </c>
    </row>
    <row r="58" spans="3:3" x14ac:dyDescent="0.2">
      <c r="C58" s="482" t="s">
        <v>6</v>
      </c>
    </row>
    <row r="59" spans="3:3" x14ac:dyDescent="0.2">
      <c r="C59" s="482" t="s">
        <v>387</v>
      </c>
    </row>
    <row r="60" spans="3:3" x14ac:dyDescent="0.2">
      <c r="C60" s="482" t="s">
        <v>295</v>
      </c>
    </row>
    <row r="61" spans="3:3" x14ac:dyDescent="0.2">
      <c r="C61" s="482" t="s">
        <v>296</v>
      </c>
    </row>
    <row r="62" spans="3:3" x14ac:dyDescent="0.2">
      <c r="C62" s="482" t="s">
        <v>297</v>
      </c>
    </row>
    <row r="63" spans="3:3" x14ac:dyDescent="0.2">
      <c r="C63" s="687"/>
    </row>
    <row r="64" spans="3:3" x14ac:dyDescent="0.2">
      <c r="C64" s="687" t="s">
        <v>7</v>
      </c>
    </row>
    <row r="65" spans="3:3" x14ac:dyDescent="0.2">
      <c r="C65" s="482" t="s">
        <v>8</v>
      </c>
    </row>
    <row r="66" spans="3:3" x14ac:dyDescent="0.2">
      <c r="C66" s="482" t="s">
        <v>466</v>
      </c>
    </row>
    <row r="67" spans="3:3" ht="12.75" customHeight="1" x14ac:dyDescent="0.2">
      <c r="C67" s="482" t="s">
        <v>92</v>
      </c>
    </row>
    <row r="68" spans="3:3" x14ac:dyDescent="0.2">
      <c r="C68" s="482" t="s">
        <v>93</v>
      </c>
    </row>
    <row r="69" spans="3:3" x14ac:dyDescent="0.2">
      <c r="C69" s="482" t="s">
        <v>332</v>
      </c>
    </row>
    <row r="70" spans="3:3" x14ac:dyDescent="0.2">
      <c r="C70" s="482" t="s">
        <v>69</v>
      </c>
    </row>
    <row r="72" spans="3:3" x14ac:dyDescent="0.2">
      <c r="C72" s="687" t="s">
        <v>35</v>
      </c>
    </row>
    <row r="73" spans="3:3" x14ac:dyDescent="0.2">
      <c r="C73" s="482" t="s">
        <v>452</v>
      </c>
    </row>
    <row r="74" spans="3:3" x14ac:dyDescent="0.2">
      <c r="C74" s="482" t="s">
        <v>467</v>
      </c>
    </row>
    <row r="75" spans="3:3" x14ac:dyDescent="0.2">
      <c r="C75" s="482" t="s">
        <v>94</v>
      </c>
    </row>
    <row r="76" spans="3:3" x14ac:dyDescent="0.2">
      <c r="C76" s="482" t="s">
        <v>95</v>
      </c>
    </row>
    <row r="77" spans="3:3" x14ac:dyDescent="0.2">
      <c r="C77" s="482" t="s">
        <v>473</v>
      </c>
    </row>
    <row r="78" spans="3:3" x14ac:dyDescent="0.2">
      <c r="C78" s="482" t="s">
        <v>474</v>
      </c>
    </row>
    <row r="79" spans="3:3" x14ac:dyDescent="0.2">
      <c r="C79" s="482" t="s">
        <v>96</v>
      </c>
    </row>
    <row r="80" spans="3:3" x14ac:dyDescent="0.2">
      <c r="C80" s="482" t="s">
        <v>471</v>
      </c>
    </row>
    <row r="81" spans="3:3" x14ac:dyDescent="0.2">
      <c r="C81" s="482" t="s">
        <v>472</v>
      </c>
    </row>
    <row r="82" spans="3:3" x14ac:dyDescent="0.2">
      <c r="C82" s="687"/>
    </row>
    <row r="83" spans="3:3" x14ac:dyDescent="0.2">
      <c r="C83" s="687" t="s">
        <v>67</v>
      </c>
    </row>
    <row r="84" spans="3:3" x14ac:dyDescent="0.2">
      <c r="C84" s="482" t="s">
        <v>99</v>
      </c>
    </row>
    <row r="85" spans="3:3" x14ac:dyDescent="0.2">
      <c r="C85" s="482" t="s">
        <v>331</v>
      </c>
    </row>
    <row r="86" spans="3:3" x14ac:dyDescent="0.2">
      <c r="C86" s="482" t="s">
        <v>100</v>
      </c>
    </row>
    <row r="87" spans="3:3" x14ac:dyDescent="0.2">
      <c r="C87" s="687"/>
    </row>
    <row r="88" spans="3:3" x14ac:dyDescent="0.2">
      <c r="C88" s="687" t="s">
        <v>36</v>
      </c>
    </row>
    <row r="89" spans="3:3" x14ac:dyDescent="0.2">
      <c r="C89" s="482" t="s">
        <v>308</v>
      </c>
    </row>
    <row r="90" spans="3:3" x14ac:dyDescent="0.2">
      <c r="C90" s="482" t="s">
        <v>309</v>
      </c>
    </row>
    <row r="91" spans="3:3" x14ac:dyDescent="0.2">
      <c r="C91" s="482" t="s">
        <v>310</v>
      </c>
    </row>
    <row r="92" spans="3:3" x14ac:dyDescent="0.2">
      <c r="C92" s="687"/>
    </row>
    <row r="93" spans="3:3" x14ac:dyDescent="0.2">
      <c r="C93" s="687" t="s">
        <v>37</v>
      </c>
    </row>
    <row r="94" spans="3:3" ht="12" customHeight="1" x14ac:dyDescent="0.2">
      <c r="C94" s="482" t="s">
        <v>344</v>
      </c>
    </row>
    <row r="95" spans="3:3" ht="12" customHeight="1" x14ac:dyDescent="0.2"/>
    <row r="96" spans="3:3" ht="12" customHeight="1" x14ac:dyDescent="0.2">
      <c r="C96" s="687" t="s">
        <v>513</v>
      </c>
    </row>
    <row r="97" spans="3:3" ht="12" customHeight="1" x14ac:dyDescent="0.2">
      <c r="C97" s="482" t="s">
        <v>394</v>
      </c>
    </row>
    <row r="98" spans="3:3" ht="12" customHeight="1" x14ac:dyDescent="0.2">
      <c r="C98" s="482" t="s">
        <v>468</v>
      </c>
    </row>
    <row r="99" spans="3:3" x14ac:dyDescent="0.2">
      <c r="C99" s="482" t="s">
        <v>476</v>
      </c>
    </row>
    <row r="101" spans="3:3" x14ac:dyDescent="0.2">
      <c r="C101" s="687" t="s">
        <v>38</v>
      </c>
    </row>
    <row r="102" spans="3:3" x14ac:dyDescent="0.2">
      <c r="C102" s="482" t="s">
        <v>446</v>
      </c>
    </row>
    <row r="103" spans="3:3" x14ac:dyDescent="0.2">
      <c r="C103" s="482" t="s">
        <v>97</v>
      </c>
    </row>
    <row r="104" spans="3:3" x14ac:dyDescent="0.2">
      <c r="C104" s="482" t="s">
        <v>98</v>
      </c>
    </row>
    <row r="106" spans="3:3" x14ac:dyDescent="0.2">
      <c r="C106" s="687" t="s">
        <v>521</v>
      </c>
    </row>
    <row r="107" spans="3:3" x14ac:dyDescent="0.2">
      <c r="C107" s="482" t="s">
        <v>522</v>
      </c>
    </row>
    <row r="108" spans="3:3" x14ac:dyDescent="0.2">
      <c r="C108" s="482" t="s">
        <v>306</v>
      </c>
    </row>
    <row r="109" spans="3:3" x14ac:dyDescent="0.2">
      <c r="C109" s="482" t="s">
        <v>105</v>
      </c>
    </row>
    <row r="110" spans="3:3" x14ac:dyDescent="0.2">
      <c r="C110" s="687"/>
    </row>
    <row r="111" spans="3:3" x14ac:dyDescent="0.2">
      <c r="C111" s="687" t="s">
        <v>523</v>
      </c>
    </row>
    <row r="112" spans="3:3" x14ac:dyDescent="0.2">
      <c r="C112" s="482" t="s">
        <v>298</v>
      </c>
    </row>
    <row r="114" spans="3:3" x14ac:dyDescent="0.2">
      <c r="C114" s="687" t="s">
        <v>299</v>
      </c>
    </row>
    <row r="115" spans="3:3" x14ac:dyDescent="0.2">
      <c r="C115" s="482" t="s">
        <v>300</v>
      </c>
    </row>
    <row r="116" spans="3:3" x14ac:dyDescent="0.2">
      <c r="C116" s="482" t="s">
        <v>512</v>
      </c>
    </row>
    <row r="123" spans="3:3" ht="12" customHeight="1" x14ac:dyDescent="0.2"/>
  </sheetData>
  <sheetProtection algorithmName="SHA-512" hashValue="sp/QL3YSvYIX33oeOGFqVctcT653IIGtrEJRVW3vOYCcTiToFrAGunff4SnleNpq5QFv7FsQYxWDFIlEYp76lw==" saltValue="Fe7GGdr6kZypyauHivuumA==" spinCount="100000" sheet="1" objects="1" scenarios="1"/>
  <phoneticPr fontId="0" type="noConversion"/>
  <hyperlinks>
    <hyperlink ref="F147" r:id="rId1" display="r.goedhart@poraad.nl"/>
  </hyperlinks>
  <pageMargins left="0.74803149606299213" right="0.74803149606299213" top="0.98425196850393704" bottom="0.98425196850393704" header="0.51181102362204722" footer="0.51181102362204722"/>
  <pageSetup paperSize="9" scale="70" orientation="portrait" r:id="rId2"/>
  <headerFooter alignWithMargins="0">
    <oddHeader>&amp;L&amp;"Arial,Vet"&amp;F&amp;R&amp;"Arial,Vet"&amp;A</oddHeader>
    <oddFooter>&amp;L&amp;"Arial,Vet"PO-Raad&amp;C&amp;"Arial,Vet"&amp;D&amp;R&amp;"Arial,Vet"pagina &amp;P</oddFooter>
  </headerFooter>
  <rowBreaks count="2" manualBreakCount="2">
    <brk id="75" min="1" max="14" man="1"/>
    <brk id="148" min="1" max="14"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
  <sheetViews>
    <sheetView zoomScale="85" zoomScaleNormal="85" workbookViewId="0">
      <selection activeCell="B2" sqref="B2"/>
    </sheetView>
  </sheetViews>
  <sheetFormatPr defaultColWidth="9.140625" defaultRowHeight="12.75" x14ac:dyDescent="0.2"/>
  <cols>
    <col min="1" max="1" width="3.7109375" style="381" customWidth="1"/>
    <col min="2" max="3" width="2.7109375" style="381" customWidth="1"/>
    <col min="4" max="4" width="45.7109375" style="381" customWidth="1"/>
    <col min="5" max="5" width="2.7109375" style="381" customWidth="1"/>
    <col min="6" max="8" width="14.85546875" style="381" customWidth="1"/>
    <col min="9" max="9" width="14.85546875" style="382" customWidth="1"/>
    <col min="10" max="15" width="14.85546875" style="381" customWidth="1"/>
    <col min="16" max="17" width="2.7109375" style="381" customWidth="1"/>
    <col min="18" max="16384" width="9.140625" style="381"/>
  </cols>
  <sheetData>
    <row r="1" spans="2:17" ht="12.75" customHeight="1" x14ac:dyDescent="0.2"/>
    <row r="2" spans="2:17" x14ac:dyDescent="0.2">
      <c r="B2" s="383"/>
      <c r="C2" s="384"/>
      <c r="D2" s="384"/>
      <c r="E2" s="384"/>
      <c r="F2" s="384"/>
      <c r="G2" s="384"/>
      <c r="H2" s="384"/>
      <c r="I2" s="385"/>
      <c r="J2" s="384"/>
      <c r="K2" s="384"/>
      <c r="L2" s="384"/>
      <c r="M2" s="384"/>
      <c r="N2" s="384"/>
      <c r="O2" s="384"/>
      <c r="P2" s="384"/>
      <c r="Q2" s="386"/>
    </row>
    <row r="3" spans="2:17" x14ac:dyDescent="0.2">
      <c r="B3" s="194"/>
      <c r="C3" s="195"/>
      <c r="D3" s="195"/>
      <c r="E3" s="195"/>
      <c r="F3" s="195"/>
      <c r="G3" s="195"/>
      <c r="H3" s="195"/>
      <c r="I3" s="387"/>
      <c r="J3" s="195"/>
      <c r="K3" s="195"/>
      <c r="L3" s="195"/>
      <c r="M3" s="195"/>
      <c r="N3" s="195"/>
      <c r="O3" s="195"/>
      <c r="P3" s="195"/>
      <c r="Q3" s="196"/>
    </row>
    <row r="4" spans="2:17" s="28" customFormat="1" ht="18.75" x14ac:dyDescent="0.3">
      <c r="B4" s="38"/>
      <c r="C4" s="721" t="s">
        <v>315</v>
      </c>
      <c r="D4" s="39"/>
      <c r="E4" s="79"/>
      <c r="F4" s="79"/>
      <c r="G4" s="79"/>
      <c r="H4" s="388"/>
      <c r="I4" s="388"/>
      <c r="J4" s="388"/>
      <c r="K4" s="79"/>
      <c r="L4" s="79"/>
      <c r="M4" s="79"/>
      <c r="N4" s="79"/>
      <c r="O4" s="79"/>
      <c r="P4" s="79"/>
      <c r="Q4" s="241"/>
    </row>
    <row r="5" spans="2:17" s="231" customFormat="1" ht="18" customHeight="1" x14ac:dyDescent="0.3">
      <c r="B5" s="389"/>
      <c r="C5" s="390" t="str">
        <f>geg!G10</f>
        <v>Basisschool</v>
      </c>
      <c r="D5" s="391"/>
      <c r="E5" s="173"/>
      <c r="F5" s="173"/>
      <c r="G5" s="173"/>
      <c r="H5" s="195"/>
      <c r="I5" s="195"/>
      <c r="J5" s="195"/>
      <c r="K5" s="173"/>
      <c r="L5" s="173"/>
      <c r="M5" s="173"/>
      <c r="N5" s="173"/>
      <c r="O5" s="173"/>
      <c r="P5" s="173"/>
      <c r="Q5" s="174"/>
    </row>
    <row r="6" spans="2:17" s="231" customFormat="1" ht="12" customHeight="1" x14ac:dyDescent="0.3">
      <c r="B6" s="389"/>
      <c r="C6" s="44"/>
      <c r="D6" s="391"/>
      <c r="E6" s="173"/>
      <c r="F6" s="173"/>
      <c r="G6" s="173"/>
      <c r="H6" s="195"/>
      <c r="I6" s="195"/>
      <c r="J6" s="195"/>
      <c r="K6" s="173"/>
      <c r="L6" s="173"/>
      <c r="M6" s="173"/>
      <c r="N6" s="173"/>
      <c r="O6" s="173"/>
      <c r="P6" s="173"/>
      <c r="Q6" s="174"/>
    </row>
    <row r="7" spans="2:17" s="231" customFormat="1" ht="12" customHeight="1" x14ac:dyDescent="0.3">
      <c r="B7" s="389"/>
      <c r="C7" s="44"/>
      <c r="D7" s="391"/>
      <c r="E7" s="173"/>
      <c r="F7" s="173"/>
      <c r="G7" s="173"/>
      <c r="H7" s="195"/>
      <c r="I7" s="195"/>
      <c r="J7" s="195"/>
      <c r="K7" s="173"/>
      <c r="L7" s="173"/>
      <c r="M7" s="173"/>
      <c r="N7" s="173"/>
      <c r="O7" s="173"/>
      <c r="P7" s="173"/>
      <c r="Q7" s="174"/>
    </row>
    <row r="8" spans="2:17" s="231" customFormat="1" ht="12" customHeight="1" x14ac:dyDescent="0.3">
      <c r="B8" s="389"/>
      <c r="C8" s="731"/>
      <c r="D8" s="834" t="s">
        <v>316</v>
      </c>
      <c r="E8" s="759"/>
      <c r="F8" s="759"/>
      <c r="G8" s="759"/>
      <c r="H8" s="751"/>
      <c r="I8" s="751"/>
      <c r="J8" s="751"/>
      <c r="K8" s="759"/>
      <c r="L8" s="759"/>
      <c r="M8" s="759"/>
      <c r="N8" s="759"/>
      <c r="O8" s="759"/>
      <c r="P8" s="173"/>
      <c r="Q8" s="174"/>
    </row>
    <row r="9" spans="2:17" s="231" customFormat="1" ht="12" customHeight="1" x14ac:dyDescent="0.3">
      <c r="B9" s="389"/>
      <c r="C9" s="731"/>
      <c r="D9" s="903" t="s">
        <v>367</v>
      </c>
      <c r="E9" s="759"/>
      <c r="F9" s="759"/>
      <c r="G9" s="759"/>
      <c r="H9" s="751"/>
      <c r="I9" s="751"/>
      <c r="J9" s="751"/>
      <c r="K9" s="759"/>
      <c r="L9" s="759"/>
      <c r="M9" s="759"/>
      <c r="N9" s="759"/>
      <c r="O9" s="759"/>
      <c r="P9" s="173"/>
      <c r="Q9" s="174"/>
    </row>
    <row r="10" spans="2:17" s="231" customFormat="1" ht="12" customHeight="1" x14ac:dyDescent="0.3">
      <c r="B10" s="389"/>
      <c r="C10" s="731"/>
      <c r="D10" s="903" t="s">
        <v>382</v>
      </c>
      <c r="E10" s="759"/>
      <c r="F10" s="759"/>
      <c r="G10" s="759"/>
      <c r="H10" s="751"/>
      <c r="I10" s="751"/>
      <c r="J10" s="751"/>
      <c r="K10" s="759"/>
      <c r="L10" s="759"/>
      <c r="M10" s="759"/>
      <c r="N10" s="759"/>
      <c r="O10" s="759"/>
      <c r="P10" s="173"/>
      <c r="Q10" s="174"/>
    </row>
    <row r="11" spans="2:17" s="231" customFormat="1" ht="12" customHeight="1" x14ac:dyDescent="0.3">
      <c r="B11" s="389"/>
      <c r="C11" s="392"/>
      <c r="D11" s="904"/>
      <c r="E11" s="759"/>
      <c r="F11" s="759"/>
      <c r="G11" s="759"/>
      <c r="H11" s="751"/>
      <c r="I11" s="751"/>
      <c r="J11" s="751"/>
      <c r="K11" s="759"/>
      <c r="L11" s="759"/>
      <c r="M11" s="759"/>
      <c r="N11" s="759"/>
      <c r="O11" s="759"/>
      <c r="P11" s="173"/>
      <c r="Q11" s="174"/>
    </row>
    <row r="12" spans="2:17" ht="12" customHeight="1" x14ac:dyDescent="0.2">
      <c r="B12" s="393"/>
      <c r="C12" s="44"/>
      <c r="D12" s="905"/>
      <c r="E12" s="751"/>
      <c r="F12" s="751"/>
      <c r="G12" s="742"/>
      <c r="H12" s="751"/>
      <c r="I12" s="751"/>
      <c r="J12" s="751"/>
      <c r="K12" s="751"/>
      <c r="L12" s="751"/>
      <c r="M12" s="751"/>
      <c r="N12" s="751"/>
      <c r="O12" s="751"/>
      <c r="P12" s="195"/>
      <c r="Q12" s="196"/>
    </row>
    <row r="13" spans="2:17" s="396" customFormat="1" ht="12" customHeight="1" x14ac:dyDescent="0.2">
      <c r="B13" s="48"/>
      <c r="C13" s="49"/>
      <c r="D13" s="878"/>
      <c r="E13" s="751"/>
      <c r="F13" s="742">
        <f>tab!E4</f>
        <v>2016</v>
      </c>
      <c r="G13" s="742">
        <f t="shared" ref="G13:O13" si="0">F13+1</f>
        <v>2017</v>
      </c>
      <c r="H13" s="742">
        <f t="shared" si="0"/>
        <v>2018</v>
      </c>
      <c r="I13" s="742">
        <f t="shared" si="0"/>
        <v>2019</v>
      </c>
      <c r="J13" s="742">
        <f t="shared" si="0"/>
        <v>2020</v>
      </c>
      <c r="K13" s="742">
        <f t="shared" si="0"/>
        <v>2021</v>
      </c>
      <c r="L13" s="742">
        <f t="shared" si="0"/>
        <v>2022</v>
      </c>
      <c r="M13" s="742">
        <f t="shared" si="0"/>
        <v>2023</v>
      </c>
      <c r="N13" s="742">
        <f t="shared" si="0"/>
        <v>2024</v>
      </c>
      <c r="O13" s="742">
        <f t="shared" si="0"/>
        <v>2025</v>
      </c>
      <c r="P13" s="388"/>
      <c r="Q13" s="395"/>
    </row>
    <row r="14" spans="2:17" ht="12" customHeight="1" x14ac:dyDescent="0.2">
      <c r="B14" s="393"/>
      <c r="C14" s="44"/>
      <c r="D14" s="905"/>
      <c r="E14" s="751"/>
      <c r="F14" s="751"/>
      <c r="G14" s="751"/>
      <c r="H14" s="751"/>
      <c r="I14" s="751"/>
      <c r="J14" s="751"/>
      <c r="K14" s="751"/>
      <c r="L14" s="751"/>
      <c r="M14" s="751"/>
      <c r="N14" s="751"/>
      <c r="O14" s="751"/>
      <c r="P14" s="195"/>
      <c r="Q14" s="196"/>
    </row>
    <row r="15" spans="2:17" x14ac:dyDescent="0.2">
      <c r="B15" s="194"/>
      <c r="C15" s="11"/>
      <c r="D15" s="26"/>
      <c r="F15" s="202"/>
      <c r="G15" s="397"/>
      <c r="H15" s="397"/>
      <c r="I15" s="397"/>
      <c r="J15" s="397"/>
      <c r="K15" s="398"/>
      <c r="L15" s="398"/>
      <c r="M15" s="398"/>
      <c r="N15" s="398"/>
      <c r="O15" s="398"/>
      <c r="P15" s="399"/>
      <c r="Q15" s="196"/>
    </row>
    <row r="16" spans="2:17" x14ac:dyDescent="0.2">
      <c r="B16" s="194"/>
      <c r="C16" s="400" t="s">
        <v>163</v>
      </c>
      <c r="D16" s="401" t="s">
        <v>317</v>
      </c>
      <c r="E16" s="402"/>
      <c r="F16" s="403">
        <v>0</v>
      </c>
      <c r="G16" s="907">
        <f t="shared" ref="G16:O16" si="1">F19</f>
        <v>0</v>
      </c>
      <c r="H16" s="907">
        <f t="shared" si="1"/>
        <v>0</v>
      </c>
      <c r="I16" s="907">
        <f t="shared" si="1"/>
        <v>0</v>
      </c>
      <c r="J16" s="907">
        <f t="shared" si="1"/>
        <v>0</v>
      </c>
      <c r="K16" s="907">
        <f t="shared" si="1"/>
        <v>0</v>
      </c>
      <c r="L16" s="907">
        <f t="shared" si="1"/>
        <v>0</v>
      </c>
      <c r="M16" s="907">
        <f t="shared" si="1"/>
        <v>0</v>
      </c>
      <c r="N16" s="907">
        <f t="shared" si="1"/>
        <v>0</v>
      </c>
      <c r="O16" s="907">
        <f t="shared" si="1"/>
        <v>0</v>
      </c>
      <c r="P16" s="204"/>
      <c r="Q16" s="196"/>
    </row>
    <row r="17" spans="2:17" x14ac:dyDescent="0.2">
      <c r="B17" s="194"/>
      <c r="C17" s="400"/>
      <c r="D17" s="401" t="s">
        <v>318</v>
      </c>
      <c r="E17" s="404"/>
      <c r="F17" s="403">
        <v>0</v>
      </c>
      <c r="G17" s="405">
        <v>0</v>
      </c>
      <c r="H17" s="405">
        <v>0</v>
      </c>
      <c r="I17" s="405">
        <v>0</v>
      </c>
      <c r="J17" s="405">
        <v>0</v>
      </c>
      <c r="K17" s="405">
        <v>0</v>
      </c>
      <c r="L17" s="405">
        <v>0</v>
      </c>
      <c r="M17" s="405">
        <v>0</v>
      </c>
      <c r="N17" s="405">
        <v>0</v>
      </c>
      <c r="O17" s="405">
        <v>0</v>
      </c>
      <c r="P17" s="204"/>
      <c r="Q17" s="196"/>
    </row>
    <row r="18" spans="2:17" x14ac:dyDescent="0.2">
      <c r="B18" s="194"/>
      <c r="C18" s="400" t="s">
        <v>240</v>
      </c>
      <c r="D18" s="401" t="s">
        <v>319</v>
      </c>
      <c r="E18" s="402"/>
      <c r="F18" s="403">
        <v>0</v>
      </c>
      <c r="G18" s="405">
        <v>0</v>
      </c>
      <c r="H18" s="405">
        <v>0</v>
      </c>
      <c r="I18" s="405">
        <v>0</v>
      </c>
      <c r="J18" s="405">
        <v>0</v>
      </c>
      <c r="K18" s="405">
        <v>0</v>
      </c>
      <c r="L18" s="405">
        <v>0</v>
      </c>
      <c r="M18" s="405">
        <v>0</v>
      </c>
      <c r="N18" s="405">
        <v>0</v>
      </c>
      <c r="O18" s="405">
        <v>0</v>
      </c>
      <c r="P18" s="204"/>
      <c r="Q18" s="196"/>
    </row>
    <row r="19" spans="2:17" x14ac:dyDescent="0.2">
      <c r="B19" s="194"/>
      <c r="C19" s="406" t="s">
        <v>123</v>
      </c>
      <c r="D19" s="407" t="s">
        <v>123</v>
      </c>
      <c r="E19" s="404"/>
      <c r="F19" s="909">
        <f t="shared" ref="F19:O19" si="2">SUM(F16:F17)-F18</f>
        <v>0</v>
      </c>
      <c r="G19" s="910">
        <f t="shared" si="2"/>
        <v>0</v>
      </c>
      <c r="H19" s="910">
        <f t="shared" si="2"/>
        <v>0</v>
      </c>
      <c r="I19" s="910">
        <f t="shared" si="2"/>
        <v>0</v>
      </c>
      <c r="J19" s="910">
        <f t="shared" si="2"/>
        <v>0</v>
      </c>
      <c r="K19" s="910">
        <f t="shared" si="2"/>
        <v>0</v>
      </c>
      <c r="L19" s="910">
        <f t="shared" si="2"/>
        <v>0</v>
      </c>
      <c r="M19" s="910">
        <f t="shared" si="2"/>
        <v>0</v>
      </c>
      <c r="N19" s="910">
        <f t="shared" si="2"/>
        <v>0</v>
      </c>
      <c r="O19" s="910">
        <f t="shared" si="2"/>
        <v>0</v>
      </c>
      <c r="P19" s="204"/>
      <c r="Q19" s="196"/>
    </row>
    <row r="20" spans="2:17" x14ac:dyDescent="0.2">
      <c r="B20" s="194"/>
      <c r="C20" s="382"/>
      <c r="F20" s="408"/>
      <c r="G20" s="409"/>
      <c r="H20" s="410"/>
      <c r="I20" s="409"/>
      <c r="J20" s="409"/>
      <c r="K20" s="409"/>
      <c r="L20" s="409"/>
      <c r="M20" s="409"/>
      <c r="N20" s="409"/>
      <c r="O20" s="409"/>
      <c r="P20" s="411"/>
      <c r="Q20" s="196"/>
    </row>
    <row r="21" spans="2:17" ht="12.75" customHeight="1" x14ac:dyDescent="0.2">
      <c r="B21" s="393"/>
      <c r="C21" s="44"/>
      <c r="D21" s="394"/>
      <c r="E21" s="195"/>
      <c r="F21" s="195"/>
      <c r="G21" s="195"/>
      <c r="H21" s="387"/>
      <c r="I21" s="195"/>
      <c r="J21" s="195"/>
      <c r="K21" s="195"/>
      <c r="L21" s="195"/>
      <c r="M21" s="195"/>
      <c r="N21" s="195"/>
      <c r="O21" s="195"/>
      <c r="P21" s="195"/>
      <c r="Q21" s="196"/>
    </row>
    <row r="22" spans="2:17" ht="12.75" customHeight="1" x14ac:dyDescent="0.2">
      <c r="B22" s="393"/>
      <c r="C22" s="44"/>
      <c r="D22" s="394"/>
      <c r="E22" s="195"/>
      <c r="F22" s="751"/>
      <c r="G22" s="751"/>
      <c r="H22" s="906"/>
      <c r="I22" s="751"/>
      <c r="J22" s="751"/>
      <c r="K22" s="751"/>
      <c r="L22" s="751"/>
      <c r="M22" s="751"/>
      <c r="N22" s="751"/>
      <c r="O22" s="751"/>
      <c r="P22" s="195"/>
      <c r="Q22" s="196"/>
    </row>
    <row r="23" spans="2:17" s="396" customFormat="1" ht="12.75" customHeight="1" x14ac:dyDescent="0.2">
      <c r="B23" s="412"/>
      <c r="C23" s="49"/>
      <c r="D23" s="176"/>
      <c r="E23" s="388"/>
      <c r="F23" s="742">
        <f>O13+1</f>
        <v>2026</v>
      </c>
      <c r="G23" s="742">
        <f t="shared" ref="G23:O23" si="3">F23+1</f>
        <v>2027</v>
      </c>
      <c r="H23" s="742">
        <f t="shared" si="3"/>
        <v>2028</v>
      </c>
      <c r="I23" s="742">
        <f t="shared" si="3"/>
        <v>2029</v>
      </c>
      <c r="J23" s="742">
        <f t="shared" si="3"/>
        <v>2030</v>
      </c>
      <c r="K23" s="742">
        <f t="shared" si="3"/>
        <v>2031</v>
      </c>
      <c r="L23" s="742">
        <f t="shared" si="3"/>
        <v>2032</v>
      </c>
      <c r="M23" s="742">
        <f t="shared" si="3"/>
        <v>2033</v>
      </c>
      <c r="N23" s="742">
        <f t="shared" si="3"/>
        <v>2034</v>
      </c>
      <c r="O23" s="742">
        <f t="shared" si="3"/>
        <v>2035</v>
      </c>
      <c r="P23" s="413"/>
      <c r="Q23" s="395"/>
    </row>
    <row r="24" spans="2:17" ht="12.75" customHeight="1" x14ac:dyDescent="0.2">
      <c r="B24" s="393"/>
      <c r="C24" s="44"/>
      <c r="D24" s="394"/>
      <c r="E24" s="195"/>
      <c r="F24" s="195"/>
      <c r="G24" s="195"/>
      <c r="H24" s="195"/>
      <c r="I24" s="195"/>
      <c r="J24" s="195"/>
      <c r="K24" s="195"/>
      <c r="L24" s="195"/>
      <c r="M24" s="195"/>
      <c r="N24" s="195"/>
      <c r="O24" s="195"/>
      <c r="P24" s="195"/>
      <c r="Q24" s="196"/>
    </row>
    <row r="25" spans="2:17" ht="12.75" customHeight="1" x14ac:dyDescent="0.2">
      <c r="B25" s="393"/>
      <c r="C25" s="11"/>
      <c r="D25" s="26"/>
      <c r="F25" s="202"/>
      <c r="G25" s="397"/>
      <c r="H25" s="397"/>
      <c r="I25" s="397"/>
      <c r="J25" s="397"/>
      <c r="K25" s="397"/>
      <c r="L25" s="397"/>
      <c r="M25" s="397"/>
      <c r="N25" s="397"/>
      <c r="O25" s="397"/>
      <c r="P25" s="399"/>
      <c r="Q25" s="196"/>
    </row>
    <row r="26" spans="2:17" ht="12.75" customHeight="1" x14ac:dyDescent="0.2">
      <c r="B26" s="393"/>
      <c r="C26" s="400" t="s">
        <v>163</v>
      </c>
      <c r="D26" s="401" t="s">
        <v>317</v>
      </c>
      <c r="E26" s="402"/>
      <c r="F26" s="908">
        <f>O19</f>
        <v>0</v>
      </c>
      <c r="G26" s="907">
        <f t="shared" ref="G26:O26" si="4">F29</f>
        <v>0</v>
      </c>
      <c r="H26" s="907">
        <f t="shared" si="4"/>
        <v>0</v>
      </c>
      <c r="I26" s="907">
        <f t="shared" si="4"/>
        <v>0</v>
      </c>
      <c r="J26" s="907">
        <f t="shared" si="4"/>
        <v>0</v>
      </c>
      <c r="K26" s="907">
        <f t="shared" si="4"/>
        <v>0</v>
      </c>
      <c r="L26" s="907">
        <f t="shared" si="4"/>
        <v>0</v>
      </c>
      <c r="M26" s="907">
        <f t="shared" si="4"/>
        <v>0</v>
      </c>
      <c r="N26" s="907">
        <f t="shared" si="4"/>
        <v>0</v>
      </c>
      <c r="O26" s="907">
        <f t="shared" si="4"/>
        <v>0</v>
      </c>
      <c r="P26" s="204"/>
      <c r="Q26" s="196"/>
    </row>
    <row r="27" spans="2:17" ht="12.75" customHeight="1" x14ac:dyDescent="0.2">
      <c r="B27" s="393"/>
      <c r="C27" s="400"/>
      <c r="D27" s="401" t="s">
        <v>318</v>
      </c>
      <c r="E27" s="404"/>
      <c r="F27" s="403">
        <v>0</v>
      </c>
      <c r="G27" s="405">
        <v>0</v>
      </c>
      <c r="H27" s="405">
        <v>0</v>
      </c>
      <c r="I27" s="405">
        <v>0</v>
      </c>
      <c r="J27" s="405">
        <v>0</v>
      </c>
      <c r="K27" s="405">
        <v>0</v>
      </c>
      <c r="L27" s="405">
        <v>0</v>
      </c>
      <c r="M27" s="405">
        <v>0</v>
      </c>
      <c r="N27" s="405">
        <v>0</v>
      </c>
      <c r="O27" s="405">
        <v>0</v>
      </c>
      <c r="P27" s="204"/>
      <c r="Q27" s="196"/>
    </row>
    <row r="28" spans="2:17" ht="12.75" customHeight="1" x14ac:dyDescent="0.2">
      <c r="B28" s="393"/>
      <c r="C28" s="400" t="s">
        <v>240</v>
      </c>
      <c r="D28" s="401" t="s">
        <v>319</v>
      </c>
      <c r="E28" s="402"/>
      <c r="F28" s="403">
        <v>0</v>
      </c>
      <c r="G28" s="405">
        <v>0</v>
      </c>
      <c r="H28" s="405">
        <v>0</v>
      </c>
      <c r="I28" s="405">
        <v>0</v>
      </c>
      <c r="J28" s="405">
        <v>0</v>
      </c>
      <c r="K28" s="405">
        <v>0</v>
      </c>
      <c r="L28" s="405">
        <v>0</v>
      </c>
      <c r="M28" s="405">
        <v>0</v>
      </c>
      <c r="N28" s="405">
        <v>0</v>
      </c>
      <c r="O28" s="405">
        <v>0</v>
      </c>
      <c r="P28" s="204"/>
      <c r="Q28" s="196"/>
    </row>
    <row r="29" spans="2:17" ht="12.75" customHeight="1" x14ac:dyDescent="0.2">
      <c r="B29" s="393"/>
      <c r="C29" s="406" t="s">
        <v>123</v>
      </c>
      <c r="D29" s="407" t="s">
        <v>123</v>
      </c>
      <c r="E29" s="404"/>
      <c r="F29" s="909">
        <f t="shared" ref="F29:O29" si="5">SUM(F26:F27)-F28</f>
        <v>0</v>
      </c>
      <c r="G29" s="910">
        <f t="shared" si="5"/>
        <v>0</v>
      </c>
      <c r="H29" s="910">
        <f t="shared" si="5"/>
        <v>0</v>
      </c>
      <c r="I29" s="910">
        <f t="shared" si="5"/>
        <v>0</v>
      </c>
      <c r="J29" s="910">
        <f t="shared" si="5"/>
        <v>0</v>
      </c>
      <c r="K29" s="910">
        <f t="shared" si="5"/>
        <v>0</v>
      </c>
      <c r="L29" s="910">
        <f t="shared" si="5"/>
        <v>0</v>
      </c>
      <c r="M29" s="910">
        <f t="shared" si="5"/>
        <v>0</v>
      </c>
      <c r="N29" s="910">
        <f t="shared" si="5"/>
        <v>0</v>
      </c>
      <c r="O29" s="910">
        <f t="shared" si="5"/>
        <v>0</v>
      </c>
      <c r="P29" s="204"/>
      <c r="Q29" s="196"/>
    </row>
    <row r="30" spans="2:17" ht="12.75" customHeight="1" x14ac:dyDescent="0.2">
      <c r="B30" s="393"/>
      <c r="C30" s="382"/>
      <c r="F30" s="408"/>
      <c r="G30" s="409"/>
      <c r="H30" s="409"/>
      <c r="I30" s="409"/>
      <c r="J30" s="409"/>
      <c r="K30" s="409"/>
      <c r="L30" s="409"/>
      <c r="M30" s="409"/>
      <c r="N30" s="409"/>
      <c r="O30" s="409"/>
      <c r="P30" s="411"/>
      <c r="Q30" s="196"/>
    </row>
    <row r="31" spans="2:17" ht="12.75" customHeight="1" x14ac:dyDescent="0.2">
      <c r="B31" s="393"/>
      <c r="C31" s="44"/>
      <c r="D31" s="394"/>
      <c r="E31" s="195"/>
      <c r="F31" s="195"/>
      <c r="G31" s="195"/>
      <c r="H31" s="195"/>
      <c r="I31" s="195"/>
      <c r="J31" s="195"/>
      <c r="K31" s="195"/>
      <c r="L31" s="195"/>
      <c r="M31" s="195"/>
      <c r="N31" s="195"/>
      <c r="O31" s="195"/>
      <c r="P31" s="195"/>
      <c r="Q31" s="196"/>
    </row>
    <row r="32" spans="2:17" s="207" customFormat="1" ht="12" customHeight="1" collapsed="1" x14ac:dyDescent="0.25">
      <c r="B32" s="199"/>
      <c r="C32" s="200"/>
      <c r="D32" s="200"/>
      <c r="E32" s="200"/>
      <c r="F32" s="200"/>
      <c r="G32" s="200"/>
      <c r="H32" s="200"/>
      <c r="I32" s="200"/>
      <c r="J32" s="200"/>
      <c r="K32" s="200"/>
      <c r="L32" s="200"/>
      <c r="M32" s="200"/>
      <c r="N32" s="200"/>
      <c r="O32" s="200"/>
      <c r="P32" s="72" t="s">
        <v>388</v>
      </c>
      <c r="Q32" s="201"/>
    </row>
  </sheetData>
  <sheetProtection algorithmName="SHA-512" hashValue="i3WgcefRvt2wMmoA2wC7P7m4QRfebk0yn9AOkXhLMTu2a5AmPDkNfIvV5HXeHTONZx0sShN04J4XiETCV6zidQ==" saltValue="jo02PB2vVGMLxUvwfRBCSg==" spinCount="100000" sheet="1" objects="1" scenarios="1"/>
  <phoneticPr fontId="0" type="noConversion"/>
  <pageMargins left="0.78740157480314965" right="0.78740157480314965" top="0.98425196850393704" bottom="0.98425196850393704" header="0.51181102362204722" footer="0.51181102362204722"/>
  <pageSetup paperSize="9" scale="60" orientation="landscape" r:id="rId1"/>
  <headerFooter alignWithMargins="0">
    <oddHeader>&amp;L&amp;"Arial,Vet"&amp;F&amp;R&amp;"Arial,Vet"&amp;A</oddHeader>
    <oddFooter>&amp;L&amp;"Arial,Vet"PO-Raad&amp;C&amp;"Arial,Vet"&amp;D&amp;R&amp;"Arial,Vet"pagina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44"/>
  <sheetViews>
    <sheetView zoomScale="85" zoomScaleNormal="85" workbookViewId="0">
      <pane ySplit="11" topLeftCell="A12" activePane="bottomLeft" state="frozen"/>
      <selection activeCell="C4" sqref="C4"/>
      <selection pane="bottomLeft" activeCell="B2" sqref="B2"/>
    </sheetView>
  </sheetViews>
  <sheetFormatPr defaultColWidth="9.140625" defaultRowHeight="12.75" x14ac:dyDescent="0.2"/>
  <cols>
    <col min="1" max="1" width="3.7109375" style="5" customWidth="1"/>
    <col min="2" max="3" width="2.7109375" style="5" customWidth="1"/>
    <col min="4" max="5" width="25.7109375" style="5" customWidth="1"/>
    <col min="6" max="8" width="10.7109375" style="5" customWidth="1"/>
    <col min="9" max="9" width="0.85546875" style="5" customWidth="1"/>
    <col min="10" max="10" width="11.7109375" style="5" hidden="1" customWidth="1"/>
    <col min="11" max="13" width="10.7109375" style="5" customWidth="1"/>
    <col min="14" max="14" width="0.85546875" style="5" customWidth="1"/>
    <col min="15" max="19" width="10.7109375" style="5" customWidth="1"/>
    <col min="20" max="20" width="0.85546875" style="5" customWidth="1"/>
    <col min="21" max="25" width="10.7109375" style="5" customWidth="1"/>
    <col min="26" max="27" width="2.7109375" style="5" customWidth="1"/>
    <col min="28" max="16384" width="9.140625" style="5"/>
  </cols>
  <sheetData>
    <row r="2" spans="2:27" x14ac:dyDescent="0.2">
      <c r="B2" s="35"/>
      <c r="C2" s="35"/>
      <c r="D2" s="35"/>
      <c r="E2" s="35"/>
      <c r="F2" s="35"/>
      <c r="G2" s="35"/>
      <c r="H2" s="35"/>
      <c r="I2" s="35"/>
      <c r="J2" s="35"/>
      <c r="K2" s="35"/>
      <c r="L2" s="35"/>
      <c r="M2" s="35"/>
      <c r="N2" s="35"/>
      <c r="O2" s="35"/>
      <c r="P2" s="35"/>
      <c r="Q2" s="35"/>
      <c r="R2" s="35"/>
      <c r="S2" s="35"/>
      <c r="T2" s="35"/>
      <c r="U2" s="35"/>
      <c r="V2" s="35"/>
      <c r="W2" s="35"/>
      <c r="X2" s="35"/>
      <c r="Y2" s="35"/>
      <c r="Z2" s="35"/>
      <c r="AA2" s="35"/>
    </row>
    <row r="3" spans="2:27" x14ac:dyDescent="0.2">
      <c r="B3" s="35"/>
      <c r="C3" s="35"/>
      <c r="D3" s="35"/>
      <c r="E3" s="35"/>
      <c r="F3" s="35"/>
      <c r="G3" s="35"/>
      <c r="H3" s="35"/>
      <c r="I3" s="35"/>
      <c r="J3" s="35"/>
      <c r="K3" s="35"/>
      <c r="L3" s="35"/>
      <c r="M3" s="35"/>
      <c r="N3" s="35"/>
      <c r="O3" s="35"/>
      <c r="P3" s="35"/>
      <c r="Q3" s="35"/>
      <c r="R3" s="35"/>
      <c r="S3" s="35"/>
      <c r="T3" s="35"/>
      <c r="U3" s="35"/>
      <c r="V3" s="35"/>
      <c r="W3" s="35"/>
      <c r="X3" s="35"/>
      <c r="Y3" s="35"/>
      <c r="Z3" s="35"/>
      <c r="AA3" s="35"/>
    </row>
    <row r="4" spans="2:27" s="426" customFormat="1" ht="18" customHeight="1" x14ac:dyDescent="0.3">
      <c r="B4" s="127"/>
      <c r="C4" s="151" t="s">
        <v>164</v>
      </c>
      <c r="D4" s="127"/>
      <c r="E4" s="127"/>
      <c r="F4" s="127"/>
      <c r="G4" s="127"/>
      <c r="H4" s="127"/>
      <c r="I4" s="127"/>
      <c r="J4" s="127"/>
      <c r="K4" s="127"/>
      <c r="L4" s="127"/>
      <c r="M4" s="127"/>
      <c r="N4" s="127"/>
      <c r="O4" s="127"/>
      <c r="P4" s="127"/>
      <c r="Q4" s="127"/>
      <c r="R4" s="127"/>
      <c r="S4" s="127"/>
      <c r="T4" s="127"/>
      <c r="U4" s="127"/>
      <c r="V4" s="127"/>
      <c r="W4" s="127"/>
      <c r="X4" s="127"/>
      <c r="Y4" s="127"/>
      <c r="Z4" s="127"/>
      <c r="AA4" s="127"/>
    </row>
    <row r="5" spans="2:27" s="424" customFormat="1" ht="18" customHeight="1" x14ac:dyDescent="0.3">
      <c r="B5" s="392"/>
      <c r="C5" s="173" t="str">
        <f>geg!G10</f>
        <v>Basisschool</v>
      </c>
      <c r="D5" s="392"/>
      <c r="E5" s="392"/>
      <c r="F5" s="392"/>
      <c r="G5" s="392"/>
      <c r="H5" s="392"/>
      <c r="I5" s="392"/>
      <c r="J5" s="392"/>
      <c r="K5" s="392"/>
      <c r="L5" s="392"/>
      <c r="M5" s="392"/>
      <c r="N5" s="392"/>
      <c r="O5" s="392"/>
      <c r="P5" s="392"/>
      <c r="Q5" s="392"/>
      <c r="R5" s="392"/>
      <c r="S5" s="392"/>
      <c r="T5" s="392"/>
      <c r="U5" s="392"/>
      <c r="V5" s="392"/>
      <c r="W5" s="392"/>
      <c r="X5" s="392"/>
      <c r="Y5" s="392"/>
      <c r="Z5" s="392"/>
      <c r="AA5" s="392"/>
    </row>
    <row r="6" spans="2:27" s="19" customFormat="1" ht="12.75" customHeight="1" x14ac:dyDescent="0.25">
      <c r="B6" s="59"/>
      <c r="C6" s="612"/>
      <c r="D6" s="59"/>
      <c r="E6" s="59"/>
      <c r="F6" s="59"/>
      <c r="G6" s="59"/>
      <c r="H6" s="59"/>
      <c r="I6" s="59"/>
      <c r="J6" s="59"/>
      <c r="K6" s="59"/>
      <c r="L6" s="59"/>
      <c r="M6" s="59"/>
      <c r="N6" s="59"/>
      <c r="O6" s="59"/>
      <c r="P6" s="59"/>
      <c r="Q6" s="59"/>
      <c r="R6" s="59"/>
      <c r="S6" s="59"/>
      <c r="T6" s="59"/>
      <c r="U6" s="59"/>
      <c r="V6" s="59"/>
      <c r="W6" s="59"/>
      <c r="X6" s="59"/>
      <c r="Y6" s="59"/>
      <c r="Z6" s="59"/>
      <c r="AA6" s="59"/>
    </row>
    <row r="7" spans="2:27" x14ac:dyDescent="0.2">
      <c r="B7" s="35"/>
      <c r="C7" s="35"/>
      <c r="D7" s="35"/>
      <c r="E7" s="35"/>
      <c r="F7" s="35"/>
      <c r="G7" s="35"/>
      <c r="H7" s="35"/>
      <c r="I7" s="35"/>
      <c r="J7" s="35"/>
      <c r="K7" s="35"/>
      <c r="L7" s="35"/>
      <c r="M7" s="35"/>
      <c r="N7" s="35"/>
      <c r="O7" s="35"/>
      <c r="P7" s="35"/>
      <c r="Q7" s="35"/>
      <c r="R7" s="35"/>
      <c r="S7" s="35"/>
      <c r="T7" s="35"/>
      <c r="U7" s="35"/>
      <c r="V7" s="35"/>
      <c r="W7" s="35"/>
      <c r="X7" s="35"/>
      <c r="Y7" s="35"/>
      <c r="Z7" s="35"/>
      <c r="AA7" s="35"/>
    </row>
    <row r="8" spans="2:27" x14ac:dyDescent="0.2">
      <c r="B8" s="35"/>
      <c r="C8" s="35"/>
      <c r="D8" s="35"/>
      <c r="E8" s="35"/>
      <c r="F8" s="35"/>
      <c r="G8" s="35"/>
      <c r="H8" s="35"/>
      <c r="I8" s="35"/>
      <c r="J8" s="35"/>
      <c r="K8" s="35"/>
      <c r="L8" s="35"/>
      <c r="M8" s="35"/>
      <c r="N8" s="35"/>
      <c r="O8" s="35"/>
      <c r="P8" s="35"/>
      <c r="Q8" s="35"/>
      <c r="R8" s="35"/>
      <c r="S8" s="35"/>
      <c r="T8" s="35"/>
      <c r="U8" s="35"/>
      <c r="V8" s="35"/>
      <c r="W8" s="35"/>
      <c r="X8" s="35"/>
      <c r="Y8" s="35"/>
      <c r="Z8" s="35"/>
      <c r="AA8" s="35"/>
    </row>
    <row r="9" spans="2:27" s="415" customFormat="1" x14ac:dyDescent="0.2">
      <c r="B9" s="211"/>
      <c r="C9" s="211"/>
      <c r="D9" s="903" t="s">
        <v>139</v>
      </c>
      <c r="E9" s="903" t="s">
        <v>138</v>
      </c>
      <c r="F9" s="911" t="s">
        <v>289</v>
      </c>
      <c r="G9" s="911" t="s">
        <v>403</v>
      </c>
      <c r="H9" s="911" t="s">
        <v>137</v>
      </c>
      <c r="I9" s="911"/>
      <c r="J9" s="911" t="s">
        <v>143</v>
      </c>
      <c r="K9" s="911" t="s">
        <v>125</v>
      </c>
      <c r="L9" s="825" t="s">
        <v>256</v>
      </c>
      <c r="M9" s="911" t="s">
        <v>402</v>
      </c>
      <c r="N9" s="911"/>
      <c r="O9" s="911">
        <f>M10</f>
        <v>2016</v>
      </c>
      <c r="P9" s="912">
        <f>O9+1</f>
        <v>2017</v>
      </c>
      <c r="Q9" s="912">
        <f>O9+2</f>
        <v>2018</v>
      </c>
      <c r="R9" s="827">
        <f>O9+3</f>
        <v>2019</v>
      </c>
      <c r="S9" s="827">
        <f>P9+3</f>
        <v>2020</v>
      </c>
      <c r="T9" s="911"/>
      <c r="U9" s="911">
        <f>O9</f>
        <v>2016</v>
      </c>
      <c r="V9" s="911">
        <f>P9</f>
        <v>2017</v>
      </c>
      <c r="W9" s="911">
        <f>Q9</f>
        <v>2018</v>
      </c>
      <c r="X9" s="911">
        <f>R9</f>
        <v>2019</v>
      </c>
      <c r="Y9" s="911">
        <f>S9</f>
        <v>2020</v>
      </c>
      <c r="Z9" s="211"/>
      <c r="AA9" s="211"/>
    </row>
    <row r="10" spans="2:27" s="415" customFormat="1" x14ac:dyDescent="0.2">
      <c r="B10" s="211"/>
      <c r="C10" s="211"/>
      <c r="D10" s="911"/>
      <c r="E10" s="911"/>
      <c r="F10" s="911" t="s">
        <v>290</v>
      </c>
      <c r="G10" s="911" t="s">
        <v>404</v>
      </c>
      <c r="H10" s="911" t="s">
        <v>121</v>
      </c>
      <c r="I10" s="911"/>
      <c r="J10" s="911"/>
      <c r="K10" s="911" t="s">
        <v>144</v>
      </c>
      <c r="L10" s="825" t="s">
        <v>125</v>
      </c>
      <c r="M10" s="825">
        <f>tab!E4</f>
        <v>2016</v>
      </c>
      <c r="N10" s="911"/>
      <c r="O10" s="911" t="s">
        <v>125</v>
      </c>
      <c r="P10" s="911" t="s">
        <v>125</v>
      </c>
      <c r="Q10" s="911" t="s">
        <v>125</v>
      </c>
      <c r="R10" s="911" t="s">
        <v>125</v>
      </c>
      <c r="S10" s="911" t="s">
        <v>125</v>
      </c>
      <c r="T10" s="911"/>
      <c r="U10" s="911" t="s">
        <v>126</v>
      </c>
      <c r="V10" s="911" t="s">
        <v>126</v>
      </c>
      <c r="W10" s="911" t="s">
        <v>126</v>
      </c>
      <c r="X10" s="911" t="s">
        <v>126</v>
      </c>
      <c r="Y10" s="911" t="s">
        <v>126</v>
      </c>
      <c r="Z10" s="211"/>
      <c r="AA10" s="211"/>
    </row>
    <row r="11" spans="2:27" s="233" customFormat="1" x14ac:dyDescent="0.2">
      <c r="B11" s="242"/>
      <c r="C11" s="242"/>
      <c r="D11" s="242"/>
      <c r="E11" s="242"/>
      <c r="F11" s="242"/>
      <c r="G11" s="242"/>
      <c r="H11" s="242"/>
      <c r="I11" s="242"/>
      <c r="J11" s="242"/>
      <c r="K11" s="242"/>
      <c r="L11" s="416"/>
      <c r="M11" s="416"/>
      <c r="N11" s="242"/>
      <c r="O11" s="242"/>
      <c r="P11" s="242"/>
      <c r="Q11" s="242"/>
      <c r="R11" s="242"/>
      <c r="S11" s="242"/>
      <c r="T11" s="242"/>
      <c r="U11" s="242"/>
      <c r="V11" s="242"/>
      <c r="W11" s="242"/>
      <c r="X11" s="242"/>
      <c r="Y11" s="242"/>
      <c r="Z11" s="242"/>
      <c r="AA11" s="242"/>
    </row>
    <row r="12" spans="2:27" s="233" customFormat="1" x14ac:dyDescent="0.2">
      <c r="B12" s="242"/>
      <c r="C12" s="417"/>
      <c r="D12" s="418"/>
      <c r="E12" s="418"/>
      <c r="F12" s="418"/>
      <c r="G12" s="418"/>
      <c r="H12" s="418"/>
      <c r="I12" s="418"/>
      <c r="J12" s="418"/>
      <c r="K12" s="418"/>
      <c r="L12" s="419"/>
      <c r="M12" s="419"/>
      <c r="N12" s="418"/>
      <c r="O12" s="418"/>
      <c r="P12" s="418"/>
      <c r="Q12" s="418"/>
      <c r="R12" s="418"/>
      <c r="S12" s="418"/>
      <c r="T12" s="418"/>
      <c r="U12" s="144"/>
      <c r="V12" s="144"/>
      <c r="W12" s="144"/>
      <c r="X12" s="144"/>
      <c r="Y12" s="144"/>
      <c r="Z12" s="420"/>
      <c r="AA12" s="242"/>
    </row>
    <row r="13" spans="2:27" s="233" customFormat="1" x14ac:dyDescent="0.2">
      <c r="B13" s="242"/>
      <c r="C13" s="421"/>
      <c r="D13" s="285"/>
      <c r="E13" s="285"/>
      <c r="F13" s="285"/>
      <c r="G13" s="285"/>
      <c r="H13" s="285"/>
      <c r="I13" s="285"/>
      <c r="J13" s="285"/>
      <c r="K13" s="285"/>
      <c r="L13" s="422"/>
      <c r="M13" s="894">
        <f>SUM(M15:M141)</f>
        <v>0</v>
      </c>
      <c r="N13" s="92"/>
      <c r="O13" s="894">
        <f>SUM(O15:O141)</f>
        <v>0</v>
      </c>
      <c r="P13" s="894">
        <f>SUM(P15:P141)</f>
        <v>0</v>
      </c>
      <c r="Q13" s="894">
        <f>SUM(Q15:Q141)</f>
        <v>0</v>
      </c>
      <c r="R13" s="894">
        <f>SUM(R15:R141)</f>
        <v>0</v>
      </c>
      <c r="S13" s="894">
        <f>SUM(S15:S141)</f>
        <v>0</v>
      </c>
      <c r="T13" s="92"/>
      <c r="U13" s="894">
        <f>SUM(U15:U141)</f>
        <v>0</v>
      </c>
      <c r="V13" s="894">
        <f>SUM(V15:V141)</f>
        <v>0</v>
      </c>
      <c r="W13" s="894">
        <f>SUM(W15:W141)</f>
        <v>0</v>
      </c>
      <c r="X13" s="894">
        <f>SUM(X15:X141)</f>
        <v>0</v>
      </c>
      <c r="Y13" s="894">
        <f>SUM(Y15:Y141)</f>
        <v>0</v>
      </c>
      <c r="Z13" s="423"/>
      <c r="AA13" s="242"/>
    </row>
    <row r="14" spans="2:27" s="233" customFormat="1" x14ac:dyDescent="0.2">
      <c r="B14" s="242"/>
      <c r="C14" s="421"/>
      <c r="D14" s="285"/>
      <c r="E14" s="285"/>
      <c r="F14" s="285"/>
      <c r="G14" s="285"/>
      <c r="H14" s="285"/>
      <c r="I14" s="285"/>
      <c r="J14" s="285"/>
      <c r="K14" s="285"/>
      <c r="L14" s="422"/>
      <c r="M14" s="422"/>
      <c r="N14" s="285"/>
      <c r="O14" s="285"/>
      <c r="P14" s="285"/>
      <c r="Q14" s="285"/>
      <c r="R14" s="285"/>
      <c r="S14" s="285"/>
      <c r="T14" s="285"/>
      <c r="U14" s="115"/>
      <c r="V14" s="115"/>
      <c r="W14" s="115"/>
      <c r="X14" s="115"/>
      <c r="Y14" s="115"/>
      <c r="Z14" s="423"/>
      <c r="AA14" s="242"/>
    </row>
    <row r="15" spans="2:27" x14ac:dyDescent="0.2">
      <c r="B15" s="35"/>
      <c r="C15" s="91"/>
      <c r="D15" s="192"/>
      <c r="E15" s="192"/>
      <c r="F15" s="155"/>
      <c r="G15" s="255"/>
      <c r="H15" s="155"/>
      <c r="I15" s="92"/>
      <c r="J15" s="115">
        <f>IF(H15="geen",9999999999,H15)</f>
        <v>0</v>
      </c>
      <c r="K15" s="804">
        <f t="shared" ref="K15:K46" si="0">IF(G15=0,0,(G15/J15))</f>
        <v>0</v>
      </c>
      <c r="L15" s="913" t="str">
        <f t="shared" ref="L15:L46" si="1">IF(J15=0,"-",(IF(J15&gt;3000,"-",F15+J15-1)))</f>
        <v>-</v>
      </c>
      <c r="M15" s="804">
        <f t="shared" ref="M15:M46" si="2">IF(H15="geen",IF(F15&lt;$O$9,G15,0),IF(F15&gt;=$O$9,0,IF((G15-($O$9-F15)*K15)&lt;0,0,G15-($O$9-F15)*K15)))</f>
        <v>0</v>
      </c>
      <c r="N15" s="92"/>
      <c r="O15" s="804">
        <f t="shared" ref="O15:O46" si="3">(IF(O$9&lt;$F15,0,IF($L15&lt;=O$9-1,0,$K15)))</f>
        <v>0</v>
      </c>
      <c r="P15" s="804">
        <f t="shared" ref="P15:P46" si="4">(IF(P$9&lt;$F15,0,IF($L15&lt;=P$9-1,0,$K15)))</f>
        <v>0</v>
      </c>
      <c r="Q15" s="804">
        <f t="shared" ref="Q15:Q46" si="5">(IF(Q$9&lt;$F15,0,IF($L15&lt;=Q$9-1,0,$K15)))</f>
        <v>0</v>
      </c>
      <c r="R15" s="804">
        <f t="shared" ref="R15:R46" si="6">(IF(R$9&lt;$F15,0,IF($L15&lt;=R$9-1,0,$K15)))</f>
        <v>0</v>
      </c>
      <c r="S15" s="804">
        <f t="shared" ref="S15:S46" si="7">(IF(S$9&lt;$F15,0,IF($L15&lt;=S$9-1,0,$K15)))</f>
        <v>0</v>
      </c>
      <c r="T15" s="92"/>
      <c r="U15" s="804">
        <f t="shared" ref="U15:Y24" si="8">IF(U$9=$F15,$G15,0)</f>
        <v>0</v>
      </c>
      <c r="V15" s="804">
        <f t="shared" si="8"/>
        <v>0</v>
      </c>
      <c r="W15" s="804">
        <f t="shared" si="8"/>
        <v>0</v>
      </c>
      <c r="X15" s="804">
        <f t="shared" si="8"/>
        <v>0</v>
      </c>
      <c r="Y15" s="804">
        <f t="shared" si="8"/>
        <v>0</v>
      </c>
      <c r="Z15" s="98"/>
      <c r="AA15" s="35"/>
    </row>
    <row r="16" spans="2:27" x14ac:dyDescent="0.2">
      <c r="B16" s="35"/>
      <c r="C16" s="91"/>
      <c r="D16" s="192"/>
      <c r="E16" s="192"/>
      <c r="F16" s="155"/>
      <c r="G16" s="255"/>
      <c r="H16" s="155"/>
      <c r="I16" s="92"/>
      <c r="J16" s="115">
        <f t="shared" ref="J16:J83" si="9">IF(H16="geen",9999999999,H16)</f>
        <v>0</v>
      </c>
      <c r="K16" s="804">
        <f t="shared" si="0"/>
        <v>0</v>
      </c>
      <c r="L16" s="913" t="str">
        <f t="shared" si="1"/>
        <v>-</v>
      </c>
      <c r="M16" s="804">
        <f t="shared" si="2"/>
        <v>0</v>
      </c>
      <c r="N16" s="92"/>
      <c r="O16" s="804">
        <f t="shared" si="3"/>
        <v>0</v>
      </c>
      <c r="P16" s="804">
        <f t="shared" si="4"/>
        <v>0</v>
      </c>
      <c r="Q16" s="804">
        <f t="shared" si="5"/>
        <v>0</v>
      </c>
      <c r="R16" s="804">
        <f t="shared" si="6"/>
        <v>0</v>
      </c>
      <c r="S16" s="804">
        <f t="shared" si="7"/>
        <v>0</v>
      </c>
      <c r="T16" s="92"/>
      <c r="U16" s="804">
        <f t="shared" si="8"/>
        <v>0</v>
      </c>
      <c r="V16" s="804">
        <f t="shared" si="8"/>
        <v>0</v>
      </c>
      <c r="W16" s="804">
        <f t="shared" si="8"/>
        <v>0</v>
      </c>
      <c r="X16" s="804">
        <f t="shared" si="8"/>
        <v>0</v>
      </c>
      <c r="Y16" s="804">
        <f t="shared" si="8"/>
        <v>0</v>
      </c>
      <c r="Z16" s="98"/>
      <c r="AA16" s="35"/>
    </row>
    <row r="17" spans="2:27" x14ac:dyDescent="0.2">
      <c r="B17" s="35"/>
      <c r="C17" s="91"/>
      <c r="D17" s="192"/>
      <c r="E17" s="192"/>
      <c r="F17" s="155"/>
      <c r="G17" s="255"/>
      <c r="H17" s="155"/>
      <c r="I17" s="92"/>
      <c r="J17" s="115">
        <f t="shared" si="9"/>
        <v>0</v>
      </c>
      <c r="K17" s="804">
        <f t="shared" si="0"/>
        <v>0</v>
      </c>
      <c r="L17" s="913" t="str">
        <f t="shared" si="1"/>
        <v>-</v>
      </c>
      <c r="M17" s="804">
        <f t="shared" si="2"/>
        <v>0</v>
      </c>
      <c r="N17" s="92"/>
      <c r="O17" s="804">
        <f t="shared" si="3"/>
        <v>0</v>
      </c>
      <c r="P17" s="804">
        <f t="shared" si="4"/>
        <v>0</v>
      </c>
      <c r="Q17" s="804">
        <f t="shared" si="5"/>
        <v>0</v>
      </c>
      <c r="R17" s="804">
        <f t="shared" si="6"/>
        <v>0</v>
      </c>
      <c r="S17" s="804">
        <f t="shared" si="7"/>
        <v>0</v>
      </c>
      <c r="T17" s="92"/>
      <c r="U17" s="804">
        <f t="shared" si="8"/>
        <v>0</v>
      </c>
      <c r="V17" s="804">
        <f t="shared" si="8"/>
        <v>0</v>
      </c>
      <c r="W17" s="804">
        <f t="shared" si="8"/>
        <v>0</v>
      </c>
      <c r="X17" s="804">
        <f t="shared" si="8"/>
        <v>0</v>
      </c>
      <c r="Y17" s="804">
        <f t="shared" si="8"/>
        <v>0</v>
      </c>
      <c r="Z17" s="98"/>
      <c r="AA17" s="35"/>
    </row>
    <row r="18" spans="2:27" x14ac:dyDescent="0.2">
      <c r="B18" s="35"/>
      <c r="C18" s="91"/>
      <c r="D18" s="192"/>
      <c r="E18" s="192"/>
      <c r="F18" s="155"/>
      <c r="G18" s="255"/>
      <c r="H18" s="155"/>
      <c r="I18" s="92"/>
      <c r="J18" s="115">
        <f t="shared" si="9"/>
        <v>0</v>
      </c>
      <c r="K18" s="804">
        <f t="shared" si="0"/>
        <v>0</v>
      </c>
      <c r="L18" s="913" t="str">
        <f t="shared" si="1"/>
        <v>-</v>
      </c>
      <c r="M18" s="804">
        <f t="shared" si="2"/>
        <v>0</v>
      </c>
      <c r="N18" s="92"/>
      <c r="O18" s="804">
        <f t="shared" si="3"/>
        <v>0</v>
      </c>
      <c r="P18" s="804">
        <f t="shared" si="4"/>
        <v>0</v>
      </c>
      <c r="Q18" s="804">
        <f t="shared" si="5"/>
        <v>0</v>
      </c>
      <c r="R18" s="804">
        <f t="shared" si="6"/>
        <v>0</v>
      </c>
      <c r="S18" s="804">
        <f t="shared" si="7"/>
        <v>0</v>
      </c>
      <c r="T18" s="92"/>
      <c r="U18" s="804">
        <f t="shared" si="8"/>
        <v>0</v>
      </c>
      <c r="V18" s="804">
        <f t="shared" si="8"/>
        <v>0</v>
      </c>
      <c r="W18" s="804">
        <f t="shared" si="8"/>
        <v>0</v>
      </c>
      <c r="X18" s="804">
        <f t="shared" si="8"/>
        <v>0</v>
      </c>
      <c r="Y18" s="804">
        <f t="shared" si="8"/>
        <v>0</v>
      </c>
      <c r="Z18" s="98"/>
      <c r="AA18" s="35"/>
    </row>
    <row r="19" spans="2:27" x14ac:dyDescent="0.2">
      <c r="B19" s="35"/>
      <c r="C19" s="91"/>
      <c r="D19" s="192"/>
      <c r="E19" s="192"/>
      <c r="F19" s="155"/>
      <c r="G19" s="255"/>
      <c r="H19" s="155"/>
      <c r="I19" s="92"/>
      <c r="J19" s="115">
        <f t="shared" si="9"/>
        <v>0</v>
      </c>
      <c r="K19" s="804">
        <f t="shared" si="0"/>
        <v>0</v>
      </c>
      <c r="L19" s="913" t="str">
        <f t="shared" si="1"/>
        <v>-</v>
      </c>
      <c r="M19" s="804">
        <f t="shared" si="2"/>
        <v>0</v>
      </c>
      <c r="N19" s="92"/>
      <c r="O19" s="804">
        <f t="shared" si="3"/>
        <v>0</v>
      </c>
      <c r="P19" s="804">
        <f t="shared" si="4"/>
        <v>0</v>
      </c>
      <c r="Q19" s="804">
        <f t="shared" si="5"/>
        <v>0</v>
      </c>
      <c r="R19" s="804">
        <f t="shared" si="6"/>
        <v>0</v>
      </c>
      <c r="S19" s="804">
        <f t="shared" si="7"/>
        <v>0</v>
      </c>
      <c r="T19" s="92"/>
      <c r="U19" s="804">
        <f t="shared" si="8"/>
        <v>0</v>
      </c>
      <c r="V19" s="804">
        <f t="shared" si="8"/>
        <v>0</v>
      </c>
      <c r="W19" s="804">
        <f t="shared" si="8"/>
        <v>0</v>
      </c>
      <c r="X19" s="804">
        <f t="shared" si="8"/>
        <v>0</v>
      </c>
      <c r="Y19" s="804">
        <f t="shared" si="8"/>
        <v>0</v>
      </c>
      <c r="Z19" s="98"/>
      <c r="AA19" s="35"/>
    </row>
    <row r="20" spans="2:27" x14ac:dyDescent="0.2">
      <c r="B20" s="35"/>
      <c r="C20" s="91"/>
      <c r="D20" s="192"/>
      <c r="E20" s="192"/>
      <c r="F20" s="155"/>
      <c r="G20" s="255"/>
      <c r="H20" s="155"/>
      <c r="I20" s="92"/>
      <c r="J20" s="115">
        <f t="shared" si="9"/>
        <v>0</v>
      </c>
      <c r="K20" s="804">
        <f t="shared" si="0"/>
        <v>0</v>
      </c>
      <c r="L20" s="913" t="str">
        <f t="shared" si="1"/>
        <v>-</v>
      </c>
      <c r="M20" s="804">
        <f t="shared" si="2"/>
        <v>0</v>
      </c>
      <c r="N20" s="92"/>
      <c r="O20" s="804">
        <f t="shared" si="3"/>
        <v>0</v>
      </c>
      <c r="P20" s="804">
        <f t="shared" si="4"/>
        <v>0</v>
      </c>
      <c r="Q20" s="804">
        <f t="shared" si="5"/>
        <v>0</v>
      </c>
      <c r="R20" s="804">
        <f t="shared" si="6"/>
        <v>0</v>
      </c>
      <c r="S20" s="804">
        <f t="shared" si="7"/>
        <v>0</v>
      </c>
      <c r="T20" s="92"/>
      <c r="U20" s="804">
        <f t="shared" si="8"/>
        <v>0</v>
      </c>
      <c r="V20" s="804">
        <f t="shared" si="8"/>
        <v>0</v>
      </c>
      <c r="W20" s="804">
        <f t="shared" si="8"/>
        <v>0</v>
      </c>
      <c r="X20" s="804">
        <f t="shared" si="8"/>
        <v>0</v>
      </c>
      <c r="Y20" s="804">
        <f t="shared" si="8"/>
        <v>0</v>
      </c>
      <c r="Z20" s="98"/>
      <c r="AA20" s="35"/>
    </row>
    <row r="21" spans="2:27" x14ac:dyDescent="0.2">
      <c r="B21" s="35"/>
      <c r="C21" s="91"/>
      <c r="D21" s="192"/>
      <c r="E21" s="192"/>
      <c r="F21" s="155"/>
      <c r="G21" s="255"/>
      <c r="H21" s="155"/>
      <c r="I21" s="92"/>
      <c r="J21" s="115">
        <f t="shared" si="9"/>
        <v>0</v>
      </c>
      <c r="K21" s="804">
        <f t="shared" si="0"/>
        <v>0</v>
      </c>
      <c r="L21" s="913" t="str">
        <f t="shared" si="1"/>
        <v>-</v>
      </c>
      <c r="M21" s="804">
        <f t="shared" si="2"/>
        <v>0</v>
      </c>
      <c r="N21" s="92"/>
      <c r="O21" s="804">
        <f t="shared" si="3"/>
        <v>0</v>
      </c>
      <c r="P21" s="804">
        <f t="shared" si="4"/>
        <v>0</v>
      </c>
      <c r="Q21" s="804">
        <f t="shared" si="5"/>
        <v>0</v>
      </c>
      <c r="R21" s="804">
        <f t="shared" si="6"/>
        <v>0</v>
      </c>
      <c r="S21" s="804">
        <f t="shared" si="7"/>
        <v>0</v>
      </c>
      <c r="T21" s="92"/>
      <c r="U21" s="804">
        <f t="shared" si="8"/>
        <v>0</v>
      </c>
      <c r="V21" s="804">
        <f t="shared" si="8"/>
        <v>0</v>
      </c>
      <c r="W21" s="804">
        <f t="shared" si="8"/>
        <v>0</v>
      </c>
      <c r="X21" s="804">
        <f t="shared" si="8"/>
        <v>0</v>
      </c>
      <c r="Y21" s="804">
        <f t="shared" si="8"/>
        <v>0</v>
      </c>
      <c r="Z21" s="98"/>
      <c r="AA21" s="35"/>
    </row>
    <row r="22" spans="2:27" x14ac:dyDescent="0.2">
      <c r="B22" s="35"/>
      <c r="C22" s="91"/>
      <c r="D22" s="192"/>
      <c r="E22" s="192"/>
      <c r="F22" s="155"/>
      <c r="G22" s="255"/>
      <c r="H22" s="155"/>
      <c r="I22" s="92"/>
      <c r="J22" s="115">
        <f t="shared" si="9"/>
        <v>0</v>
      </c>
      <c r="K22" s="804">
        <f t="shared" si="0"/>
        <v>0</v>
      </c>
      <c r="L22" s="913" t="str">
        <f t="shared" si="1"/>
        <v>-</v>
      </c>
      <c r="M22" s="804">
        <f t="shared" si="2"/>
        <v>0</v>
      </c>
      <c r="N22" s="92"/>
      <c r="O22" s="804">
        <f t="shared" si="3"/>
        <v>0</v>
      </c>
      <c r="P22" s="804">
        <f t="shared" si="4"/>
        <v>0</v>
      </c>
      <c r="Q22" s="804">
        <f t="shared" si="5"/>
        <v>0</v>
      </c>
      <c r="R22" s="804">
        <f t="shared" si="6"/>
        <v>0</v>
      </c>
      <c r="S22" s="804">
        <f t="shared" si="7"/>
        <v>0</v>
      </c>
      <c r="T22" s="92"/>
      <c r="U22" s="804">
        <f t="shared" si="8"/>
        <v>0</v>
      </c>
      <c r="V22" s="804">
        <f t="shared" si="8"/>
        <v>0</v>
      </c>
      <c r="W22" s="804">
        <f t="shared" si="8"/>
        <v>0</v>
      </c>
      <c r="X22" s="804">
        <f t="shared" si="8"/>
        <v>0</v>
      </c>
      <c r="Y22" s="804">
        <f t="shared" si="8"/>
        <v>0</v>
      </c>
      <c r="Z22" s="98"/>
      <c r="AA22" s="35"/>
    </row>
    <row r="23" spans="2:27" x14ac:dyDescent="0.2">
      <c r="B23" s="35"/>
      <c r="C23" s="91"/>
      <c r="D23" s="192"/>
      <c r="E23" s="192"/>
      <c r="F23" s="155"/>
      <c r="G23" s="255"/>
      <c r="H23" s="155"/>
      <c r="I23" s="92"/>
      <c r="J23" s="115">
        <f t="shared" si="9"/>
        <v>0</v>
      </c>
      <c r="K23" s="804">
        <f t="shared" si="0"/>
        <v>0</v>
      </c>
      <c r="L23" s="913" t="str">
        <f t="shared" si="1"/>
        <v>-</v>
      </c>
      <c r="M23" s="804">
        <f t="shared" si="2"/>
        <v>0</v>
      </c>
      <c r="N23" s="92"/>
      <c r="O23" s="804">
        <f t="shared" si="3"/>
        <v>0</v>
      </c>
      <c r="P23" s="804">
        <f t="shared" si="4"/>
        <v>0</v>
      </c>
      <c r="Q23" s="804">
        <f t="shared" si="5"/>
        <v>0</v>
      </c>
      <c r="R23" s="804">
        <f t="shared" si="6"/>
        <v>0</v>
      </c>
      <c r="S23" s="804">
        <f t="shared" si="7"/>
        <v>0</v>
      </c>
      <c r="T23" s="92"/>
      <c r="U23" s="804">
        <f t="shared" si="8"/>
        <v>0</v>
      </c>
      <c r="V23" s="804">
        <f t="shared" si="8"/>
        <v>0</v>
      </c>
      <c r="W23" s="804">
        <f t="shared" si="8"/>
        <v>0</v>
      </c>
      <c r="X23" s="804">
        <f t="shared" si="8"/>
        <v>0</v>
      </c>
      <c r="Y23" s="804">
        <f t="shared" si="8"/>
        <v>0</v>
      </c>
      <c r="Z23" s="98"/>
      <c r="AA23" s="35"/>
    </row>
    <row r="24" spans="2:27" x14ac:dyDescent="0.2">
      <c r="B24" s="35"/>
      <c r="C24" s="91"/>
      <c r="D24" s="192"/>
      <c r="E24" s="192"/>
      <c r="F24" s="155"/>
      <c r="G24" s="255"/>
      <c r="H24" s="155"/>
      <c r="I24" s="92"/>
      <c r="J24" s="115">
        <f t="shared" si="9"/>
        <v>0</v>
      </c>
      <c r="K24" s="804">
        <f t="shared" si="0"/>
        <v>0</v>
      </c>
      <c r="L24" s="913" t="str">
        <f t="shared" si="1"/>
        <v>-</v>
      </c>
      <c r="M24" s="804">
        <f t="shared" si="2"/>
        <v>0</v>
      </c>
      <c r="N24" s="92"/>
      <c r="O24" s="804">
        <f t="shared" si="3"/>
        <v>0</v>
      </c>
      <c r="P24" s="804">
        <f t="shared" si="4"/>
        <v>0</v>
      </c>
      <c r="Q24" s="804">
        <f t="shared" si="5"/>
        <v>0</v>
      </c>
      <c r="R24" s="804">
        <f t="shared" si="6"/>
        <v>0</v>
      </c>
      <c r="S24" s="804">
        <f t="shared" si="7"/>
        <v>0</v>
      </c>
      <c r="T24" s="92"/>
      <c r="U24" s="804">
        <f t="shared" si="8"/>
        <v>0</v>
      </c>
      <c r="V24" s="804">
        <f t="shared" si="8"/>
        <v>0</v>
      </c>
      <c r="W24" s="804">
        <f t="shared" si="8"/>
        <v>0</v>
      </c>
      <c r="X24" s="804">
        <f t="shared" si="8"/>
        <v>0</v>
      </c>
      <c r="Y24" s="804">
        <f t="shared" si="8"/>
        <v>0</v>
      </c>
      <c r="Z24" s="98"/>
      <c r="AA24" s="35"/>
    </row>
    <row r="25" spans="2:27" x14ac:dyDescent="0.2">
      <c r="B25" s="35"/>
      <c r="C25" s="91"/>
      <c r="D25" s="192"/>
      <c r="E25" s="192"/>
      <c r="F25" s="155"/>
      <c r="G25" s="255"/>
      <c r="H25" s="155"/>
      <c r="I25" s="92"/>
      <c r="J25" s="115">
        <f t="shared" si="9"/>
        <v>0</v>
      </c>
      <c r="K25" s="804">
        <f t="shared" si="0"/>
        <v>0</v>
      </c>
      <c r="L25" s="913" t="str">
        <f t="shared" si="1"/>
        <v>-</v>
      </c>
      <c r="M25" s="804">
        <f t="shared" si="2"/>
        <v>0</v>
      </c>
      <c r="N25" s="92"/>
      <c r="O25" s="804">
        <f t="shared" si="3"/>
        <v>0</v>
      </c>
      <c r="P25" s="804">
        <f t="shared" si="4"/>
        <v>0</v>
      </c>
      <c r="Q25" s="804">
        <f t="shared" si="5"/>
        <v>0</v>
      </c>
      <c r="R25" s="804">
        <f t="shared" si="6"/>
        <v>0</v>
      </c>
      <c r="S25" s="804">
        <f t="shared" si="7"/>
        <v>0</v>
      </c>
      <c r="T25" s="92"/>
      <c r="U25" s="804">
        <f t="shared" ref="U25:Y34" si="10">IF(U$9=$F25,$G25,0)</f>
        <v>0</v>
      </c>
      <c r="V25" s="804">
        <f t="shared" si="10"/>
        <v>0</v>
      </c>
      <c r="W25" s="804">
        <f t="shared" si="10"/>
        <v>0</v>
      </c>
      <c r="X25" s="804">
        <f t="shared" si="10"/>
        <v>0</v>
      </c>
      <c r="Y25" s="804">
        <f t="shared" si="10"/>
        <v>0</v>
      </c>
      <c r="Z25" s="98"/>
      <c r="AA25" s="35"/>
    </row>
    <row r="26" spans="2:27" x14ac:dyDescent="0.2">
      <c r="B26" s="35"/>
      <c r="C26" s="91"/>
      <c r="D26" s="192"/>
      <c r="E26" s="192"/>
      <c r="F26" s="155"/>
      <c r="G26" s="255"/>
      <c r="H26" s="155"/>
      <c r="I26" s="92"/>
      <c r="J26" s="115">
        <f t="shared" si="9"/>
        <v>0</v>
      </c>
      <c r="K26" s="804">
        <f t="shared" si="0"/>
        <v>0</v>
      </c>
      <c r="L26" s="913" t="str">
        <f t="shared" si="1"/>
        <v>-</v>
      </c>
      <c r="M26" s="804">
        <f t="shared" si="2"/>
        <v>0</v>
      </c>
      <c r="N26" s="92"/>
      <c r="O26" s="804">
        <f t="shared" si="3"/>
        <v>0</v>
      </c>
      <c r="P26" s="804">
        <f t="shared" si="4"/>
        <v>0</v>
      </c>
      <c r="Q26" s="804">
        <f t="shared" si="5"/>
        <v>0</v>
      </c>
      <c r="R26" s="804">
        <f t="shared" si="6"/>
        <v>0</v>
      </c>
      <c r="S26" s="804">
        <f t="shared" si="7"/>
        <v>0</v>
      </c>
      <c r="T26" s="92"/>
      <c r="U26" s="804">
        <f t="shared" si="10"/>
        <v>0</v>
      </c>
      <c r="V26" s="804">
        <f t="shared" si="10"/>
        <v>0</v>
      </c>
      <c r="W26" s="804">
        <f t="shared" si="10"/>
        <v>0</v>
      </c>
      <c r="X26" s="804">
        <f t="shared" si="10"/>
        <v>0</v>
      </c>
      <c r="Y26" s="804">
        <f t="shared" si="10"/>
        <v>0</v>
      </c>
      <c r="Z26" s="98"/>
      <c r="AA26" s="35"/>
    </row>
    <row r="27" spans="2:27" x14ac:dyDescent="0.2">
      <c r="B27" s="35"/>
      <c r="C27" s="91"/>
      <c r="D27" s="192"/>
      <c r="E27" s="192"/>
      <c r="F27" s="155"/>
      <c r="G27" s="255"/>
      <c r="H27" s="155"/>
      <c r="I27" s="92"/>
      <c r="J27" s="115">
        <f t="shared" si="9"/>
        <v>0</v>
      </c>
      <c r="K27" s="804">
        <f t="shared" si="0"/>
        <v>0</v>
      </c>
      <c r="L27" s="913" t="str">
        <f t="shared" si="1"/>
        <v>-</v>
      </c>
      <c r="M27" s="804">
        <f t="shared" si="2"/>
        <v>0</v>
      </c>
      <c r="N27" s="92"/>
      <c r="O27" s="804">
        <f t="shared" si="3"/>
        <v>0</v>
      </c>
      <c r="P27" s="804">
        <f t="shared" si="4"/>
        <v>0</v>
      </c>
      <c r="Q27" s="804">
        <f t="shared" si="5"/>
        <v>0</v>
      </c>
      <c r="R27" s="804">
        <f t="shared" si="6"/>
        <v>0</v>
      </c>
      <c r="S27" s="804">
        <f t="shared" si="7"/>
        <v>0</v>
      </c>
      <c r="T27" s="92"/>
      <c r="U27" s="804">
        <f t="shared" si="10"/>
        <v>0</v>
      </c>
      <c r="V27" s="804">
        <f t="shared" si="10"/>
        <v>0</v>
      </c>
      <c r="W27" s="804">
        <f t="shared" si="10"/>
        <v>0</v>
      </c>
      <c r="X27" s="804">
        <f t="shared" si="10"/>
        <v>0</v>
      </c>
      <c r="Y27" s="804">
        <f t="shared" si="10"/>
        <v>0</v>
      </c>
      <c r="Z27" s="98"/>
      <c r="AA27" s="35"/>
    </row>
    <row r="28" spans="2:27" x14ac:dyDescent="0.2">
      <c r="B28" s="35"/>
      <c r="C28" s="91"/>
      <c r="D28" s="192"/>
      <c r="E28" s="192"/>
      <c r="F28" s="155"/>
      <c r="G28" s="255"/>
      <c r="H28" s="155"/>
      <c r="I28" s="92"/>
      <c r="J28" s="115">
        <f t="shared" si="9"/>
        <v>0</v>
      </c>
      <c r="K28" s="804">
        <f t="shared" si="0"/>
        <v>0</v>
      </c>
      <c r="L28" s="913" t="str">
        <f t="shared" si="1"/>
        <v>-</v>
      </c>
      <c r="M28" s="804">
        <f t="shared" si="2"/>
        <v>0</v>
      </c>
      <c r="N28" s="92"/>
      <c r="O28" s="804">
        <f t="shared" si="3"/>
        <v>0</v>
      </c>
      <c r="P28" s="804">
        <f t="shared" si="4"/>
        <v>0</v>
      </c>
      <c r="Q28" s="804">
        <f t="shared" si="5"/>
        <v>0</v>
      </c>
      <c r="R28" s="804">
        <f t="shared" si="6"/>
        <v>0</v>
      </c>
      <c r="S28" s="804">
        <f t="shared" si="7"/>
        <v>0</v>
      </c>
      <c r="T28" s="92"/>
      <c r="U28" s="804">
        <f t="shared" si="10"/>
        <v>0</v>
      </c>
      <c r="V28" s="804">
        <f t="shared" si="10"/>
        <v>0</v>
      </c>
      <c r="W28" s="804">
        <f t="shared" si="10"/>
        <v>0</v>
      </c>
      <c r="X28" s="804">
        <f t="shared" si="10"/>
        <v>0</v>
      </c>
      <c r="Y28" s="804">
        <f t="shared" si="10"/>
        <v>0</v>
      </c>
      <c r="Z28" s="98"/>
      <c r="AA28" s="35"/>
    </row>
    <row r="29" spans="2:27" x14ac:dyDescent="0.2">
      <c r="B29" s="35"/>
      <c r="C29" s="91"/>
      <c r="D29" s="192"/>
      <c r="E29" s="192"/>
      <c r="F29" s="155"/>
      <c r="G29" s="255"/>
      <c r="H29" s="155"/>
      <c r="I29" s="92"/>
      <c r="J29" s="115">
        <f t="shared" si="9"/>
        <v>0</v>
      </c>
      <c r="K29" s="804">
        <f t="shared" si="0"/>
        <v>0</v>
      </c>
      <c r="L29" s="913" t="str">
        <f t="shared" si="1"/>
        <v>-</v>
      </c>
      <c r="M29" s="804">
        <f t="shared" si="2"/>
        <v>0</v>
      </c>
      <c r="N29" s="92"/>
      <c r="O29" s="804">
        <f t="shared" si="3"/>
        <v>0</v>
      </c>
      <c r="P29" s="804">
        <f t="shared" si="4"/>
        <v>0</v>
      </c>
      <c r="Q29" s="804">
        <f t="shared" si="5"/>
        <v>0</v>
      </c>
      <c r="R29" s="804">
        <f t="shared" si="6"/>
        <v>0</v>
      </c>
      <c r="S29" s="804">
        <f t="shared" si="7"/>
        <v>0</v>
      </c>
      <c r="T29" s="92"/>
      <c r="U29" s="804">
        <f t="shared" si="10"/>
        <v>0</v>
      </c>
      <c r="V29" s="804">
        <f t="shared" si="10"/>
        <v>0</v>
      </c>
      <c r="W29" s="804">
        <f t="shared" si="10"/>
        <v>0</v>
      </c>
      <c r="X29" s="804">
        <f t="shared" si="10"/>
        <v>0</v>
      </c>
      <c r="Y29" s="804">
        <f t="shared" si="10"/>
        <v>0</v>
      </c>
      <c r="Z29" s="98"/>
      <c r="AA29" s="35"/>
    </row>
    <row r="30" spans="2:27" x14ac:dyDescent="0.2">
      <c r="B30" s="35"/>
      <c r="C30" s="91"/>
      <c r="D30" s="192"/>
      <c r="E30" s="192"/>
      <c r="F30" s="155"/>
      <c r="G30" s="255"/>
      <c r="H30" s="155"/>
      <c r="I30" s="92"/>
      <c r="J30" s="115">
        <f t="shared" si="9"/>
        <v>0</v>
      </c>
      <c r="K30" s="804">
        <f t="shared" si="0"/>
        <v>0</v>
      </c>
      <c r="L30" s="913" t="str">
        <f t="shared" si="1"/>
        <v>-</v>
      </c>
      <c r="M30" s="804">
        <f t="shared" si="2"/>
        <v>0</v>
      </c>
      <c r="N30" s="92"/>
      <c r="O30" s="804">
        <f t="shared" si="3"/>
        <v>0</v>
      </c>
      <c r="P30" s="804">
        <f t="shared" si="4"/>
        <v>0</v>
      </c>
      <c r="Q30" s="804">
        <f t="shared" si="5"/>
        <v>0</v>
      </c>
      <c r="R30" s="804">
        <f t="shared" si="6"/>
        <v>0</v>
      </c>
      <c r="S30" s="804">
        <f t="shared" si="7"/>
        <v>0</v>
      </c>
      <c r="T30" s="92"/>
      <c r="U30" s="804">
        <f t="shared" si="10"/>
        <v>0</v>
      </c>
      <c r="V30" s="804">
        <f t="shared" si="10"/>
        <v>0</v>
      </c>
      <c r="W30" s="804">
        <f t="shared" si="10"/>
        <v>0</v>
      </c>
      <c r="X30" s="804">
        <f t="shared" si="10"/>
        <v>0</v>
      </c>
      <c r="Y30" s="804">
        <f t="shared" si="10"/>
        <v>0</v>
      </c>
      <c r="Z30" s="98"/>
      <c r="AA30" s="35"/>
    </row>
    <row r="31" spans="2:27" x14ac:dyDescent="0.2">
      <c r="B31" s="35"/>
      <c r="C31" s="91"/>
      <c r="D31" s="192"/>
      <c r="E31" s="192"/>
      <c r="F31" s="155"/>
      <c r="G31" s="255"/>
      <c r="H31" s="155"/>
      <c r="I31" s="92"/>
      <c r="J31" s="115">
        <f t="shared" si="9"/>
        <v>0</v>
      </c>
      <c r="K31" s="804">
        <f t="shared" si="0"/>
        <v>0</v>
      </c>
      <c r="L31" s="913" t="str">
        <f t="shared" si="1"/>
        <v>-</v>
      </c>
      <c r="M31" s="804">
        <f t="shared" si="2"/>
        <v>0</v>
      </c>
      <c r="N31" s="92"/>
      <c r="O31" s="804">
        <f t="shared" si="3"/>
        <v>0</v>
      </c>
      <c r="P31" s="804">
        <f t="shared" si="4"/>
        <v>0</v>
      </c>
      <c r="Q31" s="804">
        <f t="shared" si="5"/>
        <v>0</v>
      </c>
      <c r="R31" s="804">
        <f t="shared" si="6"/>
        <v>0</v>
      </c>
      <c r="S31" s="804">
        <f t="shared" si="7"/>
        <v>0</v>
      </c>
      <c r="T31" s="92"/>
      <c r="U31" s="804">
        <f t="shared" si="10"/>
        <v>0</v>
      </c>
      <c r="V31" s="804">
        <f t="shared" si="10"/>
        <v>0</v>
      </c>
      <c r="W31" s="804">
        <f t="shared" si="10"/>
        <v>0</v>
      </c>
      <c r="X31" s="804">
        <f t="shared" si="10"/>
        <v>0</v>
      </c>
      <c r="Y31" s="804">
        <f t="shared" si="10"/>
        <v>0</v>
      </c>
      <c r="Z31" s="98"/>
      <c r="AA31" s="35"/>
    </row>
    <row r="32" spans="2:27" x14ac:dyDescent="0.2">
      <c r="B32" s="35"/>
      <c r="C32" s="91"/>
      <c r="D32" s="192"/>
      <c r="E32" s="192"/>
      <c r="F32" s="155"/>
      <c r="G32" s="255"/>
      <c r="H32" s="155"/>
      <c r="I32" s="92"/>
      <c r="J32" s="115">
        <f t="shared" si="9"/>
        <v>0</v>
      </c>
      <c r="K32" s="804">
        <f t="shared" si="0"/>
        <v>0</v>
      </c>
      <c r="L32" s="913" t="str">
        <f t="shared" si="1"/>
        <v>-</v>
      </c>
      <c r="M32" s="804">
        <f t="shared" si="2"/>
        <v>0</v>
      </c>
      <c r="N32" s="92"/>
      <c r="O32" s="804">
        <f t="shared" si="3"/>
        <v>0</v>
      </c>
      <c r="P32" s="804">
        <f t="shared" si="4"/>
        <v>0</v>
      </c>
      <c r="Q32" s="804">
        <f t="shared" si="5"/>
        <v>0</v>
      </c>
      <c r="R32" s="804">
        <f t="shared" si="6"/>
        <v>0</v>
      </c>
      <c r="S32" s="804">
        <f t="shared" si="7"/>
        <v>0</v>
      </c>
      <c r="T32" s="92"/>
      <c r="U32" s="804">
        <f t="shared" si="10"/>
        <v>0</v>
      </c>
      <c r="V32" s="804">
        <f t="shared" si="10"/>
        <v>0</v>
      </c>
      <c r="W32" s="804">
        <f t="shared" si="10"/>
        <v>0</v>
      </c>
      <c r="X32" s="804">
        <f t="shared" si="10"/>
        <v>0</v>
      </c>
      <c r="Y32" s="804">
        <f t="shared" si="10"/>
        <v>0</v>
      </c>
      <c r="Z32" s="98"/>
      <c r="AA32" s="35"/>
    </row>
    <row r="33" spans="2:27" x14ac:dyDescent="0.2">
      <c r="B33" s="35"/>
      <c r="C33" s="91"/>
      <c r="D33" s="192"/>
      <c r="E33" s="192"/>
      <c r="F33" s="155"/>
      <c r="G33" s="255"/>
      <c r="H33" s="155"/>
      <c r="I33" s="92"/>
      <c r="J33" s="115">
        <f t="shared" si="9"/>
        <v>0</v>
      </c>
      <c r="K33" s="804">
        <f t="shared" si="0"/>
        <v>0</v>
      </c>
      <c r="L33" s="913" t="str">
        <f t="shared" si="1"/>
        <v>-</v>
      </c>
      <c r="M33" s="804">
        <f t="shared" si="2"/>
        <v>0</v>
      </c>
      <c r="N33" s="92"/>
      <c r="O33" s="804">
        <f t="shared" si="3"/>
        <v>0</v>
      </c>
      <c r="P33" s="804">
        <f t="shared" si="4"/>
        <v>0</v>
      </c>
      <c r="Q33" s="804">
        <f t="shared" si="5"/>
        <v>0</v>
      </c>
      <c r="R33" s="804">
        <f t="shared" si="6"/>
        <v>0</v>
      </c>
      <c r="S33" s="804">
        <f t="shared" si="7"/>
        <v>0</v>
      </c>
      <c r="T33" s="92"/>
      <c r="U33" s="804">
        <f t="shared" si="10"/>
        <v>0</v>
      </c>
      <c r="V33" s="804">
        <f t="shared" si="10"/>
        <v>0</v>
      </c>
      <c r="W33" s="804">
        <f t="shared" si="10"/>
        <v>0</v>
      </c>
      <c r="X33" s="804">
        <f t="shared" si="10"/>
        <v>0</v>
      </c>
      <c r="Y33" s="804">
        <f t="shared" si="10"/>
        <v>0</v>
      </c>
      <c r="Z33" s="98"/>
      <c r="AA33" s="35"/>
    </row>
    <row r="34" spans="2:27" x14ac:dyDescent="0.2">
      <c r="B34" s="35"/>
      <c r="C34" s="91"/>
      <c r="D34" s="192"/>
      <c r="E34" s="192"/>
      <c r="F34" s="155"/>
      <c r="G34" s="255"/>
      <c r="H34" s="155"/>
      <c r="I34" s="92"/>
      <c r="J34" s="115">
        <f t="shared" si="9"/>
        <v>0</v>
      </c>
      <c r="K34" s="804">
        <f t="shared" si="0"/>
        <v>0</v>
      </c>
      <c r="L34" s="913" t="str">
        <f t="shared" si="1"/>
        <v>-</v>
      </c>
      <c r="M34" s="804">
        <f t="shared" si="2"/>
        <v>0</v>
      </c>
      <c r="N34" s="92"/>
      <c r="O34" s="804">
        <f t="shared" si="3"/>
        <v>0</v>
      </c>
      <c r="P34" s="804">
        <f t="shared" si="4"/>
        <v>0</v>
      </c>
      <c r="Q34" s="804">
        <f t="shared" si="5"/>
        <v>0</v>
      </c>
      <c r="R34" s="804">
        <f t="shared" si="6"/>
        <v>0</v>
      </c>
      <c r="S34" s="804">
        <f t="shared" si="7"/>
        <v>0</v>
      </c>
      <c r="T34" s="92"/>
      <c r="U34" s="804">
        <f t="shared" si="10"/>
        <v>0</v>
      </c>
      <c r="V34" s="804">
        <f t="shared" si="10"/>
        <v>0</v>
      </c>
      <c r="W34" s="804">
        <f t="shared" si="10"/>
        <v>0</v>
      </c>
      <c r="X34" s="804">
        <f t="shared" si="10"/>
        <v>0</v>
      </c>
      <c r="Y34" s="804">
        <f t="shared" si="10"/>
        <v>0</v>
      </c>
      <c r="Z34" s="98"/>
      <c r="AA34" s="35"/>
    </row>
    <row r="35" spans="2:27" x14ac:dyDescent="0.2">
      <c r="B35" s="35"/>
      <c r="C35" s="91"/>
      <c r="D35" s="192"/>
      <c r="E35" s="192"/>
      <c r="F35" s="155"/>
      <c r="G35" s="255"/>
      <c r="H35" s="155"/>
      <c r="I35" s="92"/>
      <c r="J35" s="115">
        <f t="shared" si="9"/>
        <v>0</v>
      </c>
      <c r="K35" s="804">
        <f t="shared" si="0"/>
        <v>0</v>
      </c>
      <c r="L35" s="913" t="str">
        <f t="shared" si="1"/>
        <v>-</v>
      </c>
      <c r="M35" s="804">
        <f t="shared" si="2"/>
        <v>0</v>
      </c>
      <c r="N35" s="92"/>
      <c r="O35" s="804">
        <f t="shared" si="3"/>
        <v>0</v>
      </c>
      <c r="P35" s="804">
        <f t="shared" si="4"/>
        <v>0</v>
      </c>
      <c r="Q35" s="804">
        <f t="shared" si="5"/>
        <v>0</v>
      </c>
      <c r="R35" s="804">
        <f t="shared" si="6"/>
        <v>0</v>
      </c>
      <c r="S35" s="804">
        <f t="shared" si="7"/>
        <v>0</v>
      </c>
      <c r="T35" s="92"/>
      <c r="U35" s="804">
        <f t="shared" ref="U35:Y44" si="11">IF(U$9=$F35,$G35,0)</f>
        <v>0</v>
      </c>
      <c r="V35" s="804">
        <f t="shared" si="11"/>
        <v>0</v>
      </c>
      <c r="W35" s="804">
        <f t="shared" si="11"/>
        <v>0</v>
      </c>
      <c r="X35" s="804">
        <f t="shared" si="11"/>
        <v>0</v>
      </c>
      <c r="Y35" s="804">
        <f t="shared" si="11"/>
        <v>0</v>
      </c>
      <c r="Z35" s="98"/>
      <c r="AA35" s="35"/>
    </row>
    <row r="36" spans="2:27" x14ac:dyDescent="0.2">
      <c r="B36" s="35"/>
      <c r="C36" s="91"/>
      <c r="D36" s="192"/>
      <c r="E36" s="192"/>
      <c r="F36" s="155"/>
      <c r="G36" s="255"/>
      <c r="H36" s="155"/>
      <c r="I36" s="92"/>
      <c r="J36" s="115">
        <f t="shared" si="9"/>
        <v>0</v>
      </c>
      <c r="K36" s="804">
        <f t="shared" si="0"/>
        <v>0</v>
      </c>
      <c r="L36" s="913" t="str">
        <f t="shared" si="1"/>
        <v>-</v>
      </c>
      <c r="M36" s="804">
        <f t="shared" si="2"/>
        <v>0</v>
      </c>
      <c r="N36" s="92"/>
      <c r="O36" s="804">
        <f t="shared" si="3"/>
        <v>0</v>
      </c>
      <c r="P36" s="804">
        <f t="shared" si="4"/>
        <v>0</v>
      </c>
      <c r="Q36" s="804">
        <f t="shared" si="5"/>
        <v>0</v>
      </c>
      <c r="R36" s="804">
        <f t="shared" si="6"/>
        <v>0</v>
      </c>
      <c r="S36" s="804">
        <f t="shared" si="7"/>
        <v>0</v>
      </c>
      <c r="T36" s="92"/>
      <c r="U36" s="804">
        <f t="shared" si="11"/>
        <v>0</v>
      </c>
      <c r="V36" s="804">
        <f t="shared" si="11"/>
        <v>0</v>
      </c>
      <c r="W36" s="804">
        <f t="shared" si="11"/>
        <v>0</v>
      </c>
      <c r="X36" s="804">
        <f t="shared" si="11"/>
        <v>0</v>
      </c>
      <c r="Y36" s="804">
        <f t="shared" si="11"/>
        <v>0</v>
      </c>
      <c r="Z36" s="98"/>
      <c r="AA36" s="35"/>
    </row>
    <row r="37" spans="2:27" x14ac:dyDescent="0.2">
      <c r="B37" s="35"/>
      <c r="C37" s="91"/>
      <c r="D37" s="192"/>
      <c r="E37" s="192"/>
      <c r="F37" s="155"/>
      <c r="G37" s="255"/>
      <c r="H37" s="155"/>
      <c r="I37" s="92"/>
      <c r="J37" s="115">
        <f t="shared" si="9"/>
        <v>0</v>
      </c>
      <c r="K37" s="804">
        <f t="shared" si="0"/>
        <v>0</v>
      </c>
      <c r="L37" s="913" t="str">
        <f t="shared" si="1"/>
        <v>-</v>
      </c>
      <c r="M37" s="804">
        <f t="shared" si="2"/>
        <v>0</v>
      </c>
      <c r="N37" s="92"/>
      <c r="O37" s="804">
        <f t="shared" si="3"/>
        <v>0</v>
      </c>
      <c r="P37" s="804">
        <f t="shared" si="4"/>
        <v>0</v>
      </c>
      <c r="Q37" s="804">
        <f t="shared" si="5"/>
        <v>0</v>
      </c>
      <c r="R37" s="804">
        <f t="shared" si="6"/>
        <v>0</v>
      </c>
      <c r="S37" s="804">
        <f t="shared" si="7"/>
        <v>0</v>
      </c>
      <c r="T37" s="92"/>
      <c r="U37" s="804">
        <f t="shared" si="11"/>
        <v>0</v>
      </c>
      <c r="V37" s="804">
        <f t="shared" si="11"/>
        <v>0</v>
      </c>
      <c r="W37" s="804">
        <f t="shared" si="11"/>
        <v>0</v>
      </c>
      <c r="X37" s="804">
        <f t="shared" si="11"/>
        <v>0</v>
      </c>
      <c r="Y37" s="804">
        <f t="shared" si="11"/>
        <v>0</v>
      </c>
      <c r="Z37" s="98"/>
      <c r="AA37" s="35"/>
    </row>
    <row r="38" spans="2:27" x14ac:dyDescent="0.2">
      <c r="B38" s="35"/>
      <c r="C38" s="91"/>
      <c r="D38" s="192"/>
      <c r="E38" s="192"/>
      <c r="F38" s="155"/>
      <c r="G38" s="255"/>
      <c r="H38" s="155"/>
      <c r="I38" s="92"/>
      <c r="J38" s="115">
        <f t="shared" si="9"/>
        <v>0</v>
      </c>
      <c r="K38" s="804">
        <f t="shared" si="0"/>
        <v>0</v>
      </c>
      <c r="L38" s="913" t="str">
        <f t="shared" si="1"/>
        <v>-</v>
      </c>
      <c r="M38" s="804">
        <f t="shared" si="2"/>
        <v>0</v>
      </c>
      <c r="N38" s="92"/>
      <c r="O38" s="804">
        <f t="shared" si="3"/>
        <v>0</v>
      </c>
      <c r="P38" s="804">
        <f t="shared" si="4"/>
        <v>0</v>
      </c>
      <c r="Q38" s="804">
        <f t="shared" si="5"/>
        <v>0</v>
      </c>
      <c r="R38" s="804">
        <f t="shared" si="6"/>
        <v>0</v>
      </c>
      <c r="S38" s="804">
        <f t="shared" si="7"/>
        <v>0</v>
      </c>
      <c r="T38" s="92"/>
      <c r="U38" s="804">
        <f t="shared" si="11"/>
        <v>0</v>
      </c>
      <c r="V38" s="804">
        <f t="shared" si="11"/>
        <v>0</v>
      </c>
      <c r="W38" s="804">
        <f t="shared" si="11"/>
        <v>0</v>
      </c>
      <c r="X38" s="804">
        <f t="shared" si="11"/>
        <v>0</v>
      </c>
      <c r="Y38" s="804">
        <f t="shared" si="11"/>
        <v>0</v>
      </c>
      <c r="Z38" s="98"/>
      <c r="AA38" s="35"/>
    </row>
    <row r="39" spans="2:27" x14ac:dyDescent="0.2">
      <c r="B39" s="35"/>
      <c r="C39" s="91"/>
      <c r="D39" s="192"/>
      <c r="E39" s="192"/>
      <c r="F39" s="155"/>
      <c r="G39" s="255"/>
      <c r="H39" s="155"/>
      <c r="I39" s="92"/>
      <c r="J39" s="115">
        <f t="shared" si="9"/>
        <v>0</v>
      </c>
      <c r="K39" s="804">
        <f t="shared" si="0"/>
        <v>0</v>
      </c>
      <c r="L39" s="913" t="str">
        <f t="shared" si="1"/>
        <v>-</v>
      </c>
      <c r="M39" s="804">
        <f t="shared" si="2"/>
        <v>0</v>
      </c>
      <c r="N39" s="92"/>
      <c r="O39" s="804">
        <f t="shared" si="3"/>
        <v>0</v>
      </c>
      <c r="P39" s="804">
        <f t="shared" si="4"/>
        <v>0</v>
      </c>
      <c r="Q39" s="804">
        <f t="shared" si="5"/>
        <v>0</v>
      </c>
      <c r="R39" s="804">
        <f t="shared" si="6"/>
        <v>0</v>
      </c>
      <c r="S39" s="804">
        <f t="shared" si="7"/>
        <v>0</v>
      </c>
      <c r="T39" s="92"/>
      <c r="U39" s="804">
        <f t="shared" si="11"/>
        <v>0</v>
      </c>
      <c r="V39" s="804">
        <f t="shared" si="11"/>
        <v>0</v>
      </c>
      <c r="W39" s="804">
        <f t="shared" si="11"/>
        <v>0</v>
      </c>
      <c r="X39" s="804">
        <f t="shared" si="11"/>
        <v>0</v>
      </c>
      <c r="Y39" s="804">
        <f t="shared" si="11"/>
        <v>0</v>
      </c>
      <c r="Z39" s="98"/>
      <c r="AA39" s="35"/>
    </row>
    <row r="40" spans="2:27" x14ac:dyDescent="0.2">
      <c r="B40" s="35"/>
      <c r="C40" s="91"/>
      <c r="D40" s="192"/>
      <c r="E40" s="192"/>
      <c r="F40" s="155"/>
      <c r="G40" s="255"/>
      <c r="H40" s="155"/>
      <c r="I40" s="92"/>
      <c r="J40" s="115">
        <f t="shared" si="9"/>
        <v>0</v>
      </c>
      <c r="K40" s="804">
        <f t="shared" si="0"/>
        <v>0</v>
      </c>
      <c r="L40" s="913" t="str">
        <f t="shared" si="1"/>
        <v>-</v>
      </c>
      <c r="M40" s="804">
        <f t="shared" si="2"/>
        <v>0</v>
      </c>
      <c r="N40" s="92"/>
      <c r="O40" s="804">
        <f t="shared" si="3"/>
        <v>0</v>
      </c>
      <c r="P40" s="804">
        <f t="shared" si="4"/>
        <v>0</v>
      </c>
      <c r="Q40" s="804">
        <f t="shared" si="5"/>
        <v>0</v>
      </c>
      <c r="R40" s="804">
        <f t="shared" si="6"/>
        <v>0</v>
      </c>
      <c r="S40" s="804">
        <f t="shared" si="7"/>
        <v>0</v>
      </c>
      <c r="T40" s="92"/>
      <c r="U40" s="804">
        <f t="shared" si="11"/>
        <v>0</v>
      </c>
      <c r="V40" s="804">
        <f t="shared" si="11"/>
        <v>0</v>
      </c>
      <c r="W40" s="804">
        <f t="shared" si="11"/>
        <v>0</v>
      </c>
      <c r="X40" s="804">
        <f t="shared" si="11"/>
        <v>0</v>
      </c>
      <c r="Y40" s="804">
        <f t="shared" si="11"/>
        <v>0</v>
      </c>
      <c r="Z40" s="98"/>
      <c r="AA40" s="35"/>
    </row>
    <row r="41" spans="2:27" x14ac:dyDescent="0.2">
      <c r="B41" s="35"/>
      <c r="C41" s="91"/>
      <c r="D41" s="192"/>
      <c r="E41" s="192"/>
      <c r="F41" s="155"/>
      <c r="G41" s="255"/>
      <c r="H41" s="155"/>
      <c r="I41" s="92"/>
      <c r="J41" s="115">
        <f t="shared" si="9"/>
        <v>0</v>
      </c>
      <c r="K41" s="804">
        <f t="shared" si="0"/>
        <v>0</v>
      </c>
      <c r="L41" s="913" t="str">
        <f t="shared" si="1"/>
        <v>-</v>
      </c>
      <c r="M41" s="804">
        <f t="shared" si="2"/>
        <v>0</v>
      </c>
      <c r="N41" s="92"/>
      <c r="O41" s="804">
        <f t="shared" si="3"/>
        <v>0</v>
      </c>
      <c r="P41" s="804">
        <f t="shared" si="4"/>
        <v>0</v>
      </c>
      <c r="Q41" s="804">
        <f t="shared" si="5"/>
        <v>0</v>
      </c>
      <c r="R41" s="804">
        <f t="shared" si="6"/>
        <v>0</v>
      </c>
      <c r="S41" s="804">
        <f t="shared" si="7"/>
        <v>0</v>
      </c>
      <c r="T41" s="92"/>
      <c r="U41" s="804">
        <f t="shared" si="11"/>
        <v>0</v>
      </c>
      <c r="V41" s="804">
        <f t="shared" si="11"/>
        <v>0</v>
      </c>
      <c r="W41" s="804">
        <f t="shared" si="11"/>
        <v>0</v>
      </c>
      <c r="X41" s="804">
        <f t="shared" si="11"/>
        <v>0</v>
      </c>
      <c r="Y41" s="804">
        <f t="shared" si="11"/>
        <v>0</v>
      </c>
      <c r="Z41" s="98"/>
      <c r="AA41" s="35"/>
    </row>
    <row r="42" spans="2:27" x14ac:dyDescent="0.2">
      <c r="B42" s="35"/>
      <c r="C42" s="91"/>
      <c r="D42" s="192"/>
      <c r="E42" s="192"/>
      <c r="F42" s="155"/>
      <c r="G42" s="255"/>
      <c r="H42" s="155"/>
      <c r="I42" s="92"/>
      <c r="J42" s="115">
        <f t="shared" si="9"/>
        <v>0</v>
      </c>
      <c r="K42" s="804">
        <f t="shared" si="0"/>
        <v>0</v>
      </c>
      <c r="L42" s="913" t="str">
        <f t="shared" si="1"/>
        <v>-</v>
      </c>
      <c r="M42" s="804">
        <f t="shared" si="2"/>
        <v>0</v>
      </c>
      <c r="N42" s="92"/>
      <c r="O42" s="804">
        <f t="shared" si="3"/>
        <v>0</v>
      </c>
      <c r="P42" s="804">
        <f t="shared" si="4"/>
        <v>0</v>
      </c>
      <c r="Q42" s="804">
        <f t="shared" si="5"/>
        <v>0</v>
      </c>
      <c r="R42" s="804">
        <f t="shared" si="6"/>
        <v>0</v>
      </c>
      <c r="S42" s="804">
        <f t="shared" si="7"/>
        <v>0</v>
      </c>
      <c r="T42" s="92"/>
      <c r="U42" s="804">
        <f t="shared" si="11"/>
        <v>0</v>
      </c>
      <c r="V42" s="804">
        <f t="shared" si="11"/>
        <v>0</v>
      </c>
      <c r="W42" s="804">
        <f t="shared" si="11"/>
        <v>0</v>
      </c>
      <c r="X42" s="804">
        <f t="shared" si="11"/>
        <v>0</v>
      </c>
      <c r="Y42" s="804">
        <f t="shared" si="11"/>
        <v>0</v>
      </c>
      <c r="Z42" s="98"/>
      <c r="AA42" s="35"/>
    </row>
    <row r="43" spans="2:27" x14ac:dyDescent="0.2">
      <c r="B43" s="35"/>
      <c r="C43" s="91"/>
      <c r="D43" s="192"/>
      <c r="E43" s="192"/>
      <c r="F43" s="155"/>
      <c r="G43" s="255"/>
      <c r="H43" s="155"/>
      <c r="I43" s="92"/>
      <c r="J43" s="115">
        <f t="shared" si="9"/>
        <v>0</v>
      </c>
      <c r="K43" s="804">
        <f t="shared" si="0"/>
        <v>0</v>
      </c>
      <c r="L43" s="913" t="str">
        <f t="shared" si="1"/>
        <v>-</v>
      </c>
      <c r="M43" s="804">
        <f t="shared" si="2"/>
        <v>0</v>
      </c>
      <c r="N43" s="92"/>
      <c r="O43" s="804">
        <f t="shared" si="3"/>
        <v>0</v>
      </c>
      <c r="P43" s="804">
        <f t="shared" si="4"/>
        <v>0</v>
      </c>
      <c r="Q43" s="804">
        <f t="shared" si="5"/>
        <v>0</v>
      </c>
      <c r="R43" s="804">
        <f t="shared" si="6"/>
        <v>0</v>
      </c>
      <c r="S43" s="804">
        <f t="shared" si="7"/>
        <v>0</v>
      </c>
      <c r="T43" s="92"/>
      <c r="U43" s="804">
        <f t="shared" si="11"/>
        <v>0</v>
      </c>
      <c r="V43" s="804">
        <f t="shared" si="11"/>
        <v>0</v>
      </c>
      <c r="W43" s="804">
        <f t="shared" si="11"/>
        <v>0</v>
      </c>
      <c r="X43" s="804">
        <f t="shared" si="11"/>
        <v>0</v>
      </c>
      <c r="Y43" s="804">
        <f t="shared" si="11"/>
        <v>0</v>
      </c>
      <c r="Z43" s="98"/>
      <c r="AA43" s="35"/>
    </row>
    <row r="44" spans="2:27" x14ac:dyDescent="0.2">
      <c r="B44" s="35"/>
      <c r="C44" s="91"/>
      <c r="D44" s="192"/>
      <c r="E44" s="192"/>
      <c r="F44" s="155"/>
      <c r="G44" s="255"/>
      <c r="H44" s="155"/>
      <c r="I44" s="92"/>
      <c r="J44" s="115">
        <f t="shared" si="9"/>
        <v>0</v>
      </c>
      <c r="K44" s="804">
        <f t="shared" si="0"/>
        <v>0</v>
      </c>
      <c r="L44" s="913" t="str">
        <f t="shared" si="1"/>
        <v>-</v>
      </c>
      <c r="M44" s="804">
        <f t="shared" si="2"/>
        <v>0</v>
      </c>
      <c r="N44" s="92"/>
      <c r="O44" s="804">
        <f t="shared" si="3"/>
        <v>0</v>
      </c>
      <c r="P44" s="804">
        <f t="shared" si="4"/>
        <v>0</v>
      </c>
      <c r="Q44" s="804">
        <f t="shared" si="5"/>
        <v>0</v>
      </c>
      <c r="R44" s="804">
        <f t="shared" si="6"/>
        <v>0</v>
      </c>
      <c r="S44" s="804">
        <f t="shared" si="7"/>
        <v>0</v>
      </c>
      <c r="T44" s="92"/>
      <c r="U44" s="804">
        <f t="shared" si="11"/>
        <v>0</v>
      </c>
      <c r="V44" s="804">
        <f t="shared" si="11"/>
        <v>0</v>
      </c>
      <c r="W44" s="804">
        <f t="shared" si="11"/>
        <v>0</v>
      </c>
      <c r="X44" s="804">
        <f t="shared" si="11"/>
        <v>0</v>
      </c>
      <c r="Y44" s="804">
        <f t="shared" si="11"/>
        <v>0</v>
      </c>
      <c r="Z44" s="98"/>
      <c r="AA44" s="35"/>
    </row>
    <row r="45" spans="2:27" x14ac:dyDescent="0.2">
      <c r="B45" s="35"/>
      <c r="C45" s="91"/>
      <c r="D45" s="192"/>
      <c r="E45" s="192"/>
      <c r="F45" s="155"/>
      <c r="G45" s="255"/>
      <c r="H45" s="155"/>
      <c r="I45" s="92"/>
      <c r="J45" s="115">
        <f t="shared" si="9"/>
        <v>0</v>
      </c>
      <c r="K45" s="804">
        <f t="shared" si="0"/>
        <v>0</v>
      </c>
      <c r="L45" s="913" t="str">
        <f t="shared" si="1"/>
        <v>-</v>
      </c>
      <c r="M45" s="804">
        <f t="shared" si="2"/>
        <v>0</v>
      </c>
      <c r="N45" s="92"/>
      <c r="O45" s="804">
        <f t="shared" si="3"/>
        <v>0</v>
      </c>
      <c r="P45" s="804">
        <f t="shared" si="4"/>
        <v>0</v>
      </c>
      <c r="Q45" s="804">
        <f t="shared" si="5"/>
        <v>0</v>
      </c>
      <c r="R45" s="804">
        <f t="shared" si="6"/>
        <v>0</v>
      </c>
      <c r="S45" s="804">
        <f t="shared" si="7"/>
        <v>0</v>
      </c>
      <c r="T45" s="92"/>
      <c r="U45" s="804">
        <f t="shared" ref="U45:Y54" si="12">IF(U$9=$F45,$G45,0)</f>
        <v>0</v>
      </c>
      <c r="V45" s="804">
        <f t="shared" si="12"/>
        <v>0</v>
      </c>
      <c r="W45" s="804">
        <f t="shared" si="12"/>
        <v>0</v>
      </c>
      <c r="X45" s="804">
        <f t="shared" si="12"/>
        <v>0</v>
      </c>
      <c r="Y45" s="804">
        <f t="shared" si="12"/>
        <v>0</v>
      </c>
      <c r="Z45" s="98"/>
      <c r="AA45" s="35"/>
    </row>
    <row r="46" spans="2:27" x14ac:dyDescent="0.2">
      <c r="B46" s="35"/>
      <c r="C46" s="91"/>
      <c r="D46" s="192"/>
      <c r="E46" s="192"/>
      <c r="F46" s="155"/>
      <c r="G46" s="255"/>
      <c r="H46" s="155"/>
      <c r="I46" s="92"/>
      <c r="J46" s="115">
        <f t="shared" si="9"/>
        <v>0</v>
      </c>
      <c r="K46" s="804">
        <f t="shared" si="0"/>
        <v>0</v>
      </c>
      <c r="L46" s="913" t="str">
        <f t="shared" si="1"/>
        <v>-</v>
      </c>
      <c r="M46" s="804">
        <f t="shared" si="2"/>
        <v>0</v>
      </c>
      <c r="N46" s="92"/>
      <c r="O46" s="804">
        <f t="shared" si="3"/>
        <v>0</v>
      </c>
      <c r="P46" s="804">
        <f t="shared" si="4"/>
        <v>0</v>
      </c>
      <c r="Q46" s="804">
        <f t="shared" si="5"/>
        <v>0</v>
      </c>
      <c r="R46" s="804">
        <f t="shared" si="6"/>
        <v>0</v>
      </c>
      <c r="S46" s="804">
        <f t="shared" si="7"/>
        <v>0</v>
      </c>
      <c r="T46" s="92"/>
      <c r="U46" s="804">
        <f t="shared" si="12"/>
        <v>0</v>
      </c>
      <c r="V46" s="804">
        <f t="shared" si="12"/>
        <v>0</v>
      </c>
      <c r="W46" s="804">
        <f t="shared" si="12"/>
        <v>0</v>
      </c>
      <c r="X46" s="804">
        <f t="shared" si="12"/>
        <v>0</v>
      </c>
      <c r="Y46" s="804">
        <f t="shared" si="12"/>
        <v>0</v>
      </c>
      <c r="Z46" s="98"/>
      <c r="AA46" s="35"/>
    </row>
    <row r="47" spans="2:27" x14ac:dyDescent="0.2">
      <c r="B47" s="35"/>
      <c r="C47" s="91"/>
      <c r="D47" s="192"/>
      <c r="E47" s="192"/>
      <c r="F47" s="155"/>
      <c r="G47" s="255"/>
      <c r="H47" s="155"/>
      <c r="I47" s="92"/>
      <c r="J47" s="115">
        <f t="shared" si="9"/>
        <v>0</v>
      </c>
      <c r="K47" s="804">
        <f t="shared" ref="K47:K78" si="13">IF(G47=0,0,(G47/J47))</f>
        <v>0</v>
      </c>
      <c r="L47" s="913" t="str">
        <f t="shared" ref="L47:L78" si="14">IF(J47=0,"-",(IF(J47&gt;3000,"-",F47+J47-1)))</f>
        <v>-</v>
      </c>
      <c r="M47" s="804">
        <f t="shared" ref="M47:M78" si="15">IF(H47="geen",IF(F47&lt;$O$9,G47,0),IF(F47&gt;=$O$9,0,IF((G47-($O$9-F47)*K47)&lt;0,0,G47-($O$9-F47)*K47)))</f>
        <v>0</v>
      </c>
      <c r="N47" s="92"/>
      <c r="O47" s="804">
        <f t="shared" ref="O47:O78" si="16">(IF(O$9&lt;$F47,0,IF($L47&lt;=O$9-1,0,$K47)))</f>
        <v>0</v>
      </c>
      <c r="P47" s="804">
        <f t="shared" ref="P47:P78" si="17">(IF(P$9&lt;$F47,0,IF($L47&lt;=P$9-1,0,$K47)))</f>
        <v>0</v>
      </c>
      <c r="Q47" s="804">
        <f t="shared" ref="Q47:Q78" si="18">(IF(Q$9&lt;$F47,0,IF($L47&lt;=Q$9-1,0,$K47)))</f>
        <v>0</v>
      </c>
      <c r="R47" s="804">
        <f t="shared" ref="R47:R78" si="19">(IF(R$9&lt;$F47,0,IF($L47&lt;=R$9-1,0,$K47)))</f>
        <v>0</v>
      </c>
      <c r="S47" s="804">
        <f t="shared" ref="S47:S78" si="20">(IF(S$9&lt;$F47,0,IF($L47&lt;=S$9-1,0,$K47)))</f>
        <v>0</v>
      </c>
      <c r="T47" s="92"/>
      <c r="U47" s="804">
        <f t="shared" si="12"/>
        <v>0</v>
      </c>
      <c r="V47" s="804">
        <f t="shared" si="12"/>
        <v>0</v>
      </c>
      <c r="W47" s="804">
        <f t="shared" si="12"/>
        <v>0</v>
      </c>
      <c r="X47" s="804">
        <f t="shared" si="12"/>
        <v>0</v>
      </c>
      <c r="Y47" s="804">
        <f t="shared" si="12"/>
        <v>0</v>
      </c>
      <c r="Z47" s="98"/>
      <c r="AA47" s="35"/>
    </row>
    <row r="48" spans="2:27" x14ac:dyDescent="0.2">
      <c r="B48" s="35"/>
      <c r="C48" s="91"/>
      <c r="D48" s="192"/>
      <c r="E48" s="192"/>
      <c r="F48" s="155"/>
      <c r="G48" s="255"/>
      <c r="H48" s="155"/>
      <c r="I48" s="92"/>
      <c r="J48" s="115">
        <f t="shared" si="9"/>
        <v>0</v>
      </c>
      <c r="K48" s="804">
        <f t="shared" si="13"/>
        <v>0</v>
      </c>
      <c r="L48" s="913" t="str">
        <f t="shared" si="14"/>
        <v>-</v>
      </c>
      <c r="M48" s="804">
        <f t="shared" si="15"/>
        <v>0</v>
      </c>
      <c r="N48" s="92"/>
      <c r="O48" s="804">
        <f t="shared" si="16"/>
        <v>0</v>
      </c>
      <c r="P48" s="804">
        <f t="shared" si="17"/>
        <v>0</v>
      </c>
      <c r="Q48" s="804">
        <f t="shared" si="18"/>
        <v>0</v>
      </c>
      <c r="R48" s="804">
        <f t="shared" si="19"/>
        <v>0</v>
      </c>
      <c r="S48" s="804">
        <f t="shared" si="20"/>
        <v>0</v>
      </c>
      <c r="T48" s="92"/>
      <c r="U48" s="804">
        <f t="shared" si="12"/>
        <v>0</v>
      </c>
      <c r="V48" s="804">
        <f t="shared" si="12"/>
        <v>0</v>
      </c>
      <c r="W48" s="804">
        <f t="shared" si="12"/>
        <v>0</v>
      </c>
      <c r="X48" s="804">
        <f t="shared" si="12"/>
        <v>0</v>
      </c>
      <c r="Y48" s="804">
        <f t="shared" si="12"/>
        <v>0</v>
      </c>
      <c r="Z48" s="98"/>
      <c r="AA48" s="35"/>
    </row>
    <row r="49" spans="2:27" x14ac:dyDescent="0.2">
      <c r="B49" s="35"/>
      <c r="C49" s="91"/>
      <c r="D49" s="192"/>
      <c r="E49" s="192"/>
      <c r="F49" s="155"/>
      <c r="G49" s="255"/>
      <c r="H49" s="155"/>
      <c r="I49" s="92"/>
      <c r="J49" s="115">
        <f t="shared" si="9"/>
        <v>0</v>
      </c>
      <c r="K49" s="804">
        <f t="shared" si="13"/>
        <v>0</v>
      </c>
      <c r="L49" s="913" t="str">
        <f t="shared" si="14"/>
        <v>-</v>
      </c>
      <c r="M49" s="804">
        <f t="shared" si="15"/>
        <v>0</v>
      </c>
      <c r="N49" s="92"/>
      <c r="O49" s="804">
        <f t="shared" si="16"/>
        <v>0</v>
      </c>
      <c r="P49" s="804">
        <f t="shared" si="17"/>
        <v>0</v>
      </c>
      <c r="Q49" s="804">
        <f t="shared" si="18"/>
        <v>0</v>
      </c>
      <c r="R49" s="804">
        <f t="shared" si="19"/>
        <v>0</v>
      </c>
      <c r="S49" s="804">
        <f t="shared" si="20"/>
        <v>0</v>
      </c>
      <c r="T49" s="92"/>
      <c r="U49" s="804">
        <f t="shared" si="12"/>
        <v>0</v>
      </c>
      <c r="V49" s="804">
        <f t="shared" si="12"/>
        <v>0</v>
      </c>
      <c r="W49" s="804">
        <f t="shared" si="12"/>
        <v>0</v>
      </c>
      <c r="X49" s="804">
        <f t="shared" si="12"/>
        <v>0</v>
      </c>
      <c r="Y49" s="804">
        <f t="shared" si="12"/>
        <v>0</v>
      </c>
      <c r="Z49" s="98"/>
      <c r="AA49" s="35"/>
    </row>
    <row r="50" spans="2:27" x14ac:dyDescent="0.2">
      <c r="B50" s="35"/>
      <c r="C50" s="91"/>
      <c r="D50" s="192"/>
      <c r="E50" s="192"/>
      <c r="F50" s="155"/>
      <c r="G50" s="255"/>
      <c r="H50" s="155"/>
      <c r="I50" s="92"/>
      <c r="J50" s="115">
        <f t="shared" si="9"/>
        <v>0</v>
      </c>
      <c r="K50" s="804">
        <f t="shared" si="13"/>
        <v>0</v>
      </c>
      <c r="L50" s="913" t="str">
        <f t="shared" si="14"/>
        <v>-</v>
      </c>
      <c r="M50" s="804">
        <f t="shared" si="15"/>
        <v>0</v>
      </c>
      <c r="N50" s="92"/>
      <c r="O50" s="804">
        <f t="shared" si="16"/>
        <v>0</v>
      </c>
      <c r="P50" s="804">
        <f t="shared" si="17"/>
        <v>0</v>
      </c>
      <c r="Q50" s="804">
        <f t="shared" si="18"/>
        <v>0</v>
      </c>
      <c r="R50" s="804">
        <f t="shared" si="19"/>
        <v>0</v>
      </c>
      <c r="S50" s="804">
        <f t="shared" si="20"/>
        <v>0</v>
      </c>
      <c r="T50" s="92"/>
      <c r="U50" s="804">
        <f t="shared" si="12"/>
        <v>0</v>
      </c>
      <c r="V50" s="804">
        <f t="shared" si="12"/>
        <v>0</v>
      </c>
      <c r="W50" s="804">
        <f t="shared" si="12"/>
        <v>0</v>
      </c>
      <c r="X50" s="804">
        <f t="shared" si="12"/>
        <v>0</v>
      </c>
      <c r="Y50" s="804">
        <f t="shared" si="12"/>
        <v>0</v>
      </c>
      <c r="Z50" s="98"/>
      <c r="AA50" s="35"/>
    </row>
    <row r="51" spans="2:27" x14ac:dyDescent="0.2">
      <c r="B51" s="35"/>
      <c r="C51" s="91"/>
      <c r="D51" s="192"/>
      <c r="E51" s="192"/>
      <c r="F51" s="155"/>
      <c r="G51" s="255"/>
      <c r="H51" s="155"/>
      <c r="I51" s="92"/>
      <c r="J51" s="115">
        <f t="shared" si="9"/>
        <v>0</v>
      </c>
      <c r="K51" s="804">
        <f t="shared" si="13"/>
        <v>0</v>
      </c>
      <c r="L51" s="913" t="str">
        <f t="shared" si="14"/>
        <v>-</v>
      </c>
      <c r="M51" s="804">
        <f t="shared" si="15"/>
        <v>0</v>
      </c>
      <c r="N51" s="92"/>
      <c r="O51" s="804">
        <f t="shared" si="16"/>
        <v>0</v>
      </c>
      <c r="P51" s="804">
        <f t="shared" si="17"/>
        <v>0</v>
      </c>
      <c r="Q51" s="804">
        <f t="shared" si="18"/>
        <v>0</v>
      </c>
      <c r="R51" s="804">
        <f t="shared" si="19"/>
        <v>0</v>
      </c>
      <c r="S51" s="804">
        <f t="shared" si="20"/>
        <v>0</v>
      </c>
      <c r="T51" s="92"/>
      <c r="U51" s="804">
        <f t="shared" si="12"/>
        <v>0</v>
      </c>
      <c r="V51" s="804">
        <f t="shared" si="12"/>
        <v>0</v>
      </c>
      <c r="W51" s="804">
        <f t="shared" si="12"/>
        <v>0</v>
      </c>
      <c r="X51" s="804">
        <f t="shared" si="12"/>
        <v>0</v>
      </c>
      <c r="Y51" s="804">
        <f t="shared" si="12"/>
        <v>0</v>
      </c>
      <c r="Z51" s="98"/>
      <c r="AA51" s="35"/>
    </row>
    <row r="52" spans="2:27" x14ac:dyDescent="0.2">
      <c r="B52" s="35"/>
      <c r="C52" s="91"/>
      <c r="D52" s="192"/>
      <c r="E52" s="192"/>
      <c r="F52" s="155"/>
      <c r="G52" s="255"/>
      <c r="H52" s="155"/>
      <c r="I52" s="92"/>
      <c r="J52" s="115">
        <f t="shared" si="9"/>
        <v>0</v>
      </c>
      <c r="K52" s="804">
        <f t="shared" si="13"/>
        <v>0</v>
      </c>
      <c r="L52" s="913" t="str">
        <f t="shared" si="14"/>
        <v>-</v>
      </c>
      <c r="M52" s="804">
        <f t="shared" si="15"/>
        <v>0</v>
      </c>
      <c r="N52" s="92"/>
      <c r="O52" s="804">
        <f t="shared" si="16"/>
        <v>0</v>
      </c>
      <c r="P52" s="804">
        <f t="shared" si="17"/>
        <v>0</v>
      </c>
      <c r="Q52" s="804">
        <f t="shared" si="18"/>
        <v>0</v>
      </c>
      <c r="R52" s="804">
        <f t="shared" si="19"/>
        <v>0</v>
      </c>
      <c r="S52" s="804">
        <f t="shared" si="20"/>
        <v>0</v>
      </c>
      <c r="T52" s="92"/>
      <c r="U52" s="804">
        <f t="shared" si="12"/>
        <v>0</v>
      </c>
      <c r="V52" s="804">
        <f t="shared" si="12"/>
        <v>0</v>
      </c>
      <c r="W52" s="804">
        <f t="shared" si="12"/>
        <v>0</v>
      </c>
      <c r="X52" s="804">
        <f t="shared" si="12"/>
        <v>0</v>
      </c>
      <c r="Y52" s="804">
        <f t="shared" si="12"/>
        <v>0</v>
      </c>
      <c r="Z52" s="98"/>
      <c r="AA52" s="35"/>
    </row>
    <row r="53" spans="2:27" x14ac:dyDescent="0.2">
      <c r="B53" s="35"/>
      <c r="C53" s="91"/>
      <c r="D53" s="192"/>
      <c r="E53" s="192"/>
      <c r="F53" s="155"/>
      <c r="G53" s="255"/>
      <c r="H53" s="155"/>
      <c r="I53" s="92"/>
      <c r="J53" s="115">
        <f t="shared" si="9"/>
        <v>0</v>
      </c>
      <c r="K53" s="804">
        <f t="shared" si="13"/>
        <v>0</v>
      </c>
      <c r="L53" s="913" t="str">
        <f t="shared" si="14"/>
        <v>-</v>
      </c>
      <c r="M53" s="804">
        <f t="shared" si="15"/>
        <v>0</v>
      </c>
      <c r="N53" s="92"/>
      <c r="O53" s="804">
        <f t="shared" si="16"/>
        <v>0</v>
      </c>
      <c r="P53" s="804">
        <f t="shared" si="17"/>
        <v>0</v>
      </c>
      <c r="Q53" s="804">
        <f t="shared" si="18"/>
        <v>0</v>
      </c>
      <c r="R53" s="804">
        <f t="shared" si="19"/>
        <v>0</v>
      </c>
      <c r="S53" s="804">
        <f t="shared" si="20"/>
        <v>0</v>
      </c>
      <c r="T53" s="92"/>
      <c r="U53" s="804">
        <f t="shared" si="12"/>
        <v>0</v>
      </c>
      <c r="V53" s="804">
        <f t="shared" si="12"/>
        <v>0</v>
      </c>
      <c r="W53" s="804">
        <f t="shared" si="12"/>
        <v>0</v>
      </c>
      <c r="X53" s="804">
        <f t="shared" si="12"/>
        <v>0</v>
      </c>
      <c r="Y53" s="804">
        <f t="shared" si="12"/>
        <v>0</v>
      </c>
      <c r="Z53" s="98"/>
      <c r="AA53" s="35"/>
    </row>
    <row r="54" spans="2:27" x14ac:dyDescent="0.2">
      <c r="B54" s="35"/>
      <c r="C54" s="91"/>
      <c r="D54" s="192"/>
      <c r="E54" s="192"/>
      <c r="F54" s="155"/>
      <c r="G54" s="255"/>
      <c r="H54" s="155"/>
      <c r="I54" s="92"/>
      <c r="J54" s="115">
        <f t="shared" si="9"/>
        <v>0</v>
      </c>
      <c r="K54" s="804">
        <f t="shared" si="13"/>
        <v>0</v>
      </c>
      <c r="L54" s="913" t="str">
        <f t="shared" si="14"/>
        <v>-</v>
      </c>
      <c r="M54" s="804">
        <f t="shared" si="15"/>
        <v>0</v>
      </c>
      <c r="N54" s="92"/>
      <c r="O54" s="804">
        <f t="shared" si="16"/>
        <v>0</v>
      </c>
      <c r="P54" s="804">
        <f t="shared" si="17"/>
        <v>0</v>
      </c>
      <c r="Q54" s="804">
        <f t="shared" si="18"/>
        <v>0</v>
      </c>
      <c r="R54" s="804">
        <f t="shared" si="19"/>
        <v>0</v>
      </c>
      <c r="S54" s="804">
        <f t="shared" si="20"/>
        <v>0</v>
      </c>
      <c r="T54" s="92"/>
      <c r="U54" s="804">
        <f t="shared" si="12"/>
        <v>0</v>
      </c>
      <c r="V54" s="804">
        <f t="shared" si="12"/>
        <v>0</v>
      </c>
      <c r="W54" s="804">
        <f t="shared" si="12"/>
        <v>0</v>
      </c>
      <c r="X54" s="804">
        <f t="shared" si="12"/>
        <v>0</v>
      </c>
      <c r="Y54" s="804">
        <f t="shared" si="12"/>
        <v>0</v>
      </c>
      <c r="Z54" s="98"/>
      <c r="AA54" s="35"/>
    </row>
    <row r="55" spans="2:27" x14ac:dyDescent="0.2">
      <c r="B55" s="35"/>
      <c r="C55" s="91"/>
      <c r="D55" s="192"/>
      <c r="E55" s="192"/>
      <c r="F55" s="155"/>
      <c r="G55" s="255"/>
      <c r="H55" s="155"/>
      <c r="I55" s="92"/>
      <c r="J55" s="115">
        <f t="shared" si="9"/>
        <v>0</v>
      </c>
      <c r="K55" s="804">
        <f t="shared" si="13"/>
        <v>0</v>
      </c>
      <c r="L55" s="913" t="str">
        <f t="shared" si="14"/>
        <v>-</v>
      </c>
      <c r="M55" s="804">
        <f t="shared" si="15"/>
        <v>0</v>
      </c>
      <c r="N55" s="92"/>
      <c r="O55" s="804">
        <f t="shared" si="16"/>
        <v>0</v>
      </c>
      <c r="P55" s="804">
        <f t="shared" si="17"/>
        <v>0</v>
      </c>
      <c r="Q55" s="804">
        <f t="shared" si="18"/>
        <v>0</v>
      </c>
      <c r="R55" s="804">
        <f t="shared" si="19"/>
        <v>0</v>
      </c>
      <c r="S55" s="804">
        <f t="shared" si="20"/>
        <v>0</v>
      </c>
      <c r="T55" s="92"/>
      <c r="U55" s="804">
        <f t="shared" ref="U55:Y64" si="21">IF(U$9=$F55,$G55,0)</f>
        <v>0</v>
      </c>
      <c r="V55" s="804">
        <f t="shared" si="21"/>
        <v>0</v>
      </c>
      <c r="W55" s="804">
        <f t="shared" si="21"/>
        <v>0</v>
      </c>
      <c r="X55" s="804">
        <f t="shared" si="21"/>
        <v>0</v>
      </c>
      <c r="Y55" s="804">
        <f t="shared" si="21"/>
        <v>0</v>
      </c>
      <c r="Z55" s="98"/>
      <c r="AA55" s="35"/>
    </row>
    <row r="56" spans="2:27" x14ac:dyDescent="0.2">
      <c r="B56" s="35"/>
      <c r="C56" s="91"/>
      <c r="D56" s="192"/>
      <c r="E56" s="192"/>
      <c r="F56" s="155"/>
      <c r="G56" s="255"/>
      <c r="H56" s="155"/>
      <c r="I56" s="92"/>
      <c r="J56" s="115">
        <f t="shared" si="9"/>
        <v>0</v>
      </c>
      <c r="K56" s="804">
        <f t="shared" si="13"/>
        <v>0</v>
      </c>
      <c r="L56" s="913" t="str">
        <f t="shared" si="14"/>
        <v>-</v>
      </c>
      <c r="M56" s="804">
        <f t="shared" si="15"/>
        <v>0</v>
      </c>
      <c r="N56" s="92"/>
      <c r="O56" s="804">
        <f t="shared" si="16"/>
        <v>0</v>
      </c>
      <c r="P56" s="804">
        <f t="shared" si="17"/>
        <v>0</v>
      </c>
      <c r="Q56" s="804">
        <f t="shared" si="18"/>
        <v>0</v>
      </c>
      <c r="R56" s="804">
        <f t="shared" si="19"/>
        <v>0</v>
      </c>
      <c r="S56" s="804">
        <f t="shared" si="20"/>
        <v>0</v>
      </c>
      <c r="T56" s="92"/>
      <c r="U56" s="804">
        <f t="shared" si="21"/>
        <v>0</v>
      </c>
      <c r="V56" s="804">
        <f t="shared" si="21"/>
        <v>0</v>
      </c>
      <c r="W56" s="804">
        <f t="shared" si="21"/>
        <v>0</v>
      </c>
      <c r="X56" s="804">
        <f t="shared" si="21"/>
        <v>0</v>
      </c>
      <c r="Y56" s="804">
        <f t="shared" si="21"/>
        <v>0</v>
      </c>
      <c r="Z56" s="98"/>
      <c r="AA56" s="35"/>
    </row>
    <row r="57" spans="2:27" x14ac:dyDescent="0.2">
      <c r="B57" s="35"/>
      <c r="C57" s="91"/>
      <c r="D57" s="192"/>
      <c r="E57" s="192"/>
      <c r="F57" s="155"/>
      <c r="G57" s="255"/>
      <c r="H57" s="155"/>
      <c r="I57" s="92"/>
      <c r="J57" s="115">
        <f t="shared" si="9"/>
        <v>0</v>
      </c>
      <c r="K57" s="804">
        <f t="shared" si="13"/>
        <v>0</v>
      </c>
      <c r="L57" s="913" t="str">
        <f t="shared" si="14"/>
        <v>-</v>
      </c>
      <c r="M57" s="804">
        <f t="shared" si="15"/>
        <v>0</v>
      </c>
      <c r="N57" s="92"/>
      <c r="O57" s="804">
        <f t="shared" si="16"/>
        <v>0</v>
      </c>
      <c r="P57" s="804">
        <f t="shared" si="17"/>
        <v>0</v>
      </c>
      <c r="Q57" s="804">
        <f t="shared" si="18"/>
        <v>0</v>
      </c>
      <c r="R57" s="804">
        <f t="shared" si="19"/>
        <v>0</v>
      </c>
      <c r="S57" s="804">
        <f t="shared" si="20"/>
        <v>0</v>
      </c>
      <c r="T57" s="92"/>
      <c r="U57" s="804">
        <f t="shared" si="21"/>
        <v>0</v>
      </c>
      <c r="V57" s="804">
        <f t="shared" si="21"/>
        <v>0</v>
      </c>
      <c r="W57" s="804">
        <f t="shared" si="21"/>
        <v>0</v>
      </c>
      <c r="X57" s="804">
        <f t="shared" si="21"/>
        <v>0</v>
      </c>
      <c r="Y57" s="804">
        <f t="shared" si="21"/>
        <v>0</v>
      </c>
      <c r="Z57" s="98"/>
      <c r="AA57" s="35"/>
    </row>
    <row r="58" spans="2:27" x14ac:dyDescent="0.2">
      <c r="B58" s="35"/>
      <c r="C58" s="91"/>
      <c r="D58" s="192"/>
      <c r="E58" s="192"/>
      <c r="F58" s="155"/>
      <c r="G58" s="255"/>
      <c r="H58" s="155"/>
      <c r="I58" s="92"/>
      <c r="J58" s="115">
        <f t="shared" si="9"/>
        <v>0</v>
      </c>
      <c r="K58" s="804">
        <f t="shared" si="13"/>
        <v>0</v>
      </c>
      <c r="L58" s="913" t="str">
        <f t="shared" si="14"/>
        <v>-</v>
      </c>
      <c r="M58" s="804">
        <f t="shared" si="15"/>
        <v>0</v>
      </c>
      <c r="N58" s="92"/>
      <c r="O58" s="804">
        <f t="shared" si="16"/>
        <v>0</v>
      </c>
      <c r="P58" s="804">
        <f t="shared" si="17"/>
        <v>0</v>
      </c>
      <c r="Q58" s="804">
        <f t="shared" si="18"/>
        <v>0</v>
      </c>
      <c r="R58" s="804">
        <f t="shared" si="19"/>
        <v>0</v>
      </c>
      <c r="S58" s="804">
        <f t="shared" si="20"/>
        <v>0</v>
      </c>
      <c r="T58" s="92"/>
      <c r="U58" s="804">
        <f t="shared" si="21"/>
        <v>0</v>
      </c>
      <c r="V58" s="804">
        <f t="shared" si="21"/>
        <v>0</v>
      </c>
      <c r="W58" s="804">
        <f t="shared" si="21"/>
        <v>0</v>
      </c>
      <c r="X58" s="804">
        <f t="shared" si="21"/>
        <v>0</v>
      </c>
      <c r="Y58" s="804">
        <f t="shared" si="21"/>
        <v>0</v>
      </c>
      <c r="Z58" s="98"/>
      <c r="AA58" s="35"/>
    </row>
    <row r="59" spans="2:27" x14ac:dyDescent="0.2">
      <c r="B59" s="35"/>
      <c r="C59" s="91"/>
      <c r="D59" s="192"/>
      <c r="E59" s="192"/>
      <c r="F59" s="155"/>
      <c r="G59" s="255"/>
      <c r="H59" s="155"/>
      <c r="I59" s="92"/>
      <c r="J59" s="115">
        <f t="shared" si="9"/>
        <v>0</v>
      </c>
      <c r="K59" s="804">
        <f t="shared" si="13"/>
        <v>0</v>
      </c>
      <c r="L59" s="913" t="str">
        <f t="shared" si="14"/>
        <v>-</v>
      </c>
      <c r="M59" s="804">
        <f t="shared" si="15"/>
        <v>0</v>
      </c>
      <c r="N59" s="92"/>
      <c r="O59" s="804">
        <f t="shared" si="16"/>
        <v>0</v>
      </c>
      <c r="P59" s="804">
        <f t="shared" si="17"/>
        <v>0</v>
      </c>
      <c r="Q59" s="804">
        <f t="shared" si="18"/>
        <v>0</v>
      </c>
      <c r="R59" s="804">
        <f t="shared" si="19"/>
        <v>0</v>
      </c>
      <c r="S59" s="804">
        <f t="shared" si="20"/>
        <v>0</v>
      </c>
      <c r="T59" s="92"/>
      <c r="U59" s="804">
        <f t="shared" si="21"/>
        <v>0</v>
      </c>
      <c r="V59" s="804">
        <f t="shared" si="21"/>
        <v>0</v>
      </c>
      <c r="W59" s="804">
        <f t="shared" si="21"/>
        <v>0</v>
      </c>
      <c r="X59" s="804">
        <f t="shared" si="21"/>
        <v>0</v>
      </c>
      <c r="Y59" s="804">
        <f t="shared" si="21"/>
        <v>0</v>
      </c>
      <c r="Z59" s="98"/>
      <c r="AA59" s="35"/>
    </row>
    <row r="60" spans="2:27" x14ac:dyDescent="0.2">
      <c r="B60" s="35"/>
      <c r="C60" s="91"/>
      <c r="D60" s="192"/>
      <c r="E60" s="192"/>
      <c r="F60" s="155"/>
      <c r="G60" s="255"/>
      <c r="H60" s="155"/>
      <c r="I60" s="92"/>
      <c r="J60" s="115">
        <f t="shared" si="9"/>
        <v>0</v>
      </c>
      <c r="K60" s="804">
        <f t="shared" si="13"/>
        <v>0</v>
      </c>
      <c r="L60" s="913" t="str">
        <f t="shared" si="14"/>
        <v>-</v>
      </c>
      <c r="M60" s="804">
        <f t="shared" si="15"/>
        <v>0</v>
      </c>
      <c r="N60" s="92"/>
      <c r="O60" s="804">
        <f t="shared" si="16"/>
        <v>0</v>
      </c>
      <c r="P60" s="804">
        <f t="shared" si="17"/>
        <v>0</v>
      </c>
      <c r="Q60" s="804">
        <f t="shared" si="18"/>
        <v>0</v>
      </c>
      <c r="R60" s="804">
        <f t="shared" si="19"/>
        <v>0</v>
      </c>
      <c r="S60" s="804">
        <f t="shared" si="20"/>
        <v>0</v>
      </c>
      <c r="T60" s="92"/>
      <c r="U60" s="804">
        <f t="shared" si="21"/>
        <v>0</v>
      </c>
      <c r="V60" s="804">
        <f t="shared" si="21"/>
        <v>0</v>
      </c>
      <c r="W60" s="804">
        <f t="shared" si="21"/>
        <v>0</v>
      </c>
      <c r="X60" s="804">
        <f t="shared" si="21"/>
        <v>0</v>
      </c>
      <c r="Y60" s="804">
        <f t="shared" si="21"/>
        <v>0</v>
      </c>
      <c r="Z60" s="98"/>
      <c r="AA60" s="35"/>
    </row>
    <row r="61" spans="2:27" x14ac:dyDescent="0.2">
      <c r="B61" s="35"/>
      <c r="C61" s="91"/>
      <c r="D61" s="192"/>
      <c r="E61" s="192"/>
      <c r="F61" s="155"/>
      <c r="G61" s="255"/>
      <c r="H61" s="155"/>
      <c r="I61" s="92"/>
      <c r="J61" s="115">
        <f>IF(H61="geen",9999999999,H61)</f>
        <v>0</v>
      </c>
      <c r="K61" s="804">
        <f t="shared" si="13"/>
        <v>0</v>
      </c>
      <c r="L61" s="913" t="str">
        <f t="shared" si="14"/>
        <v>-</v>
      </c>
      <c r="M61" s="804">
        <f t="shared" si="15"/>
        <v>0</v>
      </c>
      <c r="N61" s="92"/>
      <c r="O61" s="804">
        <f t="shared" si="16"/>
        <v>0</v>
      </c>
      <c r="P61" s="804">
        <f t="shared" si="17"/>
        <v>0</v>
      </c>
      <c r="Q61" s="804">
        <f t="shared" si="18"/>
        <v>0</v>
      </c>
      <c r="R61" s="804">
        <f t="shared" si="19"/>
        <v>0</v>
      </c>
      <c r="S61" s="804">
        <f t="shared" si="20"/>
        <v>0</v>
      </c>
      <c r="T61" s="92"/>
      <c r="U61" s="804">
        <f t="shared" si="21"/>
        <v>0</v>
      </c>
      <c r="V61" s="804">
        <f t="shared" si="21"/>
        <v>0</v>
      </c>
      <c r="W61" s="804">
        <f t="shared" si="21"/>
        <v>0</v>
      </c>
      <c r="X61" s="804">
        <f t="shared" si="21"/>
        <v>0</v>
      </c>
      <c r="Y61" s="804">
        <f t="shared" si="21"/>
        <v>0</v>
      </c>
      <c r="Z61" s="98"/>
      <c r="AA61" s="35"/>
    </row>
    <row r="62" spans="2:27" x14ac:dyDescent="0.2">
      <c r="B62" s="35"/>
      <c r="C62" s="91"/>
      <c r="D62" s="192"/>
      <c r="E62" s="192"/>
      <c r="F62" s="155"/>
      <c r="G62" s="255"/>
      <c r="H62" s="155"/>
      <c r="I62" s="92"/>
      <c r="J62" s="115">
        <f>IF(H62="geen",9999999999,H62)</f>
        <v>0</v>
      </c>
      <c r="K62" s="804">
        <f t="shared" si="13"/>
        <v>0</v>
      </c>
      <c r="L62" s="913" t="str">
        <f t="shared" si="14"/>
        <v>-</v>
      </c>
      <c r="M62" s="804">
        <f t="shared" si="15"/>
        <v>0</v>
      </c>
      <c r="N62" s="92"/>
      <c r="O62" s="804">
        <f t="shared" si="16"/>
        <v>0</v>
      </c>
      <c r="P62" s="804">
        <f t="shared" si="17"/>
        <v>0</v>
      </c>
      <c r="Q62" s="804">
        <f t="shared" si="18"/>
        <v>0</v>
      </c>
      <c r="R62" s="804">
        <f t="shared" si="19"/>
        <v>0</v>
      </c>
      <c r="S62" s="804">
        <f t="shared" si="20"/>
        <v>0</v>
      </c>
      <c r="T62" s="92"/>
      <c r="U62" s="804">
        <f t="shared" si="21"/>
        <v>0</v>
      </c>
      <c r="V62" s="804">
        <f t="shared" si="21"/>
        <v>0</v>
      </c>
      <c r="W62" s="804">
        <f t="shared" si="21"/>
        <v>0</v>
      </c>
      <c r="X62" s="804">
        <f t="shared" si="21"/>
        <v>0</v>
      </c>
      <c r="Y62" s="804">
        <f t="shared" si="21"/>
        <v>0</v>
      </c>
      <c r="Z62" s="98"/>
      <c r="AA62" s="35"/>
    </row>
    <row r="63" spans="2:27" x14ac:dyDescent="0.2">
      <c r="B63" s="35"/>
      <c r="C63" s="91"/>
      <c r="D63" s="192"/>
      <c r="E63" s="192"/>
      <c r="F63" s="155"/>
      <c r="G63" s="255"/>
      <c r="H63" s="155"/>
      <c r="I63" s="92"/>
      <c r="J63" s="115">
        <f>IF(H63="geen",9999999999,H63)</f>
        <v>0</v>
      </c>
      <c r="K63" s="804">
        <f t="shared" si="13"/>
        <v>0</v>
      </c>
      <c r="L63" s="913" t="str">
        <f t="shared" si="14"/>
        <v>-</v>
      </c>
      <c r="M63" s="804">
        <f t="shared" si="15"/>
        <v>0</v>
      </c>
      <c r="N63" s="92"/>
      <c r="O63" s="804">
        <f t="shared" si="16"/>
        <v>0</v>
      </c>
      <c r="P63" s="804">
        <f t="shared" si="17"/>
        <v>0</v>
      </c>
      <c r="Q63" s="804">
        <f t="shared" si="18"/>
        <v>0</v>
      </c>
      <c r="R63" s="804">
        <f t="shared" si="19"/>
        <v>0</v>
      </c>
      <c r="S63" s="804">
        <f t="shared" si="20"/>
        <v>0</v>
      </c>
      <c r="T63" s="92"/>
      <c r="U63" s="804">
        <f t="shared" si="21"/>
        <v>0</v>
      </c>
      <c r="V63" s="804">
        <f t="shared" si="21"/>
        <v>0</v>
      </c>
      <c r="W63" s="804">
        <f t="shared" si="21"/>
        <v>0</v>
      </c>
      <c r="X63" s="804">
        <f t="shared" si="21"/>
        <v>0</v>
      </c>
      <c r="Y63" s="804">
        <f t="shared" si="21"/>
        <v>0</v>
      </c>
      <c r="Z63" s="98"/>
      <c r="AA63" s="35"/>
    </row>
    <row r="64" spans="2:27" x14ac:dyDescent="0.2">
      <c r="B64" s="35"/>
      <c r="C64" s="91"/>
      <c r="D64" s="192"/>
      <c r="E64" s="192"/>
      <c r="F64" s="155"/>
      <c r="G64" s="255"/>
      <c r="H64" s="155"/>
      <c r="I64" s="92"/>
      <c r="J64" s="115">
        <f t="shared" si="9"/>
        <v>0</v>
      </c>
      <c r="K64" s="804">
        <f t="shared" si="13"/>
        <v>0</v>
      </c>
      <c r="L64" s="913" t="str">
        <f t="shared" si="14"/>
        <v>-</v>
      </c>
      <c r="M64" s="804">
        <f t="shared" si="15"/>
        <v>0</v>
      </c>
      <c r="N64" s="92"/>
      <c r="O64" s="804">
        <f t="shared" si="16"/>
        <v>0</v>
      </c>
      <c r="P64" s="804">
        <f t="shared" si="17"/>
        <v>0</v>
      </c>
      <c r="Q64" s="804">
        <f t="shared" si="18"/>
        <v>0</v>
      </c>
      <c r="R64" s="804">
        <f t="shared" si="19"/>
        <v>0</v>
      </c>
      <c r="S64" s="804">
        <f t="shared" si="20"/>
        <v>0</v>
      </c>
      <c r="T64" s="92"/>
      <c r="U64" s="804">
        <f t="shared" si="21"/>
        <v>0</v>
      </c>
      <c r="V64" s="804">
        <f t="shared" si="21"/>
        <v>0</v>
      </c>
      <c r="W64" s="804">
        <f t="shared" si="21"/>
        <v>0</v>
      </c>
      <c r="X64" s="804">
        <f t="shared" si="21"/>
        <v>0</v>
      </c>
      <c r="Y64" s="804">
        <f t="shared" si="21"/>
        <v>0</v>
      </c>
      <c r="Z64" s="98"/>
      <c r="AA64" s="35"/>
    </row>
    <row r="65" spans="2:27" x14ac:dyDescent="0.2">
      <c r="B65" s="35"/>
      <c r="C65" s="91"/>
      <c r="D65" s="192"/>
      <c r="E65" s="192"/>
      <c r="F65" s="155"/>
      <c r="G65" s="255"/>
      <c r="H65" s="155"/>
      <c r="I65" s="92"/>
      <c r="J65" s="115">
        <f t="shared" si="9"/>
        <v>0</v>
      </c>
      <c r="K65" s="804">
        <f t="shared" si="13"/>
        <v>0</v>
      </c>
      <c r="L65" s="913" t="str">
        <f t="shared" si="14"/>
        <v>-</v>
      </c>
      <c r="M65" s="804">
        <f t="shared" si="15"/>
        <v>0</v>
      </c>
      <c r="N65" s="92"/>
      <c r="O65" s="804">
        <f t="shared" si="16"/>
        <v>0</v>
      </c>
      <c r="P65" s="804">
        <f t="shared" si="17"/>
        <v>0</v>
      </c>
      <c r="Q65" s="804">
        <f t="shared" si="18"/>
        <v>0</v>
      </c>
      <c r="R65" s="804">
        <f t="shared" si="19"/>
        <v>0</v>
      </c>
      <c r="S65" s="804">
        <f t="shared" si="20"/>
        <v>0</v>
      </c>
      <c r="T65" s="92"/>
      <c r="U65" s="804">
        <f t="shared" ref="U65:Y74" si="22">IF(U$9=$F65,$G65,0)</f>
        <v>0</v>
      </c>
      <c r="V65" s="804">
        <f t="shared" si="22"/>
        <v>0</v>
      </c>
      <c r="W65" s="804">
        <f t="shared" si="22"/>
        <v>0</v>
      </c>
      <c r="X65" s="804">
        <f t="shared" si="22"/>
        <v>0</v>
      </c>
      <c r="Y65" s="804">
        <f t="shared" si="22"/>
        <v>0</v>
      </c>
      <c r="Z65" s="98"/>
      <c r="AA65" s="35"/>
    </row>
    <row r="66" spans="2:27" x14ac:dyDescent="0.2">
      <c r="B66" s="35"/>
      <c r="C66" s="91"/>
      <c r="D66" s="192"/>
      <c r="E66" s="192"/>
      <c r="F66" s="155"/>
      <c r="G66" s="255"/>
      <c r="H66" s="155"/>
      <c r="I66" s="92"/>
      <c r="J66" s="115">
        <f t="shared" si="9"/>
        <v>0</v>
      </c>
      <c r="K66" s="804">
        <f t="shared" si="13"/>
        <v>0</v>
      </c>
      <c r="L66" s="913" t="str">
        <f t="shared" si="14"/>
        <v>-</v>
      </c>
      <c r="M66" s="804">
        <f t="shared" si="15"/>
        <v>0</v>
      </c>
      <c r="N66" s="92"/>
      <c r="O66" s="804">
        <f t="shared" si="16"/>
        <v>0</v>
      </c>
      <c r="P66" s="804">
        <f t="shared" si="17"/>
        <v>0</v>
      </c>
      <c r="Q66" s="804">
        <f t="shared" si="18"/>
        <v>0</v>
      </c>
      <c r="R66" s="804">
        <f t="shared" si="19"/>
        <v>0</v>
      </c>
      <c r="S66" s="804">
        <f t="shared" si="20"/>
        <v>0</v>
      </c>
      <c r="T66" s="92"/>
      <c r="U66" s="804">
        <f t="shared" si="22"/>
        <v>0</v>
      </c>
      <c r="V66" s="804">
        <f t="shared" si="22"/>
        <v>0</v>
      </c>
      <c r="W66" s="804">
        <f t="shared" si="22"/>
        <v>0</v>
      </c>
      <c r="X66" s="804">
        <f t="shared" si="22"/>
        <v>0</v>
      </c>
      <c r="Y66" s="804">
        <f t="shared" si="22"/>
        <v>0</v>
      </c>
      <c r="Z66" s="98"/>
      <c r="AA66" s="35"/>
    </row>
    <row r="67" spans="2:27" x14ac:dyDescent="0.2">
      <c r="B67" s="35"/>
      <c r="C67" s="91"/>
      <c r="D67" s="192"/>
      <c r="E67" s="192"/>
      <c r="F67" s="155"/>
      <c r="G67" s="255"/>
      <c r="H67" s="155"/>
      <c r="I67" s="92"/>
      <c r="J67" s="115">
        <f t="shared" si="9"/>
        <v>0</v>
      </c>
      <c r="K67" s="804">
        <f t="shared" si="13"/>
        <v>0</v>
      </c>
      <c r="L67" s="913" t="str">
        <f t="shared" si="14"/>
        <v>-</v>
      </c>
      <c r="M67" s="804">
        <f t="shared" si="15"/>
        <v>0</v>
      </c>
      <c r="N67" s="92"/>
      <c r="O67" s="804">
        <f t="shared" si="16"/>
        <v>0</v>
      </c>
      <c r="P67" s="804">
        <f t="shared" si="17"/>
        <v>0</v>
      </c>
      <c r="Q67" s="804">
        <f t="shared" si="18"/>
        <v>0</v>
      </c>
      <c r="R67" s="804">
        <f t="shared" si="19"/>
        <v>0</v>
      </c>
      <c r="S67" s="804">
        <f t="shared" si="20"/>
        <v>0</v>
      </c>
      <c r="T67" s="92"/>
      <c r="U67" s="804">
        <f t="shared" si="22"/>
        <v>0</v>
      </c>
      <c r="V67" s="804">
        <f t="shared" si="22"/>
        <v>0</v>
      </c>
      <c r="W67" s="804">
        <f t="shared" si="22"/>
        <v>0</v>
      </c>
      <c r="X67" s="804">
        <f t="shared" si="22"/>
        <v>0</v>
      </c>
      <c r="Y67" s="804">
        <f t="shared" si="22"/>
        <v>0</v>
      </c>
      <c r="Z67" s="98"/>
      <c r="AA67" s="35"/>
    </row>
    <row r="68" spans="2:27" x14ac:dyDescent="0.2">
      <c r="B68" s="35"/>
      <c r="C68" s="91"/>
      <c r="D68" s="192"/>
      <c r="E68" s="192"/>
      <c r="F68" s="155"/>
      <c r="G68" s="255"/>
      <c r="H68" s="155"/>
      <c r="I68" s="92"/>
      <c r="J68" s="115">
        <f t="shared" si="9"/>
        <v>0</v>
      </c>
      <c r="K68" s="804">
        <f t="shared" si="13"/>
        <v>0</v>
      </c>
      <c r="L68" s="913" t="str">
        <f t="shared" si="14"/>
        <v>-</v>
      </c>
      <c r="M68" s="804">
        <f t="shared" si="15"/>
        <v>0</v>
      </c>
      <c r="N68" s="92"/>
      <c r="O68" s="804">
        <f t="shared" si="16"/>
        <v>0</v>
      </c>
      <c r="P68" s="804">
        <f t="shared" si="17"/>
        <v>0</v>
      </c>
      <c r="Q68" s="804">
        <f t="shared" si="18"/>
        <v>0</v>
      </c>
      <c r="R68" s="804">
        <f t="shared" si="19"/>
        <v>0</v>
      </c>
      <c r="S68" s="804">
        <f t="shared" si="20"/>
        <v>0</v>
      </c>
      <c r="T68" s="92"/>
      <c r="U68" s="804">
        <f t="shared" si="22"/>
        <v>0</v>
      </c>
      <c r="V68" s="804">
        <f t="shared" si="22"/>
        <v>0</v>
      </c>
      <c r="W68" s="804">
        <f t="shared" si="22"/>
        <v>0</v>
      </c>
      <c r="X68" s="804">
        <f t="shared" si="22"/>
        <v>0</v>
      </c>
      <c r="Y68" s="804">
        <f t="shared" si="22"/>
        <v>0</v>
      </c>
      <c r="Z68" s="98"/>
      <c r="AA68" s="35"/>
    </row>
    <row r="69" spans="2:27" x14ac:dyDescent="0.2">
      <c r="B69" s="35"/>
      <c r="C69" s="91"/>
      <c r="D69" s="192"/>
      <c r="E69" s="192"/>
      <c r="F69" s="155"/>
      <c r="G69" s="255"/>
      <c r="H69" s="155"/>
      <c r="I69" s="92"/>
      <c r="J69" s="115">
        <f t="shared" si="9"/>
        <v>0</v>
      </c>
      <c r="K69" s="804">
        <f t="shared" si="13"/>
        <v>0</v>
      </c>
      <c r="L69" s="913" t="str">
        <f t="shared" si="14"/>
        <v>-</v>
      </c>
      <c r="M69" s="804">
        <f t="shared" si="15"/>
        <v>0</v>
      </c>
      <c r="N69" s="92"/>
      <c r="O69" s="804">
        <f t="shared" si="16"/>
        <v>0</v>
      </c>
      <c r="P69" s="804">
        <f t="shared" si="17"/>
        <v>0</v>
      </c>
      <c r="Q69" s="804">
        <f t="shared" si="18"/>
        <v>0</v>
      </c>
      <c r="R69" s="804">
        <f t="shared" si="19"/>
        <v>0</v>
      </c>
      <c r="S69" s="804">
        <f t="shared" si="20"/>
        <v>0</v>
      </c>
      <c r="T69" s="92"/>
      <c r="U69" s="804">
        <f t="shared" si="22"/>
        <v>0</v>
      </c>
      <c r="V69" s="804">
        <f t="shared" si="22"/>
        <v>0</v>
      </c>
      <c r="W69" s="804">
        <f t="shared" si="22"/>
        <v>0</v>
      </c>
      <c r="X69" s="804">
        <f t="shared" si="22"/>
        <v>0</v>
      </c>
      <c r="Y69" s="804">
        <f t="shared" si="22"/>
        <v>0</v>
      </c>
      <c r="Z69" s="98"/>
      <c r="AA69" s="35"/>
    </row>
    <row r="70" spans="2:27" x14ac:dyDescent="0.2">
      <c r="B70" s="35"/>
      <c r="C70" s="91"/>
      <c r="D70" s="192"/>
      <c r="E70" s="192"/>
      <c r="F70" s="155"/>
      <c r="G70" s="255"/>
      <c r="H70" s="155"/>
      <c r="I70" s="92"/>
      <c r="J70" s="115">
        <f t="shared" si="9"/>
        <v>0</v>
      </c>
      <c r="K70" s="804">
        <f t="shared" si="13"/>
        <v>0</v>
      </c>
      <c r="L70" s="913" t="str">
        <f t="shared" si="14"/>
        <v>-</v>
      </c>
      <c r="M70" s="804">
        <f t="shared" si="15"/>
        <v>0</v>
      </c>
      <c r="N70" s="92"/>
      <c r="O70" s="804">
        <f t="shared" si="16"/>
        <v>0</v>
      </c>
      <c r="P70" s="804">
        <f t="shared" si="17"/>
        <v>0</v>
      </c>
      <c r="Q70" s="804">
        <f t="shared" si="18"/>
        <v>0</v>
      </c>
      <c r="R70" s="804">
        <f t="shared" si="19"/>
        <v>0</v>
      </c>
      <c r="S70" s="804">
        <f t="shared" si="20"/>
        <v>0</v>
      </c>
      <c r="T70" s="92"/>
      <c r="U70" s="804">
        <f t="shared" si="22"/>
        <v>0</v>
      </c>
      <c r="V70" s="804">
        <f t="shared" si="22"/>
        <v>0</v>
      </c>
      <c r="W70" s="804">
        <f t="shared" si="22"/>
        <v>0</v>
      </c>
      <c r="X70" s="804">
        <f t="shared" si="22"/>
        <v>0</v>
      </c>
      <c r="Y70" s="804">
        <f t="shared" si="22"/>
        <v>0</v>
      </c>
      <c r="Z70" s="98"/>
      <c r="AA70" s="35"/>
    </row>
    <row r="71" spans="2:27" x14ac:dyDescent="0.2">
      <c r="B71" s="35"/>
      <c r="C71" s="91"/>
      <c r="D71" s="192"/>
      <c r="E71" s="192"/>
      <c r="F71" s="155"/>
      <c r="G71" s="255"/>
      <c r="H71" s="155"/>
      <c r="I71" s="92"/>
      <c r="J71" s="115">
        <f t="shared" si="9"/>
        <v>0</v>
      </c>
      <c r="K71" s="804">
        <f t="shared" si="13"/>
        <v>0</v>
      </c>
      <c r="L71" s="913" t="str">
        <f t="shared" si="14"/>
        <v>-</v>
      </c>
      <c r="M71" s="804">
        <f t="shared" si="15"/>
        <v>0</v>
      </c>
      <c r="N71" s="92"/>
      <c r="O71" s="804">
        <f t="shared" si="16"/>
        <v>0</v>
      </c>
      <c r="P71" s="804">
        <f t="shared" si="17"/>
        <v>0</v>
      </c>
      <c r="Q71" s="804">
        <f t="shared" si="18"/>
        <v>0</v>
      </c>
      <c r="R71" s="804">
        <f t="shared" si="19"/>
        <v>0</v>
      </c>
      <c r="S71" s="804">
        <f t="shared" si="20"/>
        <v>0</v>
      </c>
      <c r="T71" s="92"/>
      <c r="U71" s="804">
        <f t="shared" si="22"/>
        <v>0</v>
      </c>
      <c r="V71" s="804">
        <f t="shared" si="22"/>
        <v>0</v>
      </c>
      <c r="W71" s="804">
        <f t="shared" si="22"/>
        <v>0</v>
      </c>
      <c r="X71" s="804">
        <f t="shared" si="22"/>
        <v>0</v>
      </c>
      <c r="Y71" s="804">
        <f t="shared" si="22"/>
        <v>0</v>
      </c>
      <c r="Z71" s="98"/>
      <c r="AA71" s="35"/>
    </row>
    <row r="72" spans="2:27" x14ac:dyDescent="0.2">
      <c r="B72" s="35"/>
      <c r="C72" s="91"/>
      <c r="D72" s="192"/>
      <c r="E72" s="192"/>
      <c r="F72" s="155"/>
      <c r="G72" s="255"/>
      <c r="H72" s="155"/>
      <c r="I72" s="92"/>
      <c r="J72" s="115">
        <f t="shared" si="9"/>
        <v>0</v>
      </c>
      <c r="K72" s="804">
        <f t="shared" si="13"/>
        <v>0</v>
      </c>
      <c r="L72" s="913" t="str">
        <f t="shared" si="14"/>
        <v>-</v>
      </c>
      <c r="M72" s="804">
        <f t="shared" si="15"/>
        <v>0</v>
      </c>
      <c r="N72" s="92"/>
      <c r="O72" s="804">
        <f t="shared" si="16"/>
        <v>0</v>
      </c>
      <c r="P72" s="804">
        <f t="shared" si="17"/>
        <v>0</v>
      </c>
      <c r="Q72" s="804">
        <f t="shared" si="18"/>
        <v>0</v>
      </c>
      <c r="R72" s="804">
        <f t="shared" si="19"/>
        <v>0</v>
      </c>
      <c r="S72" s="804">
        <f t="shared" si="20"/>
        <v>0</v>
      </c>
      <c r="T72" s="92"/>
      <c r="U72" s="804">
        <f t="shared" si="22"/>
        <v>0</v>
      </c>
      <c r="V72" s="804">
        <f t="shared" si="22"/>
        <v>0</v>
      </c>
      <c r="W72" s="804">
        <f t="shared" si="22"/>
        <v>0</v>
      </c>
      <c r="X72" s="804">
        <f t="shared" si="22"/>
        <v>0</v>
      </c>
      <c r="Y72" s="804">
        <f t="shared" si="22"/>
        <v>0</v>
      </c>
      <c r="Z72" s="98"/>
      <c r="AA72" s="35"/>
    </row>
    <row r="73" spans="2:27" x14ac:dyDescent="0.2">
      <c r="B73" s="35"/>
      <c r="C73" s="91"/>
      <c r="D73" s="192"/>
      <c r="E73" s="192"/>
      <c r="F73" s="155"/>
      <c r="G73" s="255"/>
      <c r="H73" s="155"/>
      <c r="I73" s="92"/>
      <c r="J73" s="115">
        <f t="shared" si="9"/>
        <v>0</v>
      </c>
      <c r="K73" s="804">
        <f t="shared" si="13"/>
        <v>0</v>
      </c>
      <c r="L73" s="913" t="str">
        <f t="shared" si="14"/>
        <v>-</v>
      </c>
      <c r="M73" s="804">
        <f t="shared" si="15"/>
        <v>0</v>
      </c>
      <c r="N73" s="92"/>
      <c r="O73" s="804">
        <f t="shared" si="16"/>
        <v>0</v>
      </c>
      <c r="P73" s="804">
        <f t="shared" si="17"/>
        <v>0</v>
      </c>
      <c r="Q73" s="804">
        <f t="shared" si="18"/>
        <v>0</v>
      </c>
      <c r="R73" s="804">
        <f t="shared" si="19"/>
        <v>0</v>
      </c>
      <c r="S73" s="804">
        <f t="shared" si="20"/>
        <v>0</v>
      </c>
      <c r="T73" s="92"/>
      <c r="U73" s="804">
        <f t="shared" si="22"/>
        <v>0</v>
      </c>
      <c r="V73" s="804">
        <f t="shared" si="22"/>
        <v>0</v>
      </c>
      <c r="W73" s="804">
        <f t="shared" si="22"/>
        <v>0</v>
      </c>
      <c r="X73" s="804">
        <f t="shared" si="22"/>
        <v>0</v>
      </c>
      <c r="Y73" s="804">
        <f t="shared" si="22"/>
        <v>0</v>
      </c>
      <c r="Z73" s="98"/>
      <c r="AA73" s="35"/>
    </row>
    <row r="74" spans="2:27" x14ac:dyDescent="0.2">
      <c r="B74" s="35"/>
      <c r="C74" s="91"/>
      <c r="D74" s="192"/>
      <c r="E74" s="192"/>
      <c r="F74" s="155"/>
      <c r="G74" s="255"/>
      <c r="H74" s="155"/>
      <c r="I74" s="92"/>
      <c r="J74" s="115">
        <f t="shared" si="9"/>
        <v>0</v>
      </c>
      <c r="K74" s="804">
        <f t="shared" si="13"/>
        <v>0</v>
      </c>
      <c r="L74" s="913" t="str">
        <f t="shared" si="14"/>
        <v>-</v>
      </c>
      <c r="M74" s="804">
        <f t="shared" si="15"/>
        <v>0</v>
      </c>
      <c r="N74" s="92"/>
      <c r="O74" s="804">
        <f t="shared" si="16"/>
        <v>0</v>
      </c>
      <c r="P74" s="804">
        <f t="shared" si="17"/>
        <v>0</v>
      </c>
      <c r="Q74" s="804">
        <f t="shared" si="18"/>
        <v>0</v>
      </c>
      <c r="R74" s="804">
        <f t="shared" si="19"/>
        <v>0</v>
      </c>
      <c r="S74" s="804">
        <f t="shared" si="20"/>
        <v>0</v>
      </c>
      <c r="T74" s="92"/>
      <c r="U74" s="804">
        <f t="shared" si="22"/>
        <v>0</v>
      </c>
      <c r="V74" s="804">
        <f t="shared" si="22"/>
        <v>0</v>
      </c>
      <c r="W74" s="804">
        <f t="shared" si="22"/>
        <v>0</v>
      </c>
      <c r="X74" s="804">
        <f t="shared" si="22"/>
        <v>0</v>
      </c>
      <c r="Y74" s="804">
        <f t="shared" si="22"/>
        <v>0</v>
      </c>
      <c r="Z74" s="98"/>
      <c r="AA74" s="35"/>
    </row>
    <row r="75" spans="2:27" x14ac:dyDescent="0.2">
      <c r="B75" s="35"/>
      <c r="C75" s="91"/>
      <c r="D75" s="192"/>
      <c r="E75" s="192"/>
      <c r="F75" s="155"/>
      <c r="G75" s="255"/>
      <c r="H75" s="155"/>
      <c r="I75" s="92"/>
      <c r="J75" s="115">
        <f t="shared" si="9"/>
        <v>0</v>
      </c>
      <c r="K75" s="804">
        <f t="shared" si="13"/>
        <v>0</v>
      </c>
      <c r="L75" s="913" t="str">
        <f t="shared" si="14"/>
        <v>-</v>
      </c>
      <c r="M75" s="804">
        <f t="shared" si="15"/>
        <v>0</v>
      </c>
      <c r="N75" s="92"/>
      <c r="O75" s="804">
        <f t="shared" si="16"/>
        <v>0</v>
      </c>
      <c r="P75" s="804">
        <f t="shared" si="17"/>
        <v>0</v>
      </c>
      <c r="Q75" s="804">
        <f t="shared" si="18"/>
        <v>0</v>
      </c>
      <c r="R75" s="804">
        <f t="shared" si="19"/>
        <v>0</v>
      </c>
      <c r="S75" s="804">
        <f t="shared" si="20"/>
        <v>0</v>
      </c>
      <c r="T75" s="92"/>
      <c r="U75" s="804">
        <f t="shared" ref="U75:Y85" si="23">IF(U$9=$F75,$G75,0)</f>
        <v>0</v>
      </c>
      <c r="V75" s="804">
        <f t="shared" si="23"/>
        <v>0</v>
      </c>
      <c r="W75" s="804">
        <f t="shared" si="23"/>
        <v>0</v>
      </c>
      <c r="X75" s="804">
        <f t="shared" si="23"/>
        <v>0</v>
      </c>
      <c r="Y75" s="804">
        <f t="shared" si="23"/>
        <v>0</v>
      </c>
      <c r="Z75" s="98"/>
      <c r="AA75" s="35"/>
    </row>
    <row r="76" spans="2:27" x14ac:dyDescent="0.2">
      <c r="B76" s="35"/>
      <c r="C76" s="91"/>
      <c r="D76" s="192"/>
      <c r="E76" s="192"/>
      <c r="F76" s="155"/>
      <c r="G76" s="255"/>
      <c r="H76" s="155"/>
      <c r="I76" s="92"/>
      <c r="J76" s="115">
        <f t="shared" si="9"/>
        <v>0</v>
      </c>
      <c r="K76" s="804">
        <f t="shared" si="13"/>
        <v>0</v>
      </c>
      <c r="L76" s="913" t="str">
        <f t="shared" si="14"/>
        <v>-</v>
      </c>
      <c r="M76" s="804">
        <f t="shared" si="15"/>
        <v>0</v>
      </c>
      <c r="N76" s="92"/>
      <c r="O76" s="804">
        <f t="shared" si="16"/>
        <v>0</v>
      </c>
      <c r="P76" s="804">
        <f t="shared" si="17"/>
        <v>0</v>
      </c>
      <c r="Q76" s="804">
        <f t="shared" si="18"/>
        <v>0</v>
      </c>
      <c r="R76" s="804">
        <f t="shared" si="19"/>
        <v>0</v>
      </c>
      <c r="S76" s="804">
        <f t="shared" si="20"/>
        <v>0</v>
      </c>
      <c r="T76" s="92"/>
      <c r="U76" s="804">
        <f t="shared" si="23"/>
        <v>0</v>
      </c>
      <c r="V76" s="804">
        <f t="shared" si="23"/>
        <v>0</v>
      </c>
      <c r="W76" s="804">
        <f t="shared" si="23"/>
        <v>0</v>
      </c>
      <c r="X76" s="804">
        <f t="shared" si="23"/>
        <v>0</v>
      </c>
      <c r="Y76" s="804">
        <f t="shared" si="23"/>
        <v>0</v>
      </c>
      <c r="Z76" s="98"/>
      <c r="AA76" s="35"/>
    </row>
    <row r="77" spans="2:27" x14ac:dyDescent="0.2">
      <c r="B77" s="35"/>
      <c r="C77" s="91"/>
      <c r="D77" s="192"/>
      <c r="E77" s="192"/>
      <c r="F77" s="155"/>
      <c r="G77" s="255"/>
      <c r="H77" s="155"/>
      <c r="I77" s="92"/>
      <c r="J77" s="115">
        <f t="shared" si="9"/>
        <v>0</v>
      </c>
      <c r="K77" s="804">
        <f t="shared" si="13"/>
        <v>0</v>
      </c>
      <c r="L77" s="913" t="str">
        <f t="shared" si="14"/>
        <v>-</v>
      </c>
      <c r="M77" s="804">
        <f t="shared" si="15"/>
        <v>0</v>
      </c>
      <c r="N77" s="92"/>
      <c r="O77" s="804">
        <f t="shared" si="16"/>
        <v>0</v>
      </c>
      <c r="P77" s="804">
        <f t="shared" si="17"/>
        <v>0</v>
      </c>
      <c r="Q77" s="804">
        <f t="shared" si="18"/>
        <v>0</v>
      </c>
      <c r="R77" s="804">
        <f t="shared" si="19"/>
        <v>0</v>
      </c>
      <c r="S77" s="804">
        <f t="shared" si="20"/>
        <v>0</v>
      </c>
      <c r="T77" s="92"/>
      <c r="U77" s="804">
        <f t="shared" si="23"/>
        <v>0</v>
      </c>
      <c r="V77" s="804">
        <f t="shared" si="23"/>
        <v>0</v>
      </c>
      <c r="W77" s="804">
        <f t="shared" si="23"/>
        <v>0</v>
      </c>
      <c r="X77" s="804">
        <f t="shared" si="23"/>
        <v>0</v>
      </c>
      <c r="Y77" s="804">
        <f t="shared" si="23"/>
        <v>0</v>
      </c>
      <c r="Z77" s="98"/>
      <c r="AA77" s="35"/>
    </row>
    <row r="78" spans="2:27" x14ac:dyDescent="0.2">
      <c r="B78" s="35"/>
      <c r="C78" s="91"/>
      <c r="D78" s="192"/>
      <c r="E78" s="192"/>
      <c r="F78" s="155"/>
      <c r="G78" s="255"/>
      <c r="H78" s="155"/>
      <c r="I78" s="92"/>
      <c r="J78" s="115">
        <f t="shared" si="9"/>
        <v>0</v>
      </c>
      <c r="K78" s="804">
        <f t="shared" si="13"/>
        <v>0</v>
      </c>
      <c r="L78" s="913" t="str">
        <f t="shared" si="14"/>
        <v>-</v>
      </c>
      <c r="M78" s="804">
        <f t="shared" si="15"/>
        <v>0</v>
      </c>
      <c r="N78" s="92"/>
      <c r="O78" s="804">
        <f t="shared" si="16"/>
        <v>0</v>
      </c>
      <c r="P78" s="804">
        <f t="shared" si="17"/>
        <v>0</v>
      </c>
      <c r="Q78" s="804">
        <f t="shared" si="18"/>
        <v>0</v>
      </c>
      <c r="R78" s="804">
        <f t="shared" si="19"/>
        <v>0</v>
      </c>
      <c r="S78" s="804">
        <f t="shared" si="20"/>
        <v>0</v>
      </c>
      <c r="T78" s="92"/>
      <c r="U78" s="804">
        <f t="shared" si="23"/>
        <v>0</v>
      </c>
      <c r="V78" s="804">
        <f t="shared" si="23"/>
        <v>0</v>
      </c>
      <c r="W78" s="804">
        <f t="shared" si="23"/>
        <v>0</v>
      </c>
      <c r="X78" s="804">
        <f t="shared" si="23"/>
        <v>0</v>
      </c>
      <c r="Y78" s="804">
        <f t="shared" si="23"/>
        <v>0</v>
      </c>
      <c r="Z78" s="98"/>
      <c r="AA78" s="35"/>
    </row>
    <row r="79" spans="2:27" x14ac:dyDescent="0.2">
      <c r="B79" s="35"/>
      <c r="C79" s="91"/>
      <c r="D79" s="192"/>
      <c r="E79" s="192"/>
      <c r="F79" s="155"/>
      <c r="G79" s="255"/>
      <c r="H79" s="155"/>
      <c r="I79" s="92"/>
      <c r="J79" s="115">
        <f t="shared" si="9"/>
        <v>0</v>
      </c>
      <c r="K79" s="804">
        <f t="shared" ref="K79:K133" si="24">IF(G79=0,0,(G79/J79))</f>
        <v>0</v>
      </c>
      <c r="L79" s="913" t="str">
        <f t="shared" ref="L79:L133" si="25">IF(J79=0,"-",(IF(J79&gt;3000,"-",F79+J79-1)))</f>
        <v>-</v>
      </c>
      <c r="M79" s="804">
        <f t="shared" ref="M79:M133" si="26">IF(H79="geen",IF(F79&lt;$O$9,G79,0),IF(F79&gt;=$O$9,0,IF((G79-($O$9-F79)*K79)&lt;0,0,G79-($O$9-F79)*K79)))</f>
        <v>0</v>
      </c>
      <c r="N79" s="92"/>
      <c r="O79" s="804">
        <f t="shared" ref="O79:O133" si="27">(IF(O$9&lt;$F79,0,IF($L79&lt;=O$9-1,0,$K79)))</f>
        <v>0</v>
      </c>
      <c r="P79" s="804">
        <f t="shared" ref="P79:P133" si="28">(IF(P$9&lt;$F79,0,IF($L79&lt;=P$9-1,0,$K79)))</f>
        <v>0</v>
      </c>
      <c r="Q79" s="804">
        <f t="shared" ref="Q79:Q133" si="29">(IF(Q$9&lt;$F79,0,IF($L79&lt;=Q$9-1,0,$K79)))</f>
        <v>0</v>
      </c>
      <c r="R79" s="804">
        <f t="shared" ref="R79:R133" si="30">(IF(R$9&lt;$F79,0,IF($L79&lt;=R$9-1,0,$K79)))</f>
        <v>0</v>
      </c>
      <c r="S79" s="804">
        <f t="shared" ref="S79:S133" si="31">(IF(S$9&lt;$F79,0,IF($L79&lt;=S$9-1,0,$K79)))</f>
        <v>0</v>
      </c>
      <c r="T79" s="92"/>
      <c r="U79" s="804">
        <f t="shared" si="23"/>
        <v>0</v>
      </c>
      <c r="V79" s="804">
        <f t="shared" si="23"/>
        <v>0</v>
      </c>
      <c r="W79" s="804">
        <f t="shared" si="23"/>
        <v>0</v>
      </c>
      <c r="X79" s="804">
        <f t="shared" si="23"/>
        <v>0</v>
      </c>
      <c r="Y79" s="804">
        <f t="shared" si="23"/>
        <v>0</v>
      </c>
      <c r="Z79" s="98"/>
      <c r="AA79" s="35"/>
    </row>
    <row r="80" spans="2:27" x14ac:dyDescent="0.2">
      <c r="B80" s="35"/>
      <c r="C80" s="91"/>
      <c r="D80" s="192"/>
      <c r="E80" s="192"/>
      <c r="F80" s="155"/>
      <c r="G80" s="255"/>
      <c r="H80" s="155"/>
      <c r="I80" s="92"/>
      <c r="J80" s="115">
        <f>IF(H80="geen",9999999999,H80)</f>
        <v>0</v>
      </c>
      <c r="K80" s="804">
        <f>IF(G80=0,0,(G80/J80))</f>
        <v>0</v>
      </c>
      <c r="L80" s="913" t="str">
        <f>IF(J80=0,"-",(IF(J80&gt;3000,"-",F80+J80-1)))</f>
        <v>-</v>
      </c>
      <c r="M80" s="804">
        <f>IF(H80="geen",IF(F80&lt;$O$9,G80,0),IF(F80&gt;=$O$9,0,IF((G80-($O$9-F80)*K80)&lt;0,0,G80-($O$9-F80)*K80)))</f>
        <v>0</v>
      </c>
      <c r="N80" s="92"/>
      <c r="O80" s="804">
        <f t="shared" si="27"/>
        <v>0</v>
      </c>
      <c r="P80" s="804">
        <f t="shared" si="28"/>
        <v>0</v>
      </c>
      <c r="Q80" s="804">
        <f t="shared" si="29"/>
        <v>0</v>
      </c>
      <c r="R80" s="804">
        <f t="shared" si="30"/>
        <v>0</v>
      </c>
      <c r="S80" s="804">
        <f t="shared" si="31"/>
        <v>0</v>
      </c>
      <c r="T80" s="92"/>
      <c r="U80" s="804">
        <f t="shared" si="23"/>
        <v>0</v>
      </c>
      <c r="V80" s="804">
        <f t="shared" si="23"/>
        <v>0</v>
      </c>
      <c r="W80" s="804">
        <f t="shared" si="23"/>
        <v>0</v>
      </c>
      <c r="X80" s="804">
        <f t="shared" si="23"/>
        <v>0</v>
      </c>
      <c r="Y80" s="804">
        <f t="shared" si="23"/>
        <v>0</v>
      </c>
      <c r="Z80" s="98"/>
      <c r="AA80" s="35"/>
    </row>
    <row r="81" spans="2:27" x14ac:dyDescent="0.2">
      <c r="B81" s="35"/>
      <c r="C81" s="91"/>
      <c r="D81" s="192"/>
      <c r="E81" s="192"/>
      <c r="F81" s="155"/>
      <c r="G81" s="255"/>
      <c r="H81" s="155"/>
      <c r="I81" s="92"/>
      <c r="J81" s="115">
        <f t="shared" si="9"/>
        <v>0</v>
      </c>
      <c r="K81" s="804">
        <f t="shared" si="24"/>
        <v>0</v>
      </c>
      <c r="L81" s="913" t="str">
        <f t="shared" si="25"/>
        <v>-</v>
      </c>
      <c r="M81" s="804">
        <f t="shared" si="26"/>
        <v>0</v>
      </c>
      <c r="N81" s="92"/>
      <c r="O81" s="804">
        <f t="shared" si="27"/>
        <v>0</v>
      </c>
      <c r="P81" s="804">
        <f t="shared" si="28"/>
        <v>0</v>
      </c>
      <c r="Q81" s="804">
        <f t="shared" si="29"/>
        <v>0</v>
      </c>
      <c r="R81" s="804">
        <f t="shared" si="30"/>
        <v>0</v>
      </c>
      <c r="S81" s="804">
        <f t="shared" si="31"/>
        <v>0</v>
      </c>
      <c r="T81" s="92"/>
      <c r="U81" s="804">
        <f t="shared" si="23"/>
        <v>0</v>
      </c>
      <c r="V81" s="804">
        <f t="shared" si="23"/>
        <v>0</v>
      </c>
      <c r="W81" s="804">
        <f t="shared" si="23"/>
        <v>0</v>
      </c>
      <c r="X81" s="804">
        <f t="shared" si="23"/>
        <v>0</v>
      </c>
      <c r="Y81" s="804">
        <f t="shared" si="23"/>
        <v>0</v>
      </c>
      <c r="Z81" s="98"/>
      <c r="AA81" s="35"/>
    </row>
    <row r="82" spans="2:27" x14ac:dyDescent="0.2">
      <c r="B82" s="35"/>
      <c r="C82" s="91"/>
      <c r="D82" s="192"/>
      <c r="E82" s="192"/>
      <c r="F82" s="155"/>
      <c r="G82" s="255"/>
      <c r="H82" s="155"/>
      <c r="I82" s="92"/>
      <c r="J82" s="115">
        <f t="shared" si="9"/>
        <v>0</v>
      </c>
      <c r="K82" s="804">
        <f t="shared" si="24"/>
        <v>0</v>
      </c>
      <c r="L82" s="913" t="str">
        <f t="shared" si="25"/>
        <v>-</v>
      </c>
      <c r="M82" s="804">
        <f t="shared" si="26"/>
        <v>0</v>
      </c>
      <c r="N82" s="92"/>
      <c r="O82" s="804">
        <f t="shared" si="27"/>
        <v>0</v>
      </c>
      <c r="P82" s="804">
        <f t="shared" si="28"/>
        <v>0</v>
      </c>
      <c r="Q82" s="804">
        <f t="shared" si="29"/>
        <v>0</v>
      </c>
      <c r="R82" s="804">
        <f t="shared" si="30"/>
        <v>0</v>
      </c>
      <c r="S82" s="804">
        <f t="shared" si="31"/>
        <v>0</v>
      </c>
      <c r="T82" s="92"/>
      <c r="U82" s="804">
        <f t="shared" si="23"/>
        <v>0</v>
      </c>
      <c r="V82" s="804">
        <f t="shared" si="23"/>
        <v>0</v>
      </c>
      <c r="W82" s="804">
        <f t="shared" si="23"/>
        <v>0</v>
      </c>
      <c r="X82" s="804">
        <f t="shared" si="23"/>
        <v>0</v>
      </c>
      <c r="Y82" s="804">
        <f t="shared" si="23"/>
        <v>0</v>
      </c>
      <c r="Z82" s="98"/>
      <c r="AA82" s="35"/>
    </row>
    <row r="83" spans="2:27" x14ac:dyDescent="0.2">
      <c r="B83" s="35"/>
      <c r="C83" s="91"/>
      <c r="D83" s="192"/>
      <c r="E83" s="192"/>
      <c r="F83" s="155"/>
      <c r="G83" s="255"/>
      <c r="H83" s="155"/>
      <c r="I83" s="92"/>
      <c r="J83" s="115">
        <f t="shared" si="9"/>
        <v>0</v>
      </c>
      <c r="K83" s="804">
        <f t="shared" si="24"/>
        <v>0</v>
      </c>
      <c r="L83" s="913" t="str">
        <f t="shared" si="25"/>
        <v>-</v>
      </c>
      <c r="M83" s="804">
        <f t="shared" si="26"/>
        <v>0</v>
      </c>
      <c r="N83" s="92"/>
      <c r="O83" s="804">
        <f t="shared" si="27"/>
        <v>0</v>
      </c>
      <c r="P83" s="804">
        <f t="shared" si="28"/>
        <v>0</v>
      </c>
      <c r="Q83" s="804">
        <f t="shared" si="29"/>
        <v>0</v>
      </c>
      <c r="R83" s="804">
        <f t="shared" si="30"/>
        <v>0</v>
      </c>
      <c r="S83" s="804">
        <f t="shared" si="31"/>
        <v>0</v>
      </c>
      <c r="T83" s="92"/>
      <c r="U83" s="804">
        <f t="shared" si="23"/>
        <v>0</v>
      </c>
      <c r="V83" s="804">
        <f t="shared" si="23"/>
        <v>0</v>
      </c>
      <c r="W83" s="804">
        <f t="shared" si="23"/>
        <v>0</v>
      </c>
      <c r="X83" s="804">
        <f t="shared" si="23"/>
        <v>0</v>
      </c>
      <c r="Y83" s="804">
        <f t="shared" si="23"/>
        <v>0</v>
      </c>
      <c r="Z83" s="98"/>
      <c r="AA83" s="35"/>
    </row>
    <row r="84" spans="2:27" x14ac:dyDescent="0.2">
      <c r="B84" s="35"/>
      <c r="C84" s="91"/>
      <c r="D84" s="192"/>
      <c r="E84" s="192"/>
      <c r="F84" s="155"/>
      <c r="G84" s="255"/>
      <c r="H84" s="155"/>
      <c r="I84" s="92"/>
      <c r="J84" s="115">
        <f t="shared" ref="J84:J141" si="32">IF(H84="geen",9999999999,H84)</f>
        <v>0</v>
      </c>
      <c r="K84" s="804">
        <f t="shared" si="24"/>
        <v>0</v>
      </c>
      <c r="L84" s="913" t="str">
        <f t="shared" si="25"/>
        <v>-</v>
      </c>
      <c r="M84" s="804">
        <f t="shared" si="26"/>
        <v>0</v>
      </c>
      <c r="N84" s="92"/>
      <c r="O84" s="804">
        <f t="shared" si="27"/>
        <v>0</v>
      </c>
      <c r="P84" s="804">
        <f t="shared" si="28"/>
        <v>0</v>
      </c>
      <c r="Q84" s="804">
        <f t="shared" si="29"/>
        <v>0</v>
      </c>
      <c r="R84" s="804">
        <f t="shared" si="30"/>
        <v>0</v>
      </c>
      <c r="S84" s="804">
        <f t="shared" si="31"/>
        <v>0</v>
      </c>
      <c r="T84" s="92"/>
      <c r="U84" s="804">
        <f t="shared" si="23"/>
        <v>0</v>
      </c>
      <c r="V84" s="804">
        <f t="shared" si="23"/>
        <v>0</v>
      </c>
      <c r="W84" s="804">
        <f t="shared" si="23"/>
        <v>0</v>
      </c>
      <c r="X84" s="804">
        <f t="shared" si="23"/>
        <v>0</v>
      </c>
      <c r="Y84" s="804">
        <f t="shared" si="23"/>
        <v>0</v>
      </c>
      <c r="Z84" s="98"/>
      <c r="AA84" s="35"/>
    </row>
    <row r="85" spans="2:27" x14ac:dyDescent="0.2">
      <c r="B85" s="35"/>
      <c r="C85" s="91"/>
      <c r="D85" s="192"/>
      <c r="E85" s="192"/>
      <c r="F85" s="155"/>
      <c r="G85" s="255"/>
      <c r="H85" s="155"/>
      <c r="I85" s="92"/>
      <c r="J85" s="115">
        <f t="shared" si="32"/>
        <v>0</v>
      </c>
      <c r="K85" s="804">
        <f t="shared" si="24"/>
        <v>0</v>
      </c>
      <c r="L85" s="913" t="str">
        <f t="shared" si="25"/>
        <v>-</v>
      </c>
      <c r="M85" s="804">
        <f t="shared" si="26"/>
        <v>0</v>
      </c>
      <c r="N85" s="92"/>
      <c r="O85" s="804">
        <f t="shared" si="27"/>
        <v>0</v>
      </c>
      <c r="P85" s="804">
        <f t="shared" si="28"/>
        <v>0</v>
      </c>
      <c r="Q85" s="804">
        <f t="shared" si="29"/>
        <v>0</v>
      </c>
      <c r="R85" s="804">
        <f t="shared" si="30"/>
        <v>0</v>
      </c>
      <c r="S85" s="804">
        <f t="shared" si="31"/>
        <v>0</v>
      </c>
      <c r="T85" s="92"/>
      <c r="U85" s="804">
        <f t="shared" si="23"/>
        <v>0</v>
      </c>
      <c r="V85" s="804">
        <f t="shared" si="23"/>
        <v>0</v>
      </c>
      <c r="W85" s="804">
        <f t="shared" si="23"/>
        <v>0</v>
      </c>
      <c r="X85" s="804">
        <f t="shared" si="23"/>
        <v>0</v>
      </c>
      <c r="Y85" s="804">
        <f t="shared" si="23"/>
        <v>0</v>
      </c>
      <c r="Z85" s="98"/>
      <c r="AA85" s="35"/>
    </row>
    <row r="86" spans="2:27" x14ac:dyDescent="0.2">
      <c r="B86" s="35"/>
      <c r="C86" s="91"/>
      <c r="D86" s="192"/>
      <c r="E86" s="192"/>
      <c r="F86" s="155"/>
      <c r="G86" s="255"/>
      <c r="H86" s="155"/>
      <c r="I86" s="92"/>
      <c r="J86" s="115">
        <f t="shared" si="32"/>
        <v>0</v>
      </c>
      <c r="K86" s="804">
        <f t="shared" si="24"/>
        <v>0</v>
      </c>
      <c r="L86" s="913" t="str">
        <f t="shared" si="25"/>
        <v>-</v>
      </c>
      <c r="M86" s="804">
        <f t="shared" si="26"/>
        <v>0</v>
      </c>
      <c r="N86" s="92"/>
      <c r="O86" s="804">
        <f t="shared" si="27"/>
        <v>0</v>
      </c>
      <c r="P86" s="804">
        <f t="shared" si="28"/>
        <v>0</v>
      </c>
      <c r="Q86" s="804">
        <f t="shared" si="29"/>
        <v>0</v>
      </c>
      <c r="R86" s="804">
        <f t="shared" si="30"/>
        <v>0</v>
      </c>
      <c r="S86" s="804">
        <f t="shared" si="31"/>
        <v>0</v>
      </c>
      <c r="T86" s="92"/>
      <c r="U86" s="804">
        <f t="shared" ref="U86:Y117" si="33">IF(U$9=$F86,$G86,0)</f>
        <v>0</v>
      </c>
      <c r="V86" s="804">
        <f t="shared" si="33"/>
        <v>0</v>
      </c>
      <c r="W86" s="804">
        <f t="shared" si="33"/>
        <v>0</v>
      </c>
      <c r="X86" s="804">
        <f t="shared" si="33"/>
        <v>0</v>
      </c>
      <c r="Y86" s="804">
        <f t="shared" si="33"/>
        <v>0</v>
      </c>
      <c r="Z86" s="98"/>
      <c r="AA86" s="35"/>
    </row>
    <row r="87" spans="2:27" x14ac:dyDescent="0.2">
      <c r="B87" s="35"/>
      <c r="C87" s="91"/>
      <c r="D87" s="192"/>
      <c r="E87" s="192"/>
      <c r="F87" s="155"/>
      <c r="G87" s="255"/>
      <c r="H87" s="155"/>
      <c r="I87" s="92"/>
      <c r="J87" s="115">
        <f t="shared" ref="J87:J108" si="34">IF(H87="geen",9999999999,H87)</f>
        <v>0</v>
      </c>
      <c r="K87" s="804">
        <f t="shared" ref="K87:K108" si="35">IF(G87=0,0,(G87/J87))</f>
        <v>0</v>
      </c>
      <c r="L87" s="913" t="str">
        <f t="shared" ref="L87:L108" si="36">IF(J87=0,"-",(IF(J87&gt;3000,"-",F87+J87-1)))</f>
        <v>-</v>
      </c>
      <c r="M87" s="804">
        <f t="shared" ref="M87:M108" si="37">IF(H87="geen",IF(F87&lt;$O$9,G87,0),IF(F87&gt;=$O$9,0,IF((G87-($O$9-F87)*K87)&lt;0,0,G87-($O$9-F87)*K87)))</f>
        <v>0</v>
      </c>
      <c r="N87" s="92"/>
      <c r="O87" s="804">
        <f t="shared" si="27"/>
        <v>0</v>
      </c>
      <c r="P87" s="804">
        <f t="shared" si="28"/>
        <v>0</v>
      </c>
      <c r="Q87" s="804">
        <f t="shared" si="29"/>
        <v>0</v>
      </c>
      <c r="R87" s="804">
        <f t="shared" si="30"/>
        <v>0</v>
      </c>
      <c r="S87" s="804">
        <f t="shared" si="31"/>
        <v>0</v>
      </c>
      <c r="T87" s="92"/>
      <c r="U87" s="804">
        <f t="shared" si="33"/>
        <v>0</v>
      </c>
      <c r="V87" s="804">
        <f t="shared" si="33"/>
        <v>0</v>
      </c>
      <c r="W87" s="804">
        <f t="shared" si="33"/>
        <v>0</v>
      </c>
      <c r="X87" s="804">
        <f t="shared" si="33"/>
        <v>0</v>
      </c>
      <c r="Y87" s="804">
        <f t="shared" si="33"/>
        <v>0</v>
      </c>
      <c r="Z87" s="98"/>
      <c r="AA87" s="35"/>
    </row>
    <row r="88" spans="2:27" x14ac:dyDescent="0.2">
      <c r="B88" s="35"/>
      <c r="C88" s="91"/>
      <c r="D88" s="192"/>
      <c r="E88" s="192"/>
      <c r="F88" s="155"/>
      <c r="G88" s="255"/>
      <c r="H88" s="155"/>
      <c r="I88" s="92"/>
      <c r="J88" s="115">
        <f t="shared" si="34"/>
        <v>0</v>
      </c>
      <c r="K88" s="804">
        <f t="shared" si="35"/>
        <v>0</v>
      </c>
      <c r="L88" s="913" t="str">
        <f t="shared" si="36"/>
        <v>-</v>
      </c>
      <c r="M88" s="804">
        <f t="shared" si="37"/>
        <v>0</v>
      </c>
      <c r="N88" s="92"/>
      <c r="O88" s="804">
        <f t="shared" si="27"/>
        <v>0</v>
      </c>
      <c r="P88" s="804">
        <f t="shared" si="28"/>
        <v>0</v>
      </c>
      <c r="Q88" s="804">
        <f t="shared" si="29"/>
        <v>0</v>
      </c>
      <c r="R88" s="804">
        <f t="shared" si="30"/>
        <v>0</v>
      </c>
      <c r="S88" s="804">
        <f t="shared" si="31"/>
        <v>0</v>
      </c>
      <c r="T88" s="92"/>
      <c r="U88" s="804">
        <f t="shared" si="33"/>
        <v>0</v>
      </c>
      <c r="V88" s="804">
        <f t="shared" si="33"/>
        <v>0</v>
      </c>
      <c r="W88" s="804">
        <f t="shared" si="33"/>
        <v>0</v>
      </c>
      <c r="X88" s="804">
        <f t="shared" si="33"/>
        <v>0</v>
      </c>
      <c r="Y88" s="804">
        <f t="shared" si="33"/>
        <v>0</v>
      </c>
      <c r="Z88" s="98"/>
      <c r="AA88" s="35"/>
    </row>
    <row r="89" spans="2:27" x14ac:dyDescent="0.2">
      <c r="B89" s="35"/>
      <c r="C89" s="91"/>
      <c r="D89" s="192"/>
      <c r="E89" s="192"/>
      <c r="F89" s="155"/>
      <c r="G89" s="255"/>
      <c r="H89" s="155"/>
      <c r="I89" s="92"/>
      <c r="J89" s="115">
        <f t="shared" si="34"/>
        <v>0</v>
      </c>
      <c r="K89" s="804">
        <f t="shared" si="35"/>
        <v>0</v>
      </c>
      <c r="L89" s="913" t="str">
        <f t="shared" si="36"/>
        <v>-</v>
      </c>
      <c r="M89" s="804">
        <f t="shared" si="37"/>
        <v>0</v>
      </c>
      <c r="N89" s="92"/>
      <c r="O89" s="804">
        <f t="shared" si="27"/>
        <v>0</v>
      </c>
      <c r="P89" s="804">
        <f t="shared" si="28"/>
        <v>0</v>
      </c>
      <c r="Q89" s="804">
        <f t="shared" si="29"/>
        <v>0</v>
      </c>
      <c r="R89" s="804">
        <f t="shared" si="30"/>
        <v>0</v>
      </c>
      <c r="S89" s="804">
        <f t="shared" si="31"/>
        <v>0</v>
      </c>
      <c r="T89" s="92"/>
      <c r="U89" s="804">
        <f t="shared" si="33"/>
        <v>0</v>
      </c>
      <c r="V89" s="804">
        <f t="shared" si="33"/>
        <v>0</v>
      </c>
      <c r="W89" s="804">
        <f t="shared" si="33"/>
        <v>0</v>
      </c>
      <c r="X89" s="804">
        <f t="shared" si="33"/>
        <v>0</v>
      </c>
      <c r="Y89" s="804">
        <f t="shared" si="33"/>
        <v>0</v>
      </c>
      <c r="Z89" s="98"/>
      <c r="AA89" s="35"/>
    </row>
    <row r="90" spans="2:27" x14ac:dyDescent="0.2">
      <c r="B90" s="35"/>
      <c r="C90" s="91"/>
      <c r="D90" s="192"/>
      <c r="E90" s="192"/>
      <c r="F90" s="155"/>
      <c r="G90" s="255"/>
      <c r="H90" s="155"/>
      <c r="I90" s="92"/>
      <c r="J90" s="115">
        <f t="shared" si="34"/>
        <v>0</v>
      </c>
      <c r="K90" s="804">
        <f t="shared" si="35"/>
        <v>0</v>
      </c>
      <c r="L90" s="913" t="str">
        <f t="shared" si="36"/>
        <v>-</v>
      </c>
      <c r="M90" s="804">
        <f t="shared" si="37"/>
        <v>0</v>
      </c>
      <c r="N90" s="92"/>
      <c r="O90" s="804">
        <f t="shared" si="27"/>
        <v>0</v>
      </c>
      <c r="P90" s="804">
        <f t="shared" si="28"/>
        <v>0</v>
      </c>
      <c r="Q90" s="804">
        <f t="shared" si="29"/>
        <v>0</v>
      </c>
      <c r="R90" s="804">
        <f t="shared" si="30"/>
        <v>0</v>
      </c>
      <c r="S90" s="804">
        <f t="shared" si="31"/>
        <v>0</v>
      </c>
      <c r="T90" s="92"/>
      <c r="U90" s="804">
        <f t="shared" si="33"/>
        <v>0</v>
      </c>
      <c r="V90" s="804">
        <f t="shared" si="33"/>
        <v>0</v>
      </c>
      <c r="W90" s="804">
        <f t="shared" si="33"/>
        <v>0</v>
      </c>
      <c r="X90" s="804">
        <f t="shared" si="33"/>
        <v>0</v>
      </c>
      <c r="Y90" s="804">
        <f t="shared" si="33"/>
        <v>0</v>
      </c>
      <c r="Z90" s="98"/>
      <c r="AA90" s="35"/>
    </row>
    <row r="91" spans="2:27" x14ac:dyDescent="0.2">
      <c r="B91" s="35"/>
      <c r="C91" s="91"/>
      <c r="D91" s="192"/>
      <c r="E91" s="192"/>
      <c r="F91" s="155"/>
      <c r="G91" s="255"/>
      <c r="H91" s="155"/>
      <c r="I91" s="92"/>
      <c r="J91" s="115">
        <f t="shared" si="34"/>
        <v>0</v>
      </c>
      <c r="K91" s="804">
        <f t="shared" si="35"/>
        <v>0</v>
      </c>
      <c r="L91" s="913" t="str">
        <f t="shared" si="36"/>
        <v>-</v>
      </c>
      <c r="M91" s="804">
        <f t="shared" si="37"/>
        <v>0</v>
      </c>
      <c r="N91" s="92"/>
      <c r="O91" s="804">
        <f t="shared" si="27"/>
        <v>0</v>
      </c>
      <c r="P91" s="804">
        <f t="shared" si="28"/>
        <v>0</v>
      </c>
      <c r="Q91" s="804">
        <f t="shared" si="29"/>
        <v>0</v>
      </c>
      <c r="R91" s="804">
        <f t="shared" si="30"/>
        <v>0</v>
      </c>
      <c r="S91" s="804">
        <f t="shared" si="31"/>
        <v>0</v>
      </c>
      <c r="T91" s="92"/>
      <c r="U91" s="804">
        <f t="shared" si="33"/>
        <v>0</v>
      </c>
      <c r="V91" s="804">
        <f t="shared" si="33"/>
        <v>0</v>
      </c>
      <c r="W91" s="804">
        <f t="shared" si="33"/>
        <v>0</v>
      </c>
      <c r="X91" s="804">
        <f t="shared" si="33"/>
        <v>0</v>
      </c>
      <c r="Y91" s="804">
        <f t="shared" si="33"/>
        <v>0</v>
      </c>
      <c r="Z91" s="98"/>
      <c r="AA91" s="35"/>
    </row>
    <row r="92" spans="2:27" x14ac:dyDescent="0.2">
      <c r="B92" s="35"/>
      <c r="C92" s="91"/>
      <c r="D92" s="192"/>
      <c r="E92" s="192"/>
      <c r="F92" s="155"/>
      <c r="G92" s="255"/>
      <c r="H92" s="155"/>
      <c r="I92" s="92"/>
      <c r="J92" s="115">
        <f t="shared" si="34"/>
        <v>0</v>
      </c>
      <c r="K92" s="804">
        <f t="shared" si="35"/>
        <v>0</v>
      </c>
      <c r="L92" s="913" t="str">
        <f t="shared" si="36"/>
        <v>-</v>
      </c>
      <c r="M92" s="804">
        <f t="shared" si="37"/>
        <v>0</v>
      </c>
      <c r="N92" s="92"/>
      <c r="O92" s="804">
        <f t="shared" si="27"/>
        <v>0</v>
      </c>
      <c r="P92" s="804">
        <f t="shared" si="28"/>
        <v>0</v>
      </c>
      <c r="Q92" s="804">
        <f t="shared" si="29"/>
        <v>0</v>
      </c>
      <c r="R92" s="804">
        <f t="shared" si="30"/>
        <v>0</v>
      </c>
      <c r="S92" s="804">
        <f t="shared" si="31"/>
        <v>0</v>
      </c>
      <c r="T92" s="92"/>
      <c r="U92" s="804">
        <f t="shared" si="33"/>
        <v>0</v>
      </c>
      <c r="V92" s="804">
        <f t="shared" si="33"/>
        <v>0</v>
      </c>
      <c r="W92" s="804">
        <f t="shared" si="33"/>
        <v>0</v>
      </c>
      <c r="X92" s="804">
        <f t="shared" si="33"/>
        <v>0</v>
      </c>
      <c r="Y92" s="804">
        <f t="shared" si="33"/>
        <v>0</v>
      </c>
      <c r="Z92" s="98"/>
      <c r="AA92" s="35"/>
    </row>
    <row r="93" spans="2:27" x14ac:dyDescent="0.2">
      <c r="B93" s="35"/>
      <c r="C93" s="91"/>
      <c r="D93" s="192"/>
      <c r="E93" s="192"/>
      <c r="F93" s="155"/>
      <c r="G93" s="255"/>
      <c r="H93" s="155"/>
      <c r="I93" s="92"/>
      <c r="J93" s="115">
        <f t="shared" si="34"/>
        <v>0</v>
      </c>
      <c r="K93" s="804">
        <f t="shared" si="35"/>
        <v>0</v>
      </c>
      <c r="L93" s="913" t="str">
        <f t="shared" si="36"/>
        <v>-</v>
      </c>
      <c r="M93" s="804">
        <f t="shared" si="37"/>
        <v>0</v>
      </c>
      <c r="N93" s="92"/>
      <c r="O93" s="804">
        <f t="shared" si="27"/>
        <v>0</v>
      </c>
      <c r="P93" s="804">
        <f t="shared" si="28"/>
        <v>0</v>
      </c>
      <c r="Q93" s="804">
        <f t="shared" si="29"/>
        <v>0</v>
      </c>
      <c r="R93" s="804">
        <f t="shared" si="30"/>
        <v>0</v>
      </c>
      <c r="S93" s="804">
        <f t="shared" si="31"/>
        <v>0</v>
      </c>
      <c r="T93" s="92"/>
      <c r="U93" s="804">
        <f t="shared" si="33"/>
        <v>0</v>
      </c>
      <c r="V93" s="804">
        <f t="shared" si="33"/>
        <v>0</v>
      </c>
      <c r="W93" s="804">
        <f t="shared" si="33"/>
        <v>0</v>
      </c>
      <c r="X93" s="804">
        <f t="shared" si="33"/>
        <v>0</v>
      </c>
      <c r="Y93" s="804">
        <f t="shared" si="33"/>
        <v>0</v>
      </c>
      <c r="Z93" s="98"/>
      <c r="AA93" s="35"/>
    </row>
    <row r="94" spans="2:27" x14ac:dyDescent="0.2">
      <c r="B94" s="35"/>
      <c r="C94" s="91"/>
      <c r="D94" s="192"/>
      <c r="E94" s="192"/>
      <c r="F94" s="155"/>
      <c r="G94" s="255"/>
      <c r="H94" s="155"/>
      <c r="I94" s="92"/>
      <c r="J94" s="115">
        <f t="shared" si="34"/>
        <v>0</v>
      </c>
      <c r="K94" s="804">
        <f t="shared" si="35"/>
        <v>0</v>
      </c>
      <c r="L94" s="913" t="str">
        <f t="shared" si="36"/>
        <v>-</v>
      </c>
      <c r="M94" s="804">
        <f t="shared" si="37"/>
        <v>0</v>
      </c>
      <c r="N94" s="92"/>
      <c r="O94" s="804">
        <f t="shared" si="27"/>
        <v>0</v>
      </c>
      <c r="P94" s="804">
        <f t="shared" si="28"/>
        <v>0</v>
      </c>
      <c r="Q94" s="804">
        <f t="shared" si="29"/>
        <v>0</v>
      </c>
      <c r="R94" s="804">
        <f t="shared" si="30"/>
        <v>0</v>
      </c>
      <c r="S94" s="804">
        <f t="shared" si="31"/>
        <v>0</v>
      </c>
      <c r="T94" s="92"/>
      <c r="U94" s="804">
        <f t="shared" si="33"/>
        <v>0</v>
      </c>
      <c r="V94" s="804">
        <f t="shared" si="33"/>
        <v>0</v>
      </c>
      <c r="W94" s="804">
        <f t="shared" si="33"/>
        <v>0</v>
      </c>
      <c r="X94" s="804">
        <f t="shared" si="33"/>
        <v>0</v>
      </c>
      <c r="Y94" s="804">
        <f t="shared" si="33"/>
        <v>0</v>
      </c>
      <c r="Z94" s="98"/>
      <c r="AA94" s="35"/>
    </row>
    <row r="95" spans="2:27" x14ac:dyDescent="0.2">
      <c r="B95" s="35"/>
      <c r="C95" s="91"/>
      <c r="D95" s="192"/>
      <c r="E95" s="192"/>
      <c r="F95" s="155"/>
      <c r="G95" s="255"/>
      <c r="H95" s="155"/>
      <c r="I95" s="92"/>
      <c r="J95" s="115">
        <f t="shared" si="34"/>
        <v>0</v>
      </c>
      <c r="K95" s="804">
        <f t="shared" si="35"/>
        <v>0</v>
      </c>
      <c r="L95" s="913" t="str">
        <f t="shared" si="36"/>
        <v>-</v>
      </c>
      <c r="M95" s="804">
        <f t="shared" si="37"/>
        <v>0</v>
      </c>
      <c r="N95" s="92"/>
      <c r="O95" s="804">
        <f t="shared" si="27"/>
        <v>0</v>
      </c>
      <c r="P95" s="804">
        <f t="shared" si="28"/>
        <v>0</v>
      </c>
      <c r="Q95" s="804">
        <f t="shared" si="29"/>
        <v>0</v>
      </c>
      <c r="R95" s="804">
        <f t="shared" si="30"/>
        <v>0</v>
      </c>
      <c r="S95" s="804">
        <f t="shared" si="31"/>
        <v>0</v>
      </c>
      <c r="T95" s="92"/>
      <c r="U95" s="804">
        <f t="shared" si="33"/>
        <v>0</v>
      </c>
      <c r="V95" s="804">
        <f t="shared" si="33"/>
        <v>0</v>
      </c>
      <c r="W95" s="804">
        <f t="shared" si="33"/>
        <v>0</v>
      </c>
      <c r="X95" s="804">
        <f t="shared" si="33"/>
        <v>0</v>
      </c>
      <c r="Y95" s="804">
        <f t="shared" si="33"/>
        <v>0</v>
      </c>
      <c r="Z95" s="98"/>
      <c r="AA95" s="35"/>
    </row>
    <row r="96" spans="2:27" x14ac:dyDescent="0.2">
      <c r="B96" s="35"/>
      <c r="C96" s="91"/>
      <c r="D96" s="192"/>
      <c r="E96" s="192"/>
      <c r="F96" s="155"/>
      <c r="G96" s="255"/>
      <c r="H96" s="155"/>
      <c r="I96" s="92"/>
      <c r="J96" s="115">
        <f t="shared" si="34"/>
        <v>0</v>
      </c>
      <c r="K96" s="804">
        <f t="shared" si="35"/>
        <v>0</v>
      </c>
      <c r="L96" s="913" t="str">
        <f t="shared" si="36"/>
        <v>-</v>
      </c>
      <c r="M96" s="804">
        <f t="shared" si="37"/>
        <v>0</v>
      </c>
      <c r="N96" s="92"/>
      <c r="O96" s="804">
        <f t="shared" si="27"/>
        <v>0</v>
      </c>
      <c r="P96" s="804">
        <f t="shared" si="28"/>
        <v>0</v>
      </c>
      <c r="Q96" s="804">
        <f t="shared" si="29"/>
        <v>0</v>
      </c>
      <c r="R96" s="804">
        <f t="shared" si="30"/>
        <v>0</v>
      </c>
      <c r="S96" s="804">
        <f t="shared" si="31"/>
        <v>0</v>
      </c>
      <c r="T96" s="92"/>
      <c r="U96" s="804">
        <f t="shared" si="33"/>
        <v>0</v>
      </c>
      <c r="V96" s="804">
        <f t="shared" si="33"/>
        <v>0</v>
      </c>
      <c r="W96" s="804">
        <f t="shared" si="33"/>
        <v>0</v>
      </c>
      <c r="X96" s="804">
        <f t="shared" si="33"/>
        <v>0</v>
      </c>
      <c r="Y96" s="804">
        <f t="shared" si="33"/>
        <v>0</v>
      </c>
      <c r="Z96" s="98"/>
      <c r="AA96" s="35"/>
    </row>
    <row r="97" spans="2:27" x14ac:dyDescent="0.2">
      <c r="B97" s="35"/>
      <c r="C97" s="91"/>
      <c r="D97" s="192"/>
      <c r="E97" s="192"/>
      <c r="F97" s="155"/>
      <c r="G97" s="255"/>
      <c r="H97" s="155"/>
      <c r="I97" s="92"/>
      <c r="J97" s="115">
        <f t="shared" si="34"/>
        <v>0</v>
      </c>
      <c r="K97" s="804">
        <f t="shared" si="35"/>
        <v>0</v>
      </c>
      <c r="L97" s="913" t="str">
        <f t="shared" si="36"/>
        <v>-</v>
      </c>
      <c r="M97" s="804">
        <f t="shared" si="37"/>
        <v>0</v>
      </c>
      <c r="N97" s="92"/>
      <c r="O97" s="804">
        <f t="shared" si="27"/>
        <v>0</v>
      </c>
      <c r="P97" s="804">
        <f t="shared" si="28"/>
        <v>0</v>
      </c>
      <c r="Q97" s="804">
        <f t="shared" si="29"/>
        <v>0</v>
      </c>
      <c r="R97" s="804">
        <f t="shared" si="30"/>
        <v>0</v>
      </c>
      <c r="S97" s="804">
        <f t="shared" si="31"/>
        <v>0</v>
      </c>
      <c r="T97" s="92"/>
      <c r="U97" s="804">
        <f t="shared" si="33"/>
        <v>0</v>
      </c>
      <c r="V97" s="804">
        <f t="shared" si="33"/>
        <v>0</v>
      </c>
      <c r="W97" s="804">
        <f t="shared" si="33"/>
        <v>0</v>
      </c>
      <c r="X97" s="804">
        <f t="shared" si="33"/>
        <v>0</v>
      </c>
      <c r="Y97" s="804">
        <f t="shared" si="33"/>
        <v>0</v>
      </c>
      <c r="Z97" s="98"/>
      <c r="AA97" s="35"/>
    </row>
    <row r="98" spans="2:27" x14ac:dyDescent="0.2">
      <c r="B98" s="35"/>
      <c r="C98" s="91"/>
      <c r="D98" s="192"/>
      <c r="E98" s="192"/>
      <c r="F98" s="155"/>
      <c r="G98" s="255"/>
      <c r="H98" s="155"/>
      <c r="I98" s="92"/>
      <c r="J98" s="115">
        <f t="shared" si="34"/>
        <v>0</v>
      </c>
      <c r="K98" s="804">
        <f t="shared" si="35"/>
        <v>0</v>
      </c>
      <c r="L98" s="913" t="str">
        <f t="shared" si="36"/>
        <v>-</v>
      </c>
      <c r="M98" s="804">
        <f t="shared" si="37"/>
        <v>0</v>
      </c>
      <c r="N98" s="92"/>
      <c r="O98" s="804">
        <f t="shared" si="27"/>
        <v>0</v>
      </c>
      <c r="P98" s="804">
        <f t="shared" si="28"/>
        <v>0</v>
      </c>
      <c r="Q98" s="804">
        <f t="shared" si="29"/>
        <v>0</v>
      </c>
      <c r="R98" s="804">
        <f t="shared" si="30"/>
        <v>0</v>
      </c>
      <c r="S98" s="804">
        <f t="shared" si="31"/>
        <v>0</v>
      </c>
      <c r="T98" s="92"/>
      <c r="U98" s="804">
        <f t="shared" si="33"/>
        <v>0</v>
      </c>
      <c r="V98" s="804">
        <f t="shared" si="33"/>
        <v>0</v>
      </c>
      <c r="W98" s="804">
        <f t="shared" si="33"/>
        <v>0</v>
      </c>
      <c r="X98" s="804">
        <f t="shared" si="33"/>
        <v>0</v>
      </c>
      <c r="Y98" s="804">
        <f t="shared" si="33"/>
        <v>0</v>
      </c>
      <c r="Z98" s="98"/>
      <c r="AA98" s="35"/>
    </row>
    <row r="99" spans="2:27" x14ac:dyDescent="0.2">
      <c r="B99" s="35"/>
      <c r="C99" s="91"/>
      <c r="D99" s="192"/>
      <c r="E99" s="192"/>
      <c r="F99" s="155"/>
      <c r="G99" s="255"/>
      <c r="H99" s="155"/>
      <c r="I99" s="92"/>
      <c r="J99" s="115">
        <f t="shared" si="34"/>
        <v>0</v>
      </c>
      <c r="K99" s="804">
        <f t="shared" si="35"/>
        <v>0</v>
      </c>
      <c r="L99" s="913" t="str">
        <f t="shared" si="36"/>
        <v>-</v>
      </c>
      <c r="M99" s="804">
        <f t="shared" si="37"/>
        <v>0</v>
      </c>
      <c r="N99" s="92"/>
      <c r="O99" s="804">
        <f t="shared" si="27"/>
        <v>0</v>
      </c>
      <c r="P99" s="804">
        <f t="shared" si="28"/>
        <v>0</v>
      </c>
      <c r="Q99" s="804">
        <f t="shared" si="29"/>
        <v>0</v>
      </c>
      <c r="R99" s="804">
        <f t="shared" si="30"/>
        <v>0</v>
      </c>
      <c r="S99" s="804">
        <f t="shared" si="31"/>
        <v>0</v>
      </c>
      <c r="T99" s="92"/>
      <c r="U99" s="804">
        <f t="shared" si="33"/>
        <v>0</v>
      </c>
      <c r="V99" s="804">
        <f t="shared" si="33"/>
        <v>0</v>
      </c>
      <c r="W99" s="804">
        <f t="shared" si="33"/>
        <v>0</v>
      </c>
      <c r="X99" s="804">
        <f t="shared" si="33"/>
        <v>0</v>
      </c>
      <c r="Y99" s="804">
        <f t="shared" si="33"/>
        <v>0</v>
      </c>
      <c r="Z99" s="98"/>
      <c r="AA99" s="35"/>
    </row>
    <row r="100" spans="2:27" x14ac:dyDescent="0.2">
      <c r="B100" s="35"/>
      <c r="C100" s="91"/>
      <c r="D100" s="192"/>
      <c r="E100" s="192"/>
      <c r="F100" s="155"/>
      <c r="G100" s="255"/>
      <c r="H100" s="155"/>
      <c r="I100" s="92"/>
      <c r="J100" s="115">
        <f t="shared" si="34"/>
        <v>0</v>
      </c>
      <c r="K100" s="804">
        <f t="shared" si="35"/>
        <v>0</v>
      </c>
      <c r="L100" s="913" t="str">
        <f t="shared" si="36"/>
        <v>-</v>
      </c>
      <c r="M100" s="804">
        <f t="shared" si="37"/>
        <v>0</v>
      </c>
      <c r="N100" s="92"/>
      <c r="O100" s="804">
        <f t="shared" si="27"/>
        <v>0</v>
      </c>
      <c r="P100" s="804">
        <f t="shared" si="28"/>
        <v>0</v>
      </c>
      <c r="Q100" s="804">
        <f t="shared" si="29"/>
        <v>0</v>
      </c>
      <c r="R100" s="804">
        <f t="shared" si="30"/>
        <v>0</v>
      </c>
      <c r="S100" s="804">
        <f t="shared" si="31"/>
        <v>0</v>
      </c>
      <c r="T100" s="92"/>
      <c r="U100" s="804">
        <f t="shared" si="33"/>
        <v>0</v>
      </c>
      <c r="V100" s="804">
        <f t="shared" si="33"/>
        <v>0</v>
      </c>
      <c r="W100" s="804">
        <f t="shared" si="33"/>
        <v>0</v>
      </c>
      <c r="X100" s="804">
        <f t="shared" si="33"/>
        <v>0</v>
      </c>
      <c r="Y100" s="804">
        <f t="shared" si="33"/>
        <v>0</v>
      </c>
      <c r="Z100" s="98"/>
      <c r="AA100" s="35"/>
    </row>
    <row r="101" spans="2:27" x14ac:dyDescent="0.2">
      <c r="B101" s="35"/>
      <c r="C101" s="91"/>
      <c r="D101" s="192"/>
      <c r="E101" s="192"/>
      <c r="F101" s="155"/>
      <c r="G101" s="255"/>
      <c r="H101" s="155"/>
      <c r="I101" s="92"/>
      <c r="J101" s="115">
        <f t="shared" si="34"/>
        <v>0</v>
      </c>
      <c r="K101" s="804">
        <f t="shared" si="35"/>
        <v>0</v>
      </c>
      <c r="L101" s="913" t="str">
        <f t="shared" si="36"/>
        <v>-</v>
      </c>
      <c r="M101" s="804">
        <f t="shared" si="37"/>
        <v>0</v>
      </c>
      <c r="N101" s="92"/>
      <c r="O101" s="804">
        <f t="shared" si="27"/>
        <v>0</v>
      </c>
      <c r="P101" s="804">
        <f t="shared" si="28"/>
        <v>0</v>
      </c>
      <c r="Q101" s="804">
        <f t="shared" si="29"/>
        <v>0</v>
      </c>
      <c r="R101" s="804">
        <f t="shared" si="30"/>
        <v>0</v>
      </c>
      <c r="S101" s="804">
        <f t="shared" si="31"/>
        <v>0</v>
      </c>
      <c r="T101" s="92"/>
      <c r="U101" s="804">
        <f t="shared" si="33"/>
        <v>0</v>
      </c>
      <c r="V101" s="804">
        <f t="shared" si="33"/>
        <v>0</v>
      </c>
      <c r="W101" s="804">
        <f t="shared" si="33"/>
        <v>0</v>
      </c>
      <c r="X101" s="804">
        <f t="shared" si="33"/>
        <v>0</v>
      </c>
      <c r="Y101" s="804">
        <f t="shared" si="33"/>
        <v>0</v>
      </c>
      <c r="Z101" s="98"/>
      <c r="AA101" s="35"/>
    </row>
    <row r="102" spans="2:27" x14ac:dyDescent="0.2">
      <c r="B102" s="35"/>
      <c r="C102" s="91"/>
      <c r="D102" s="192"/>
      <c r="E102" s="192"/>
      <c r="F102" s="155"/>
      <c r="G102" s="255"/>
      <c r="H102" s="155"/>
      <c r="I102" s="92"/>
      <c r="J102" s="115">
        <f t="shared" si="34"/>
        <v>0</v>
      </c>
      <c r="K102" s="804">
        <f t="shared" si="35"/>
        <v>0</v>
      </c>
      <c r="L102" s="913" t="str">
        <f t="shared" si="36"/>
        <v>-</v>
      </c>
      <c r="M102" s="804">
        <f t="shared" si="37"/>
        <v>0</v>
      </c>
      <c r="N102" s="92"/>
      <c r="O102" s="804">
        <f t="shared" si="27"/>
        <v>0</v>
      </c>
      <c r="P102" s="804">
        <f t="shared" si="28"/>
        <v>0</v>
      </c>
      <c r="Q102" s="804">
        <f t="shared" si="29"/>
        <v>0</v>
      </c>
      <c r="R102" s="804">
        <f t="shared" si="30"/>
        <v>0</v>
      </c>
      <c r="S102" s="804">
        <f t="shared" si="31"/>
        <v>0</v>
      </c>
      <c r="T102" s="92"/>
      <c r="U102" s="804">
        <f t="shared" si="33"/>
        <v>0</v>
      </c>
      <c r="V102" s="804">
        <f t="shared" si="33"/>
        <v>0</v>
      </c>
      <c r="W102" s="804">
        <f t="shared" si="33"/>
        <v>0</v>
      </c>
      <c r="X102" s="804">
        <f t="shared" si="33"/>
        <v>0</v>
      </c>
      <c r="Y102" s="804">
        <f t="shared" si="33"/>
        <v>0</v>
      </c>
      <c r="Z102" s="98"/>
      <c r="AA102" s="35"/>
    </row>
    <row r="103" spans="2:27" x14ac:dyDescent="0.2">
      <c r="B103" s="35"/>
      <c r="C103" s="91"/>
      <c r="D103" s="192"/>
      <c r="E103" s="192"/>
      <c r="F103" s="155"/>
      <c r="G103" s="255"/>
      <c r="H103" s="155"/>
      <c r="I103" s="92"/>
      <c r="J103" s="115">
        <f t="shared" si="34"/>
        <v>0</v>
      </c>
      <c r="K103" s="804">
        <f t="shared" si="35"/>
        <v>0</v>
      </c>
      <c r="L103" s="913" t="str">
        <f t="shared" si="36"/>
        <v>-</v>
      </c>
      <c r="M103" s="804">
        <f t="shared" si="37"/>
        <v>0</v>
      </c>
      <c r="N103" s="92"/>
      <c r="O103" s="804">
        <f t="shared" si="27"/>
        <v>0</v>
      </c>
      <c r="P103" s="804">
        <f t="shared" si="28"/>
        <v>0</v>
      </c>
      <c r="Q103" s="804">
        <f t="shared" si="29"/>
        <v>0</v>
      </c>
      <c r="R103" s="804">
        <f t="shared" si="30"/>
        <v>0</v>
      </c>
      <c r="S103" s="804">
        <f t="shared" si="31"/>
        <v>0</v>
      </c>
      <c r="T103" s="92"/>
      <c r="U103" s="804">
        <f t="shared" ref="U103:Y108" si="38">IF(U$9=$F103,$G103,0)</f>
        <v>0</v>
      </c>
      <c r="V103" s="804">
        <f t="shared" si="38"/>
        <v>0</v>
      </c>
      <c r="W103" s="804">
        <f t="shared" si="38"/>
        <v>0</v>
      </c>
      <c r="X103" s="804">
        <f t="shared" si="38"/>
        <v>0</v>
      </c>
      <c r="Y103" s="804">
        <f t="shared" si="38"/>
        <v>0</v>
      </c>
      <c r="Z103" s="98"/>
      <c r="AA103" s="35"/>
    </row>
    <row r="104" spans="2:27" x14ac:dyDescent="0.2">
      <c r="B104" s="35"/>
      <c r="C104" s="91"/>
      <c r="D104" s="192"/>
      <c r="E104" s="192"/>
      <c r="F104" s="155"/>
      <c r="G104" s="255"/>
      <c r="H104" s="155"/>
      <c r="I104" s="92"/>
      <c r="J104" s="115">
        <f t="shared" si="34"/>
        <v>0</v>
      </c>
      <c r="K104" s="804">
        <f t="shared" si="35"/>
        <v>0</v>
      </c>
      <c r="L104" s="913" t="str">
        <f t="shared" si="36"/>
        <v>-</v>
      </c>
      <c r="M104" s="804">
        <f t="shared" si="37"/>
        <v>0</v>
      </c>
      <c r="N104" s="92"/>
      <c r="O104" s="804">
        <f t="shared" si="27"/>
        <v>0</v>
      </c>
      <c r="P104" s="804">
        <f t="shared" si="28"/>
        <v>0</v>
      </c>
      <c r="Q104" s="804">
        <f t="shared" si="29"/>
        <v>0</v>
      </c>
      <c r="R104" s="804">
        <f t="shared" si="30"/>
        <v>0</v>
      </c>
      <c r="S104" s="804">
        <f t="shared" si="31"/>
        <v>0</v>
      </c>
      <c r="T104" s="92"/>
      <c r="U104" s="804">
        <f t="shared" si="38"/>
        <v>0</v>
      </c>
      <c r="V104" s="804">
        <f t="shared" si="38"/>
        <v>0</v>
      </c>
      <c r="W104" s="804">
        <f t="shared" si="38"/>
        <v>0</v>
      </c>
      <c r="X104" s="804">
        <f t="shared" si="38"/>
        <v>0</v>
      </c>
      <c r="Y104" s="804">
        <f t="shared" si="38"/>
        <v>0</v>
      </c>
      <c r="Z104" s="98"/>
      <c r="AA104" s="35"/>
    </row>
    <row r="105" spans="2:27" x14ac:dyDescent="0.2">
      <c r="B105" s="35"/>
      <c r="C105" s="91"/>
      <c r="D105" s="192"/>
      <c r="E105" s="192"/>
      <c r="F105" s="155"/>
      <c r="G105" s="255"/>
      <c r="H105" s="155"/>
      <c r="I105" s="92"/>
      <c r="J105" s="115">
        <f t="shared" si="34"/>
        <v>0</v>
      </c>
      <c r="K105" s="804">
        <f t="shared" si="35"/>
        <v>0</v>
      </c>
      <c r="L105" s="913" t="str">
        <f t="shared" si="36"/>
        <v>-</v>
      </c>
      <c r="M105" s="804">
        <f t="shared" si="37"/>
        <v>0</v>
      </c>
      <c r="N105" s="92"/>
      <c r="O105" s="804">
        <f t="shared" si="27"/>
        <v>0</v>
      </c>
      <c r="P105" s="804">
        <f t="shared" si="28"/>
        <v>0</v>
      </c>
      <c r="Q105" s="804">
        <f t="shared" si="29"/>
        <v>0</v>
      </c>
      <c r="R105" s="804">
        <f t="shared" si="30"/>
        <v>0</v>
      </c>
      <c r="S105" s="804">
        <f t="shared" si="31"/>
        <v>0</v>
      </c>
      <c r="T105" s="92"/>
      <c r="U105" s="804">
        <f t="shared" si="38"/>
        <v>0</v>
      </c>
      <c r="V105" s="804">
        <f t="shared" si="38"/>
        <v>0</v>
      </c>
      <c r="W105" s="804">
        <f t="shared" si="38"/>
        <v>0</v>
      </c>
      <c r="X105" s="804">
        <f t="shared" si="38"/>
        <v>0</v>
      </c>
      <c r="Y105" s="804">
        <f t="shared" si="38"/>
        <v>0</v>
      </c>
      <c r="Z105" s="98"/>
      <c r="AA105" s="35"/>
    </row>
    <row r="106" spans="2:27" x14ac:dyDescent="0.2">
      <c r="B106" s="35"/>
      <c r="C106" s="91"/>
      <c r="D106" s="192"/>
      <c r="E106" s="192"/>
      <c r="F106" s="155"/>
      <c r="G106" s="255"/>
      <c r="H106" s="155"/>
      <c r="I106" s="92"/>
      <c r="J106" s="115">
        <f t="shared" si="34"/>
        <v>0</v>
      </c>
      <c r="K106" s="804">
        <f t="shared" si="35"/>
        <v>0</v>
      </c>
      <c r="L106" s="913" t="str">
        <f t="shared" si="36"/>
        <v>-</v>
      </c>
      <c r="M106" s="804">
        <f t="shared" si="37"/>
        <v>0</v>
      </c>
      <c r="N106" s="92"/>
      <c r="O106" s="804">
        <f t="shared" si="27"/>
        <v>0</v>
      </c>
      <c r="P106" s="804">
        <f t="shared" si="28"/>
        <v>0</v>
      </c>
      <c r="Q106" s="804">
        <f t="shared" si="29"/>
        <v>0</v>
      </c>
      <c r="R106" s="804">
        <f t="shared" si="30"/>
        <v>0</v>
      </c>
      <c r="S106" s="804">
        <f t="shared" si="31"/>
        <v>0</v>
      </c>
      <c r="T106" s="92"/>
      <c r="U106" s="804">
        <f t="shared" si="38"/>
        <v>0</v>
      </c>
      <c r="V106" s="804">
        <f t="shared" si="38"/>
        <v>0</v>
      </c>
      <c r="W106" s="804">
        <f t="shared" si="38"/>
        <v>0</v>
      </c>
      <c r="X106" s="804">
        <f t="shared" si="38"/>
        <v>0</v>
      </c>
      <c r="Y106" s="804">
        <f t="shared" si="38"/>
        <v>0</v>
      </c>
      <c r="Z106" s="98"/>
      <c r="AA106" s="35"/>
    </row>
    <row r="107" spans="2:27" x14ac:dyDescent="0.2">
      <c r="B107" s="35"/>
      <c r="C107" s="91"/>
      <c r="D107" s="192"/>
      <c r="E107" s="192"/>
      <c r="F107" s="155"/>
      <c r="G107" s="255"/>
      <c r="H107" s="155"/>
      <c r="I107" s="92"/>
      <c r="J107" s="115">
        <f t="shared" si="34"/>
        <v>0</v>
      </c>
      <c r="K107" s="804">
        <f t="shared" si="35"/>
        <v>0</v>
      </c>
      <c r="L107" s="913" t="str">
        <f t="shared" si="36"/>
        <v>-</v>
      </c>
      <c r="M107" s="804">
        <f t="shared" si="37"/>
        <v>0</v>
      </c>
      <c r="N107" s="92"/>
      <c r="O107" s="804">
        <f t="shared" si="27"/>
        <v>0</v>
      </c>
      <c r="P107" s="804">
        <f t="shared" si="28"/>
        <v>0</v>
      </c>
      <c r="Q107" s="804">
        <f t="shared" si="29"/>
        <v>0</v>
      </c>
      <c r="R107" s="804">
        <f t="shared" si="30"/>
        <v>0</v>
      </c>
      <c r="S107" s="804">
        <f t="shared" si="31"/>
        <v>0</v>
      </c>
      <c r="T107" s="92"/>
      <c r="U107" s="804">
        <f t="shared" si="38"/>
        <v>0</v>
      </c>
      <c r="V107" s="804">
        <f t="shared" si="38"/>
        <v>0</v>
      </c>
      <c r="W107" s="804">
        <f t="shared" si="38"/>
        <v>0</v>
      </c>
      <c r="X107" s="804">
        <f t="shared" si="38"/>
        <v>0</v>
      </c>
      <c r="Y107" s="804">
        <f t="shared" si="38"/>
        <v>0</v>
      </c>
      <c r="Z107" s="98"/>
      <c r="AA107" s="35"/>
    </row>
    <row r="108" spans="2:27" x14ac:dyDescent="0.2">
      <c r="B108" s="35"/>
      <c r="C108" s="91"/>
      <c r="D108" s="192"/>
      <c r="E108" s="192"/>
      <c r="F108" s="155"/>
      <c r="G108" s="255"/>
      <c r="H108" s="155"/>
      <c r="I108" s="92"/>
      <c r="J108" s="115">
        <f t="shared" si="34"/>
        <v>0</v>
      </c>
      <c r="K108" s="804">
        <f t="shared" si="35"/>
        <v>0</v>
      </c>
      <c r="L108" s="913" t="str">
        <f t="shared" si="36"/>
        <v>-</v>
      </c>
      <c r="M108" s="804">
        <f t="shared" si="37"/>
        <v>0</v>
      </c>
      <c r="N108" s="92"/>
      <c r="O108" s="804">
        <f t="shared" si="27"/>
        <v>0</v>
      </c>
      <c r="P108" s="804">
        <f t="shared" si="28"/>
        <v>0</v>
      </c>
      <c r="Q108" s="804">
        <f t="shared" si="29"/>
        <v>0</v>
      </c>
      <c r="R108" s="804">
        <f t="shared" si="30"/>
        <v>0</v>
      </c>
      <c r="S108" s="804">
        <f t="shared" si="31"/>
        <v>0</v>
      </c>
      <c r="T108" s="92"/>
      <c r="U108" s="804">
        <f t="shared" si="38"/>
        <v>0</v>
      </c>
      <c r="V108" s="804">
        <f t="shared" si="38"/>
        <v>0</v>
      </c>
      <c r="W108" s="804">
        <f t="shared" si="38"/>
        <v>0</v>
      </c>
      <c r="X108" s="804">
        <f t="shared" si="38"/>
        <v>0</v>
      </c>
      <c r="Y108" s="804">
        <f t="shared" si="38"/>
        <v>0</v>
      </c>
      <c r="Z108" s="98"/>
      <c r="AA108" s="35"/>
    </row>
    <row r="109" spans="2:27" x14ac:dyDescent="0.2">
      <c r="B109" s="35"/>
      <c r="C109" s="91"/>
      <c r="D109" s="192"/>
      <c r="E109" s="192"/>
      <c r="F109" s="155"/>
      <c r="G109" s="255"/>
      <c r="H109" s="155"/>
      <c r="I109" s="92"/>
      <c r="J109" s="115">
        <f t="shared" si="32"/>
        <v>0</v>
      </c>
      <c r="K109" s="804">
        <f t="shared" si="24"/>
        <v>0</v>
      </c>
      <c r="L109" s="913" t="str">
        <f t="shared" si="25"/>
        <v>-</v>
      </c>
      <c r="M109" s="804">
        <f t="shared" si="26"/>
        <v>0</v>
      </c>
      <c r="N109" s="92"/>
      <c r="O109" s="804">
        <f t="shared" si="27"/>
        <v>0</v>
      </c>
      <c r="P109" s="804">
        <f t="shared" si="28"/>
        <v>0</v>
      </c>
      <c r="Q109" s="804">
        <f t="shared" si="29"/>
        <v>0</v>
      </c>
      <c r="R109" s="804">
        <f t="shared" si="30"/>
        <v>0</v>
      </c>
      <c r="S109" s="804">
        <f t="shared" si="31"/>
        <v>0</v>
      </c>
      <c r="T109" s="92"/>
      <c r="U109" s="804">
        <f t="shared" si="33"/>
        <v>0</v>
      </c>
      <c r="V109" s="804">
        <f t="shared" si="33"/>
        <v>0</v>
      </c>
      <c r="W109" s="804">
        <f t="shared" si="33"/>
        <v>0</v>
      </c>
      <c r="X109" s="804">
        <f t="shared" si="33"/>
        <v>0</v>
      </c>
      <c r="Y109" s="804">
        <f t="shared" si="33"/>
        <v>0</v>
      </c>
      <c r="Z109" s="98"/>
      <c r="AA109" s="35"/>
    </row>
    <row r="110" spans="2:27" x14ac:dyDescent="0.2">
      <c r="B110" s="35"/>
      <c r="C110" s="91"/>
      <c r="D110" s="192"/>
      <c r="E110" s="192"/>
      <c r="F110" s="155"/>
      <c r="G110" s="255"/>
      <c r="H110" s="155"/>
      <c r="I110" s="92"/>
      <c r="J110" s="115">
        <f t="shared" si="32"/>
        <v>0</v>
      </c>
      <c r="K110" s="804">
        <f t="shared" si="24"/>
        <v>0</v>
      </c>
      <c r="L110" s="913" t="str">
        <f t="shared" si="25"/>
        <v>-</v>
      </c>
      <c r="M110" s="804">
        <f t="shared" si="26"/>
        <v>0</v>
      </c>
      <c r="N110" s="92"/>
      <c r="O110" s="804">
        <f t="shared" si="27"/>
        <v>0</v>
      </c>
      <c r="P110" s="804">
        <f t="shared" si="28"/>
        <v>0</v>
      </c>
      <c r="Q110" s="804">
        <f t="shared" si="29"/>
        <v>0</v>
      </c>
      <c r="R110" s="804">
        <f t="shared" si="30"/>
        <v>0</v>
      </c>
      <c r="S110" s="804">
        <f t="shared" si="31"/>
        <v>0</v>
      </c>
      <c r="T110" s="92"/>
      <c r="U110" s="804">
        <f t="shared" si="33"/>
        <v>0</v>
      </c>
      <c r="V110" s="804">
        <f t="shared" si="33"/>
        <v>0</v>
      </c>
      <c r="W110" s="804">
        <f t="shared" si="33"/>
        <v>0</v>
      </c>
      <c r="X110" s="804">
        <f t="shared" si="33"/>
        <v>0</v>
      </c>
      <c r="Y110" s="804">
        <f t="shared" si="33"/>
        <v>0</v>
      </c>
      <c r="Z110" s="98"/>
      <c r="AA110" s="35"/>
    </row>
    <row r="111" spans="2:27" x14ac:dyDescent="0.2">
      <c r="B111" s="35"/>
      <c r="C111" s="91"/>
      <c r="D111" s="192"/>
      <c r="E111" s="192"/>
      <c r="F111" s="155"/>
      <c r="G111" s="255"/>
      <c r="H111" s="155"/>
      <c r="I111" s="92"/>
      <c r="J111" s="115">
        <f t="shared" si="32"/>
        <v>0</v>
      </c>
      <c r="K111" s="804">
        <f t="shared" si="24"/>
        <v>0</v>
      </c>
      <c r="L111" s="913" t="str">
        <f t="shared" si="25"/>
        <v>-</v>
      </c>
      <c r="M111" s="804">
        <f t="shared" si="26"/>
        <v>0</v>
      </c>
      <c r="N111" s="92"/>
      <c r="O111" s="804">
        <f t="shared" si="27"/>
        <v>0</v>
      </c>
      <c r="P111" s="804">
        <f t="shared" si="28"/>
        <v>0</v>
      </c>
      <c r="Q111" s="804">
        <f t="shared" si="29"/>
        <v>0</v>
      </c>
      <c r="R111" s="804">
        <f t="shared" si="30"/>
        <v>0</v>
      </c>
      <c r="S111" s="804">
        <f t="shared" si="31"/>
        <v>0</v>
      </c>
      <c r="T111" s="92"/>
      <c r="U111" s="804">
        <f t="shared" si="33"/>
        <v>0</v>
      </c>
      <c r="V111" s="804">
        <f t="shared" si="33"/>
        <v>0</v>
      </c>
      <c r="W111" s="804">
        <f t="shared" si="33"/>
        <v>0</v>
      </c>
      <c r="X111" s="804">
        <f t="shared" si="33"/>
        <v>0</v>
      </c>
      <c r="Y111" s="804">
        <f t="shared" si="33"/>
        <v>0</v>
      </c>
      <c r="Z111" s="98"/>
      <c r="AA111" s="35"/>
    </row>
    <row r="112" spans="2:27" x14ac:dyDescent="0.2">
      <c r="B112" s="35"/>
      <c r="C112" s="91"/>
      <c r="D112" s="192"/>
      <c r="E112" s="192"/>
      <c r="F112" s="155"/>
      <c r="G112" s="255"/>
      <c r="H112" s="155"/>
      <c r="I112" s="92"/>
      <c r="J112" s="115">
        <f t="shared" si="32"/>
        <v>0</v>
      </c>
      <c r="K112" s="804">
        <f t="shared" si="24"/>
        <v>0</v>
      </c>
      <c r="L112" s="913" t="str">
        <f t="shared" si="25"/>
        <v>-</v>
      </c>
      <c r="M112" s="804">
        <f t="shared" si="26"/>
        <v>0</v>
      </c>
      <c r="N112" s="92"/>
      <c r="O112" s="804">
        <f t="shared" si="27"/>
        <v>0</v>
      </c>
      <c r="P112" s="804">
        <f t="shared" si="28"/>
        <v>0</v>
      </c>
      <c r="Q112" s="804">
        <f t="shared" si="29"/>
        <v>0</v>
      </c>
      <c r="R112" s="804">
        <f t="shared" si="30"/>
        <v>0</v>
      </c>
      <c r="S112" s="804">
        <f t="shared" si="31"/>
        <v>0</v>
      </c>
      <c r="T112" s="92"/>
      <c r="U112" s="804">
        <f t="shared" si="33"/>
        <v>0</v>
      </c>
      <c r="V112" s="804">
        <f t="shared" si="33"/>
        <v>0</v>
      </c>
      <c r="W112" s="804">
        <f t="shared" si="33"/>
        <v>0</v>
      </c>
      <c r="X112" s="804">
        <f t="shared" si="33"/>
        <v>0</v>
      </c>
      <c r="Y112" s="804">
        <f t="shared" si="33"/>
        <v>0</v>
      </c>
      <c r="Z112" s="98"/>
      <c r="AA112" s="35"/>
    </row>
    <row r="113" spans="2:27" x14ac:dyDescent="0.2">
      <c r="B113" s="35"/>
      <c r="C113" s="91"/>
      <c r="D113" s="192"/>
      <c r="E113" s="192"/>
      <c r="F113" s="155"/>
      <c r="G113" s="255"/>
      <c r="H113" s="155"/>
      <c r="I113" s="92"/>
      <c r="J113" s="115">
        <f t="shared" si="32"/>
        <v>0</v>
      </c>
      <c r="K113" s="804">
        <f t="shared" si="24"/>
        <v>0</v>
      </c>
      <c r="L113" s="913" t="str">
        <f t="shared" si="25"/>
        <v>-</v>
      </c>
      <c r="M113" s="804">
        <f t="shared" si="26"/>
        <v>0</v>
      </c>
      <c r="N113" s="92"/>
      <c r="O113" s="804">
        <f t="shared" si="27"/>
        <v>0</v>
      </c>
      <c r="P113" s="804">
        <f t="shared" si="28"/>
        <v>0</v>
      </c>
      <c r="Q113" s="804">
        <f t="shared" si="29"/>
        <v>0</v>
      </c>
      <c r="R113" s="804">
        <f t="shared" si="30"/>
        <v>0</v>
      </c>
      <c r="S113" s="804">
        <f t="shared" si="31"/>
        <v>0</v>
      </c>
      <c r="T113" s="92"/>
      <c r="U113" s="804">
        <f t="shared" si="33"/>
        <v>0</v>
      </c>
      <c r="V113" s="804">
        <f t="shared" si="33"/>
        <v>0</v>
      </c>
      <c r="W113" s="804">
        <f t="shared" si="33"/>
        <v>0</v>
      </c>
      <c r="X113" s="804">
        <f t="shared" si="33"/>
        <v>0</v>
      </c>
      <c r="Y113" s="804">
        <f t="shared" si="33"/>
        <v>0</v>
      </c>
      <c r="Z113" s="98"/>
      <c r="AA113" s="35"/>
    </row>
    <row r="114" spans="2:27" x14ac:dyDescent="0.2">
      <c r="B114" s="35"/>
      <c r="C114" s="91"/>
      <c r="D114" s="192"/>
      <c r="E114" s="192"/>
      <c r="F114" s="155"/>
      <c r="G114" s="255"/>
      <c r="H114" s="155"/>
      <c r="I114" s="92"/>
      <c r="J114" s="115">
        <f t="shared" si="32"/>
        <v>0</v>
      </c>
      <c r="K114" s="804">
        <f t="shared" si="24"/>
        <v>0</v>
      </c>
      <c r="L114" s="913" t="str">
        <f t="shared" si="25"/>
        <v>-</v>
      </c>
      <c r="M114" s="804">
        <f t="shared" si="26"/>
        <v>0</v>
      </c>
      <c r="N114" s="92"/>
      <c r="O114" s="804">
        <f t="shared" si="27"/>
        <v>0</v>
      </c>
      <c r="P114" s="804">
        <f t="shared" si="28"/>
        <v>0</v>
      </c>
      <c r="Q114" s="804">
        <f t="shared" si="29"/>
        <v>0</v>
      </c>
      <c r="R114" s="804">
        <f t="shared" si="30"/>
        <v>0</v>
      </c>
      <c r="S114" s="804">
        <f t="shared" si="31"/>
        <v>0</v>
      </c>
      <c r="T114" s="92"/>
      <c r="U114" s="804">
        <f t="shared" si="33"/>
        <v>0</v>
      </c>
      <c r="V114" s="804">
        <f t="shared" si="33"/>
        <v>0</v>
      </c>
      <c r="W114" s="804">
        <f t="shared" si="33"/>
        <v>0</v>
      </c>
      <c r="X114" s="804">
        <f t="shared" si="33"/>
        <v>0</v>
      </c>
      <c r="Y114" s="804">
        <f t="shared" si="33"/>
        <v>0</v>
      </c>
      <c r="Z114" s="98"/>
      <c r="AA114" s="35"/>
    </row>
    <row r="115" spans="2:27" x14ac:dyDescent="0.2">
      <c r="B115" s="35"/>
      <c r="C115" s="91"/>
      <c r="D115" s="192"/>
      <c r="E115" s="192"/>
      <c r="F115" s="155"/>
      <c r="G115" s="255"/>
      <c r="H115" s="155"/>
      <c r="I115" s="92"/>
      <c r="J115" s="115">
        <f t="shared" si="32"/>
        <v>0</v>
      </c>
      <c r="K115" s="804">
        <f t="shared" si="24"/>
        <v>0</v>
      </c>
      <c r="L115" s="913" t="str">
        <f t="shared" si="25"/>
        <v>-</v>
      </c>
      <c r="M115" s="804">
        <f t="shared" si="26"/>
        <v>0</v>
      </c>
      <c r="N115" s="92"/>
      <c r="O115" s="804">
        <f t="shared" si="27"/>
        <v>0</v>
      </c>
      <c r="P115" s="804">
        <f t="shared" si="28"/>
        <v>0</v>
      </c>
      <c r="Q115" s="804">
        <f t="shared" si="29"/>
        <v>0</v>
      </c>
      <c r="R115" s="804">
        <f t="shared" si="30"/>
        <v>0</v>
      </c>
      <c r="S115" s="804">
        <f t="shared" si="31"/>
        <v>0</v>
      </c>
      <c r="T115" s="92"/>
      <c r="U115" s="804">
        <f t="shared" si="33"/>
        <v>0</v>
      </c>
      <c r="V115" s="804">
        <f t="shared" si="33"/>
        <v>0</v>
      </c>
      <c r="W115" s="804">
        <f t="shared" si="33"/>
        <v>0</v>
      </c>
      <c r="X115" s="804">
        <f t="shared" si="33"/>
        <v>0</v>
      </c>
      <c r="Y115" s="804">
        <f t="shared" si="33"/>
        <v>0</v>
      </c>
      <c r="Z115" s="98"/>
      <c r="AA115" s="35"/>
    </row>
    <row r="116" spans="2:27" x14ac:dyDescent="0.2">
      <c r="B116" s="35"/>
      <c r="C116" s="91"/>
      <c r="D116" s="192"/>
      <c r="E116" s="192"/>
      <c r="F116" s="155"/>
      <c r="G116" s="255"/>
      <c r="H116" s="155"/>
      <c r="I116" s="92"/>
      <c r="J116" s="115">
        <f t="shared" si="32"/>
        <v>0</v>
      </c>
      <c r="K116" s="804">
        <f t="shared" si="24"/>
        <v>0</v>
      </c>
      <c r="L116" s="913" t="str">
        <f t="shared" si="25"/>
        <v>-</v>
      </c>
      <c r="M116" s="804">
        <f t="shared" si="26"/>
        <v>0</v>
      </c>
      <c r="N116" s="92"/>
      <c r="O116" s="804">
        <f t="shared" si="27"/>
        <v>0</v>
      </c>
      <c r="P116" s="804">
        <f t="shared" si="28"/>
        <v>0</v>
      </c>
      <c r="Q116" s="804">
        <f t="shared" si="29"/>
        <v>0</v>
      </c>
      <c r="R116" s="804">
        <f t="shared" si="30"/>
        <v>0</v>
      </c>
      <c r="S116" s="804">
        <f t="shared" si="31"/>
        <v>0</v>
      </c>
      <c r="T116" s="92"/>
      <c r="U116" s="804">
        <f t="shared" si="33"/>
        <v>0</v>
      </c>
      <c r="V116" s="804">
        <f t="shared" si="33"/>
        <v>0</v>
      </c>
      <c r="W116" s="804">
        <f t="shared" si="33"/>
        <v>0</v>
      </c>
      <c r="X116" s="804">
        <f t="shared" si="33"/>
        <v>0</v>
      </c>
      <c r="Y116" s="804">
        <f t="shared" si="33"/>
        <v>0</v>
      </c>
      <c r="Z116" s="98"/>
      <c r="AA116" s="35"/>
    </row>
    <row r="117" spans="2:27" x14ac:dyDescent="0.2">
      <c r="B117" s="35"/>
      <c r="C117" s="91"/>
      <c r="D117" s="192"/>
      <c r="E117" s="192"/>
      <c r="F117" s="155"/>
      <c r="G117" s="255"/>
      <c r="H117" s="155"/>
      <c r="I117" s="92"/>
      <c r="J117" s="115">
        <f t="shared" si="32"/>
        <v>0</v>
      </c>
      <c r="K117" s="804">
        <f t="shared" si="24"/>
        <v>0</v>
      </c>
      <c r="L117" s="913" t="str">
        <f t="shared" si="25"/>
        <v>-</v>
      </c>
      <c r="M117" s="804">
        <f t="shared" si="26"/>
        <v>0</v>
      </c>
      <c r="N117" s="92"/>
      <c r="O117" s="804">
        <f t="shared" si="27"/>
        <v>0</v>
      </c>
      <c r="P117" s="804">
        <f t="shared" si="28"/>
        <v>0</v>
      </c>
      <c r="Q117" s="804">
        <f t="shared" si="29"/>
        <v>0</v>
      </c>
      <c r="R117" s="804">
        <f t="shared" si="30"/>
        <v>0</v>
      </c>
      <c r="S117" s="804">
        <f t="shared" si="31"/>
        <v>0</v>
      </c>
      <c r="T117" s="92"/>
      <c r="U117" s="804">
        <f t="shared" si="33"/>
        <v>0</v>
      </c>
      <c r="V117" s="804">
        <f t="shared" si="33"/>
        <v>0</v>
      </c>
      <c r="W117" s="804">
        <f t="shared" si="33"/>
        <v>0</v>
      </c>
      <c r="X117" s="804">
        <f t="shared" si="33"/>
        <v>0</v>
      </c>
      <c r="Y117" s="804">
        <f t="shared" si="33"/>
        <v>0</v>
      </c>
      <c r="Z117" s="98"/>
      <c r="AA117" s="35"/>
    </row>
    <row r="118" spans="2:27" x14ac:dyDescent="0.2">
      <c r="B118" s="35"/>
      <c r="C118" s="91"/>
      <c r="D118" s="192"/>
      <c r="E118" s="192"/>
      <c r="F118" s="155"/>
      <c r="G118" s="255"/>
      <c r="H118" s="155"/>
      <c r="I118" s="92"/>
      <c r="J118" s="115">
        <f t="shared" si="32"/>
        <v>0</v>
      </c>
      <c r="K118" s="804">
        <f t="shared" si="24"/>
        <v>0</v>
      </c>
      <c r="L118" s="913" t="str">
        <f t="shared" si="25"/>
        <v>-</v>
      </c>
      <c r="M118" s="804">
        <f t="shared" si="26"/>
        <v>0</v>
      </c>
      <c r="N118" s="92"/>
      <c r="O118" s="804">
        <f t="shared" si="27"/>
        <v>0</v>
      </c>
      <c r="P118" s="804">
        <f t="shared" si="28"/>
        <v>0</v>
      </c>
      <c r="Q118" s="804">
        <f t="shared" si="29"/>
        <v>0</v>
      </c>
      <c r="R118" s="804">
        <f t="shared" si="30"/>
        <v>0</v>
      </c>
      <c r="S118" s="804">
        <f t="shared" si="31"/>
        <v>0</v>
      </c>
      <c r="T118" s="92"/>
      <c r="U118" s="804">
        <f t="shared" ref="U118:Y127" si="39">IF(U$9=$F118,$G118,0)</f>
        <v>0</v>
      </c>
      <c r="V118" s="804">
        <f t="shared" si="39"/>
        <v>0</v>
      </c>
      <c r="W118" s="804">
        <f t="shared" si="39"/>
        <v>0</v>
      </c>
      <c r="X118" s="804">
        <f t="shared" si="39"/>
        <v>0</v>
      </c>
      <c r="Y118" s="804">
        <f t="shared" si="39"/>
        <v>0</v>
      </c>
      <c r="Z118" s="98"/>
      <c r="AA118" s="35"/>
    </row>
    <row r="119" spans="2:27" x14ac:dyDescent="0.2">
      <c r="B119" s="35"/>
      <c r="C119" s="91"/>
      <c r="D119" s="192"/>
      <c r="E119" s="192"/>
      <c r="F119" s="155"/>
      <c r="G119" s="255"/>
      <c r="H119" s="155"/>
      <c r="I119" s="92"/>
      <c r="J119" s="115">
        <f t="shared" si="32"/>
        <v>0</v>
      </c>
      <c r="K119" s="804">
        <f t="shared" si="24"/>
        <v>0</v>
      </c>
      <c r="L119" s="913" t="str">
        <f t="shared" si="25"/>
        <v>-</v>
      </c>
      <c r="M119" s="804">
        <f t="shared" si="26"/>
        <v>0</v>
      </c>
      <c r="N119" s="92"/>
      <c r="O119" s="804">
        <f t="shared" si="27"/>
        <v>0</v>
      </c>
      <c r="P119" s="804">
        <f t="shared" si="28"/>
        <v>0</v>
      </c>
      <c r="Q119" s="804">
        <f t="shared" si="29"/>
        <v>0</v>
      </c>
      <c r="R119" s="804">
        <f t="shared" si="30"/>
        <v>0</v>
      </c>
      <c r="S119" s="804">
        <f t="shared" si="31"/>
        <v>0</v>
      </c>
      <c r="T119" s="92"/>
      <c r="U119" s="804">
        <f t="shared" si="39"/>
        <v>0</v>
      </c>
      <c r="V119" s="804">
        <f t="shared" si="39"/>
        <v>0</v>
      </c>
      <c r="W119" s="804">
        <f t="shared" si="39"/>
        <v>0</v>
      </c>
      <c r="X119" s="804">
        <f t="shared" si="39"/>
        <v>0</v>
      </c>
      <c r="Y119" s="804">
        <f t="shared" si="39"/>
        <v>0</v>
      </c>
      <c r="Z119" s="98"/>
      <c r="AA119" s="35"/>
    </row>
    <row r="120" spans="2:27" x14ac:dyDescent="0.2">
      <c r="B120" s="35"/>
      <c r="C120" s="91"/>
      <c r="D120" s="192"/>
      <c r="E120" s="192"/>
      <c r="F120" s="155"/>
      <c r="G120" s="255"/>
      <c r="H120" s="155"/>
      <c r="I120" s="92"/>
      <c r="J120" s="115">
        <f t="shared" si="32"/>
        <v>0</v>
      </c>
      <c r="K120" s="804">
        <f t="shared" si="24"/>
        <v>0</v>
      </c>
      <c r="L120" s="913" t="str">
        <f t="shared" si="25"/>
        <v>-</v>
      </c>
      <c r="M120" s="804">
        <f t="shared" si="26"/>
        <v>0</v>
      </c>
      <c r="N120" s="92"/>
      <c r="O120" s="804">
        <f t="shared" si="27"/>
        <v>0</v>
      </c>
      <c r="P120" s="804">
        <f t="shared" si="28"/>
        <v>0</v>
      </c>
      <c r="Q120" s="804">
        <f t="shared" si="29"/>
        <v>0</v>
      </c>
      <c r="R120" s="804">
        <f t="shared" si="30"/>
        <v>0</v>
      </c>
      <c r="S120" s="804">
        <f t="shared" si="31"/>
        <v>0</v>
      </c>
      <c r="T120" s="92"/>
      <c r="U120" s="804">
        <f t="shared" si="39"/>
        <v>0</v>
      </c>
      <c r="V120" s="804">
        <f t="shared" si="39"/>
        <v>0</v>
      </c>
      <c r="W120" s="804">
        <f t="shared" si="39"/>
        <v>0</v>
      </c>
      <c r="X120" s="804">
        <f t="shared" si="39"/>
        <v>0</v>
      </c>
      <c r="Y120" s="804">
        <f t="shared" si="39"/>
        <v>0</v>
      </c>
      <c r="Z120" s="98"/>
      <c r="AA120" s="35"/>
    </row>
    <row r="121" spans="2:27" x14ac:dyDescent="0.2">
      <c r="B121" s="35"/>
      <c r="C121" s="91"/>
      <c r="D121" s="192"/>
      <c r="E121" s="192"/>
      <c r="F121" s="155"/>
      <c r="G121" s="255"/>
      <c r="H121" s="155"/>
      <c r="I121" s="92"/>
      <c r="J121" s="115">
        <f t="shared" si="32"/>
        <v>0</v>
      </c>
      <c r="K121" s="804">
        <f t="shared" si="24"/>
        <v>0</v>
      </c>
      <c r="L121" s="913" t="str">
        <f t="shared" si="25"/>
        <v>-</v>
      </c>
      <c r="M121" s="804">
        <f t="shared" si="26"/>
        <v>0</v>
      </c>
      <c r="N121" s="92"/>
      <c r="O121" s="804">
        <f t="shared" si="27"/>
        <v>0</v>
      </c>
      <c r="P121" s="804">
        <f t="shared" si="28"/>
        <v>0</v>
      </c>
      <c r="Q121" s="804">
        <f t="shared" si="29"/>
        <v>0</v>
      </c>
      <c r="R121" s="804">
        <f t="shared" si="30"/>
        <v>0</v>
      </c>
      <c r="S121" s="804">
        <f t="shared" si="31"/>
        <v>0</v>
      </c>
      <c r="T121" s="92"/>
      <c r="U121" s="804">
        <f t="shared" si="39"/>
        <v>0</v>
      </c>
      <c r="V121" s="804">
        <f t="shared" si="39"/>
        <v>0</v>
      </c>
      <c r="W121" s="804">
        <f t="shared" si="39"/>
        <v>0</v>
      </c>
      <c r="X121" s="804">
        <f t="shared" si="39"/>
        <v>0</v>
      </c>
      <c r="Y121" s="804">
        <f t="shared" si="39"/>
        <v>0</v>
      </c>
      <c r="Z121" s="98"/>
      <c r="AA121" s="35"/>
    </row>
    <row r="122" spans="2:27" x14ac:dyDescent="0.2">
      <c r="B122" s="35"/>
      <c r="C122" s="91"/>
      <c r="D122" s="192"/>
      <c r="E122" s="192"/>
      <c r="F122" s="155"/>
      <c r="G122" s="255"/>
      <c r="H122" s="155"/>
      <c r="I122" s="92"/>
      <c r="J122" s="115">
        <f t="shared" si="32"/>
        <v>0</v>
      </c>
      <c r="K122" s="804">
        <f t="shared" si="24"/>
        <v>0</v>
      </c>
      <c r="L122" s="913" t="str">
        <f t="shared" si="25"/>
        <v>-</v>
      </c>
      <c r="M122" s="804">
        <f t="shared" si="26"/>
        <v>0</v>
      </c>
      <c r="N122" s="92"/>
      <c r="O122" s="804">
        <f t="shared" si="27"/>
        <v>0</v>
      </c>
      <c r="P122" s="804">
        <f t="shared" si="28"/>
        <v>0</v>
      </c>
      <c r="Q122" s="804">
        <f t="shared" si="29"/>
        <v>0</v>
      </c>
      <c r="R122" s="804">
        <f t="shared" si="30"/>
        <v>0</v>
      </c>
      <c r="S122" s="804">
        <f t="shared" si="31"/>
        <v>0</v>
      </c>
      <c r="T122" s="92"/>
      <c r="U122" s="804">
        <f t="shared" si="39"/>
        <v>0</v>
      </c>
      <c r="V122" s="804">
        <f t="shared" si="39"/>
        <v>0</v>
      </c>
      <c r="W122" s="804">
        <f t="shared" si="39"/>
        <v>0</v>
      </c>
      <c r="X122" s="804">
        <f t="shared" si="39"/>
        <v>0</v>
      </c>
      <c r="Y122" s="804">
        <f t="shared" si="39"/>
        <v>0</v>
      </c>
      <c r="Z122" s="98"/>
      <c r="AA122" s="35"/>
    </row>
    <row r="123" spans="2:27" x14ac:dyDescent="0.2">
      <c r="B123" s="35"/>
      <c r="C123" s="91"/>
      <c r="D123" s="192"/>
      <c r="E123" s="192"/>
      <c r="F123" s="155"/>
      <c r="G123" s="255"/>
      <c r="H123" s="155"/>
      <c r="I123" s="92"/>
      <c r="J123" s="115">
        <f t="shared" si="32"/>
        <v>0</v>
      </c>
      <c r="K123" s="804">
        <f t="shared" si="24"/>
        <v>0</v>
      </c>
      <c r="L123" s="913" t="str">
        <f t="shared" si="25"/>
        <v>-</v>
      </c>
      <c r="M123" s="804">
        <f t="shared" si="26"/>
        <v>0</v>
      </c>
      <c r="N123" s="92"/>
      <c r="O123" s="804">
        <f t="shared" si="27"/>
        <v>0</v>
      </c>
      <c r="P123" s="804">
        <f t="shared" si="28"/>
        <v>0</v>
      </c>
      <c r="Q123" s="804">
        <f t="shared" si="29"/>
        <v>0</v>
      </c>
      <c r="R123" s="804">
        <f t="shared" si="30"/>
        <v>0</v>
      </c>
      <c r="S123" s="804">
        <f t="shared" si="31"/>
        <v>0</v>
      </c>
      <c r="T123" s="92"/>
      <c r="U123" s="804">
        <f t="shared" si="39"/>
        <v>0</v>
      </c>
      <c r="V123" s="804">
        <f t="shared" si="39"/>
        <v>0</v>
      </c>
      <c r="W123" s="804">
        <f t="shared" si="39"/>
        <v>0</v>
      </c>
      <c r="X123" s="804">
        <f t="shared" si="39"/>
        <v>0</v>
      </c>
      <c r="Y123" s="804">
        <f t="shared" si="39"/>
        <v>0</v>
      </c>
      <c r="Z123" s="98"/>
      <c r="AA123" s="35"/>
    </row>
    <row r="124" spans="2:27" x14ac:dyDescent="0.2">
      <c r="B124" s="35"/>
      <c r="C124" s="91"/>
      <c r="D124" s="192"/>
      <c r="E124" s="192"/>
      <c r="F124" s="155"/>
      <c r="G124" s="255"/>
      <c r="H124" s="155"/>
      <c r="I124" s="92"/>
      <c r="J124" s="115">
        <f t="shared" si="32"/>
        <v>0</v>
      </c>
      <c r="K124" s="804">
        <f t="shared" si="24"/>
        <v>0</v>
      </c>
      <c r="L124" s="913" t="str">
        <f t="shared" si="25"/>
        <v>-</v>
      </c>
      <c r="M124" s="804">
        <f t="shared" si="26"/>
        <v>0</v>
      </c>
      <c r="N124" s="92"/>
      <c r="O124" s="804">
        <f t="shared" si="27"/>
        <v>0</v>
      </c>
      <c r="P124" s="804">
        <f t="shared" si="28"/>
        <v>0</v>
      </c>
      <c r="Q124" s="804">
        <f t="shared" si="29"/>
        <v>0</v>
      </c>
      <c r="R124" s="804">
        <f t="shared" si="30"/>
        <v>0</v>
      </c>
      <c r="S124" s="804">
        <f t="shared" si="31"/>
        <v>0</v>
      </c>
      <c r="T124" s="92"/>
      <c r="U124" s="804">
        <f t="shared" si="39"/>
        <v>0</v>
      </c>
      <c r="V124" s="804">
        <f t="shared" si="39"/>
        <v>0</v>
      </c>
      <c r="W124" s="804">
        <f t="shared" si="39"/>
        <v>0</v>
      </c>
      <c r="X124" s="804">
        <f t="shared" si="39"/>
        <v>0</v>
      </c>
      <c r="Y124" s="804">
        <f t="shared" si="39"/>
        <v>0</v>
      </c>
      <c r="Z124" s="98"/>
      <c r="AA124" s="35"/>
    </row>
    <row r="125" spans="2:27" x14ac:dyDescent="0.2">
      <c r="B125" s="35"/>
      <c r="C125" s="91"/>
      <c r="D125" s="192"/>
      <c r="E125" s="192"/>
      <c r="F125" s="155"/>
      <c r="G125" s="255"/>
      <c r="H125" s="155"/>
      <c r="I125" s="92"/>
      <c r="J125" s="115">
        <f t="shared" si="32"/>
        <v>0</v>
      </c>
      <c r="K125" s="804">
        <f t="shared" si="24"/>
        <v>0</v>
      </c>
      <c r="L125" s="913" t="str">
        <f t="shared" si="25"/>
        <v>-</v>
      </c>
      <c r="M125" s="804">
        <f t="shared" si="26"/>
        <v>0</v>
      </c>
      <c r="N125" s="92"/>
      <c r="O125" s="804">
        <f t="shared" si="27"/>
        <v>0</v>
      </c>
      <c r="P125" s="804">
        <f t="shared" si="28"/>
        <v>0</v>
      </c>
      <c r="Q125" s="804">
        <f t="shared" si="29"/>
        <v>0</v>
      </c>
      <c r="R125" s="804">
        <f t="shared" si="30"/>
        <v>0</v>
      </c>
      <c r="S125" s="804">
        <f t="shared" si="31"/>
        <v>0</v>
      </c>
      <c r="T125" s="92"/>
      <c r="U125" s="804">
        <f t="shared" si="39"/>
        <v>0</v>
      </c>
      <c r="V125" s="804">
        <f t="shared" si="39"/>
        <v>0</v>
      </c>
      <c r="W125" s="804">
        <f t="shared" si="39"/>
        <v>0</v>
      </c>
      <c r="X125" s="804">
        <f t="shared" si="39"/>
        <v>0</v>
      </c>
      <c r="Y125" s="804">
        <f t="shared" si="39"/>
        <v>0</v>
      </c>
      <c r="Z125" s="98"/>
      <c r="AA125" s="35"/>
    </row>
    <row r="126" spans="2:27" x14ac:dyDescent="0.2">
      <c r="B126" s="35"/>
      <c r="C126" s="91"/>
      <c r="D126" s="192"/>
      <c r="E126" s="192"/>
      <c r="F126" s="155"/>
      <c r="G126" s="255"/>
      <c r="H126" s="155"/>
      <c r="I126" s="92"/>
      <c r="J126" s="115">
        <f t="shared" si="32"/>
        <v>0</v>
      </c>
      <c r="K126" s="804">
        <f t="shared" si="24"/>
        <v>0</v>
      </c>
      <c r="L126" s="913" t="str">
        <f t="shared" si="25"/>
        <v>-</v>
      </c>
      <c r="M126" s="804">
        <f t="shared" si="26"/>
        <v>0</v>
      </c>
      <c r="N126" s="92"/>
      <c r="O126" s="804">
        <f t="shared" si="27"/>
        <v>0</v>
      </c>
      <c r="P126" s="804">
        <f t="shared" si="28"/>
        <v>0</v>
      </c>
      <c r="Q126" s="804">
        <f t="shared" si="29"/>
        <v>0</v>
      </c>
      <c r="R126" s="804">
        <f t="shared" si="30"/>
        <v>0</v>
      </c>
      <c r="S126" s="804">
        <f t="shared" si="31"/>
        <v>0</v>
      </c>
      <c r="T126" s="92"/>
      <c r="U126" s="804">
        <f t="shared" si="39"/>
        <v>0</v>
      </c>
      <c r="V126" s="804">
        <f t="shared" si="39"/>
        <v>0</v>
      </c>
      <c r="W126" s="804">
        <f t="shared" si="39"/>
        <v>0</v>
      </c>
      <c r="X126" s="804">
        <f t="shared" si="39"/>
        <v>0</v>
      </c>
      <c r="Y126" s="804">
        <f t="shared" si="39"/>
        <v>0</v>
      </c>
      <c r="Z126" s="98"/>
      <c r="AA126" s="35"/>
    </row>
    <row r="127" spans="2:27" x14ac:dyDescent="0.2">
      <c r="B127" s="35"/>
      <c r="C127" s="91"/>
      <c r="D127" s="192"/>
      <c r="E127" s="192"/>
      <c r="F127" s="155"/>
      <c r="G127" s="255"/>
      <c r="H127" s="155"/>
      <c r="I127" s="92"/>
      <c r="J127" s="115">
        <f t="shared" si="32"/>
        <v>0</v>
      </c>
      <c r="K127" s="804">
        <f t="shared" si="24"/>
        <v>0</v>
      </c>
      <c r="L127" s="913" t="str">
        <f t="shared" si="25"/>
        <v>-</v>
      </c>
      <c r="M127" s="804">
        <f t="shared" si="26"/>
        <v>0</v>
      </c>
      <c r="N127" s="92"/>
      <c r="O127" s="804">
        <f t="shared" si="27"/>
        <v>0</v>
      </c>
      <c r="P127" s="804">
        <f t="shared" si="28"/>
        <v>0</v>
      </c>
      <c r="Q127" s="804">
        <f t="shared" si="29"/>
        <v>0</v>
      </c>
      <c r="R127" s="804">
        <f t="shared" si="30"/>
        <v>0</v>
      </c>
      <c r="S127" s="804">
        <f t="shared" si="31"/>
        <v>0</v>
      </c>
      <c r="T127" s="92"/>
      <c r="U127" s="804">
        <f t="shared" si="39"/>
        <v>0</v>
      </c>
      <c r="V127" s="804">
        <f t="shared" si="39"/>
        <v>0</v>
      </c>
      <c r="W127" s="804">
        <f t="shared" si="39"/>
        <v>0</v>
      </c>
      <c r="X127" s="804">
        <f t="shared" si="39"/>
        <v>0</v>
      </c>
      <c r="Y127" s="804">
        <f t="shared" si="39"/>
        <v>0</v>
      </c>
      <c r="Z127" s="98"/>
      <c r="AA127" s="35"/>
    </row>
    <row r="128" spans="2:27" x14ac:dyDescent="0.2">
      <c r="B128" s="35"/>
      <c r="C128" s="91"/>
      <c r="D128" s="192"/>
      <c r="E128" s="192"/>
      <c r="F128" s="155"/>
      <c r="G128" s="255"/>
      <c r="H128" s="155"/>
      <c r="I128" s="92"/>
      <c r="J128" s="115">
        <f t="shared" si="32"/>
        <v>0</v>
      </c>
      <c r="K128" s="804">
        <f t="shared" si="24"/>
        <v>0</v>
      </c>
      <c r="L128" s="913" t="str">
        <f t="shared" si="25"/>
        <v>-</v>
      </c>
      <c r="M128" s="804">
        <f t="shared" si="26"/>
        <v>0</v>
      </c>
      <c r="N128" s="92"/>
      <c r="O128" s="804">
        <f t="shared" si="27"/>
        <v>0</v>
      </c>
      <c r="P128" s="804">
        <f t="shared" si="28"/>
        <v>0</v>
      </c>
      <c r="Q128" s="804">
        <f t="shared" si="29"/>
        <v>0</v>
      </c>
      <c r="R128" s="804">
        <f t="shared" si="30"/>
        <v>0</v>
      </c>
      <c r="S128" s="804">
        <f t="shared" si="31"/>
        <v>0</v>
      </c>
      <c r="T128" s="92"/>
      <c r="U128" s="804">
        <f t="shared" ref="U128:Y137" si="40">IF(U$9=$F128,$G128,0)</f>
        <v>0</v>
      </c>
      <c r="V128" s="804">
        <f t="shared" si="40"/>
        <v>0</v>
      </c>
      <c r="W128" s="804">
        <f t="shared" si="40"/>
        <v>0</v>
      </c>
      <c r="X128" s="804">
        <f t="shared" si="40"/>
        <v>0</v>
      </c>
      <c r="Y128" s="804">
        <f t="shared" si="40"/>
        <v>0</v>
      </c>
      <c r="Z128" s="98"/>
      <c r="AA128" s="35"/>
    </row>
    <row r="129" spans="2:27" x14ac:dyDescent="0.2">
      <c r="B129" s="35"/>
      <c r="C129" s="91"/>
      <c r="D129" s="192"/>
      <c r="E129" s="192"/>
      <c r="F129" s="155"/>
      <c r="G129" s="255"/>
      <c r="H129" s="155"/>
      <c r="I129" s="92"/>
      <c r="J129" s="115">
        <f t="shared" si="32"/>
        <v>0</v>
      </c>
      <c r="K129" s="804">
        <f t="shared" si="24"/>
        <v>0</v>
      </c>
      <c r="L129" s="913" t="str">
        <f t="shared" si="25"/>
        <v>-</v>
      </c>
      <c r="M129" s="804">
        <f t="shared" si="26"/>
        <v>0</v>
      </c>
      <c r="N129" s="92"/>
      <c r="O129" s="804">
        <f t="shared" si="27"/>
        <v>0</v>
      </c>
      <c r="P129" s="804">
        <f t="shared" si="28"/>
        <v>0</v>
      </c>
      <c r="Q129" s="804">
        <f t="shared" si="29"/>
        <v>0</v>
      </c>
      <c r="R129" s="804">
        <f t="shared" si="30"/>
        <v>0</v>
      </c>
      <c r="S129" s="804">
        <f t="shared" si="31"/>
        <v>0</v>
      </c>
      <c r="T129" s="92"/>
      <c r="U129" s="804">
        <f t="shared" si="40"/>
        <v>0</v>
      </c>
      <c r="V129" s="804">
        <f t="shared" si="40"/>
        <v>0</v>
      </c>
      <c r="W129" s="804">
        <f t="shared" si="40"/>
        <v>0</v>
      </c>
      <c r="X129" s="804">
        <f t="shared" si="40"/>
        <v>0</v>
      </c>
      <c r="Y129" s="804">
        <f t="shared" si="40"/>
        <v>0</v>
      </c>
      <c r="Z129" s="98"/>
      <c r="AA129" s="35"/>
    </row>
    <row r="130" spans="2:27" x14ac:dyDescent="0.2">
      <c r="B130" s="35"/>
      <c r="C130" s="91"/>
      <c r="D130" s="192"/>
      <c r="E130" s="192"/>
      <c r="F130" s="155"/>
      <c r="G130" s="255"/>
      <c r="H130" s="155"/>
      <c r="I130" s="92"/>
      <c r="J130" s="115">
        <f t="shared" si="32"/>
        <v>0</v>
      </c>
      <c r="K130" s="804">
        <f t="shared" si="24"/>
        <v>0</v>
      </c>
      <c r="L130" s="913" t="str">
        <f t="shared" si="25"/>
        <v>-</v>
      </c>
      <c r="M130" s="804">
        <f t="shared" si="26"/>
        <v>0</v>
      </c>
      <c r="N130" s="92"/>
      <c r="O130" s="804">
        <f t="shared" si="27"/>
        <v>0</v>
      </c>
      <c r="P130" s="804">
        <f t="shared" si="28"/>
        <v>0</v>
      </c>
      <c r="Q130" s="804">
        <f t="shared" si="29"/>
        <v>0</v>
      </c>
      <c r="R130" s="804">
        <f t="shared" si="30"/>
        <v>0</v>
      </c>
      <c r="S130" s="804">
        <f t="shared" si="31"/>
        <v>0</v>
      </c>
      <c r="T130" s="92"/>
      <c r="U130" s="804">
        <f t="shared" si="40"/>
        <v>0</v>
      </c>
      <c r="V130" s="804">
        <f t="shared" si="40"/>
        <v>0</v>
      </c>
      <c r="W130" s="804">
        <f t="shared" si="40"/>
        <v>0</v>
      </c>
      <c r="X130" s="804">
        <f t="shared" si="40"/>
        <v>0</v>
      </c>
      <c r="Y130" s="804">
        <f t="shared" si="40"/>
        <v>0</v>
      </c>
      <c r="Z130" s="98"/>
      <c r="AA130" s="35"/>
    </row>
    <row r="131" spans="2:27" x14ac:dyDescent="0.2">
      <c r="B131" s="35"/>
      <c r="C131" s="91"/>
      <c r="D131" s="192"/>
      <c r="E131" s="192"/>
      <c r="F131" s="155"/>
      <c r="G131" s="255"/>
      <c r="H131" s="155"/>
      <c r="I131" s="92"/>
      <c r="J131" s="115">
        <f t="shared" si="32"/>
        <v>0</v>
      </c>
      <c r="K131" s="804">
        <f t="shared" si="24"/>
        <v>0</v>
      </c>
      <c r="L131" s="913" t="str">
        <f t="shared" si="25"/>
        <v>-</v>
      </c>
      <c r="M131" s="804">
        <f t="shared" si="26"/>
        <v>0</v>
      </c>
      <c r="N131" s="92"/>
      <c r="O131" s="804">
        <f t="shared" si="27"/>
        <v>0</v>
      </c>
      <c r="P131" s="804">
        <f t="shared" si="28"/>
        <v>0</v>
      </c>
      <c r="Q131" s="804">
        <f t="shared" si="29"/>
        <v>0</v>
      </c>
      <c r="R131" s="804">
        <f t="shared" si="30"/>
        <v>0</v>
      </c>
      <c r="S131" s="804">
        <f t="shared" si="31"/>
        <v>0</v>
      </c>
      <c r="T131" s="92"/>
      <c r="U131" s="804">
        <f t="shared" si="40"/>
        <v>0</v>
      </c>
      <c r="V131" s="804">
        <f t="shared" si="40"/>
        <v>0</v>
      </c>
      <c r="W131" s="804">
        <f t="shared" si="40"/>
        <v>0</v>
      </c>
      <c r="X131" s="804">
        <f t="shared" si="40"/>
        <v>0</v>
      </c>
      <c r="Y131" s="804">
        <f t="shared" si="40"/>
        <v>0</v>
      </c>
      <c r="Z131" s="98"/>
      <c r="AA131" s="35"/>
    </row>
    <row r="132" spans="2:27" x14ac:dyDescent="0.2">
      <c r="B132" s="35"/>
      <c r="C132" s="91"/>
      <c r="D132" s="192"/>
      <c r="E132" s="192"/>
      <c r="F132" s="155"/>
      <c r="G132" s="255"/>
      <c r="H132" s="155"/>
      <c r="I132" s="92"/>
      <c r="J132" s="115">
        <f t="shared" si="32"/>
        <v>0</v>
      </c>
      <c r="K132" s="804">
        <f t="shared" si="24"/>
        <v>0</v>
      </c>
      <c r="L132" s="913" t="str">
        <f t="shared" si="25"/>
        <v>-</v>
      </c>
      <c r="M132" s="804">
        <f t="shared" si="26"/>
        <v>0</v>
      </c>
      <c r="N132" s="92"/>
      <c r="O132" s="804">
        <f t="shared" si="27"/>
        <v>0</v>
      </c>
      <c r="P132" s="804">
        <f t="shared" si="28"/>
        <v>0</v>
      </c>
      <c r="Q132" s="804">
        <f t="shared" si="29"/>
        <v>0</v>
      </c>
      <c r="R132" s="804">
        <f t="shared" si="30"/>
        <v>0</v>
      </c>
      <c r="S132" s="804">
        <f t="shared" si="31"/>
        <v>0</v>
      </c>
      <c r="T132" s="92"/>
      <c r="U132" s="804">
        <f t="shared" si="40"/>
        <v>0</v>
      </c>
      <c r="V132" s="804">
        <f t="shared" si="40"/>
        <v>0</v>
      </c>
      <c r="W132" s="804">
        <f t="shared" si="40"/>
        <v>0</v>
      </c>
      <c r="X132" s="804">
        <f t="shared" si="40"/>
        <v>0</v>
      </c>
      <c r="Y132" s="804">
        <f t="shared" si="40"/>
        <v>0</v>
      </c>
      <c r="Z132" s="98"/>
      <c r="AA132" s="35"/>
    </row>
    <row r="133" spans="2:27" x14ac:dyDescent="0.2">
      <c r="B133" s="35"/>
      <c r="C133" s="91"/>
      <c r="D133" s="192"/>
      <c r="E133" s="192"/>
      <c r="F133" s="155"/>
      <c r="G133" s="255"/>
      <c r="H133" s="155"/>
      <c r="I133" s="92"/>
      <c r="J133" s="115">
        <f t="shared" si="32"/>
        <v>0</v>
      </c>
      <c r="K133" s="804">
        <f t="shared" si="24"/>
        <v>0</v>
      </c>
      <c r="L133" s="913" t="str">
        <f t="shared" si="25"/>
        <v>-</v>
      </c>
      <c r="M133" s="804">
        <f t="shared" si="26"/>
        <v>0</v>
      </c>
      <c r="N133" s="92"/>
      <c r="O133" s="804">
        <f t="shared" si="27"/>
        <v>0</v>
      </c>
      <c r="P133" s="804">
        <f t="shared" si="28"/>
        <v>0</v>
      </c>
      <c r="Q133" s="804">
        <f t="shared" si="29"/>
        <v>0</v>
      </c>
      <c r="R133" s="804">
        <f t="shared" si="30"/>
        <v>0</v>
      </c>
      <c r="S133" s="804">
        <f t="shared" si="31"/>
        <v>0</v>
      </c>
      <c r="T133" s="92"/>
      <c r="U133" s="804">
        <f t="shared" si="40"/>
        <v>0</v>
      </c>
      <c r="V133" s="804">
        <f t="shared" si="40"/>
        <v>0</v>
      </c>
      <c r="W133" s="804">
        <f t="shared" si="40"/>
        <v>0</v>
      </c>
      <c r="X133" s="804">
        <f t="shared" si="40"/>
        <v>0</v>
      </c>
      <c r="Y133" s="804">
        <f t="shared" si="40"/>
        <v>0</v>
      </c>
      <c r="Z133" s="98"/>
      <c r="AA133" s="35"/>
    </row>
    <row r="134" spans="2:27" x14ac:dyDescent="0.2">
      <c r="B134" s="35"/>
      <c r="C134" s="91"/>
      <c r="D134" s="192"/>
      <c r="E134" s="192"/>
      <c r="F134" s="155"/>
      <c r="G134" s="255"/>
      <c r="H134" s="155"/>
      <c r="I134" s="92"/>
      <c r="J134" s="115">
        <f t="shared" si="32"/>
        <v>0</v>
      </c>
      <c r="K134" s="804">
        <f t="shared" ref="K134:K141" si="41">IF(G134=0,0,(G134/J134))</f>
        <v>0</v>
      </c>
      <c r="L134" s="913" t="str">
        <f t="shared" ref="L134:L141" si="42">IF(J134=0,"-",(IF(J134&gt;3000,"-",F134+J134-1)))</f>
        <v>-</v>
      </c>
      <c r="M134" s="804">
        <f t="shared" ref="M134:M141" si="43">IF(H134="geen",IF(F134&lt;$O$9,G134,0),IF(F134&gt;=$O$9,0,IF((G134-($O$9-F134)*K134)&lt;0,0,G134-($O$9-F134)*K134)))</f>
        <v>0</v>
      </c>
      <c r="N134" s="92"/>
      <c r="O134" s="804">
        <f t="shared" ref="O134:O141" si="44">(IF(O$9&lt;$F134,0,IF($L134&lt;=O$9-1,0,$K134)))</f>
        <v>0</v>
      </c>
      <c r="P134" s="804">
        <f t="shared" ref="P134:P141" si="45">(IF(P$9&lt;$F134,0,IF($L134&lt;=P$9-1,0,$K134)))</f>
        <v>0</v>
      </c>
      <c r="Q134" s="804">
        <f t="shared" ref="Q134:Q141" si="46">(IF(Q$9&lt;$F134,0,IF($L134&lt;=Q$9-1,0,$K134)))</f>
        <v>0</v>
      </c>
      <c r="R134" s="804">
        <f t="shared" ref="R134:R141" si="47">(IF(R$9&lt;$F134,0,IF($L134&lt;=R$9-1,0,$K134)))</f>
        <v>0</v>
      </c>
      <c r="S134" s="804">
        <f t="shared" ref="S134:S141" si="48">(IF(S$9&lt;$F134,0,IF($L134&lt;=S$9-1,0,$K134)))</f>
        <v>0</v>
      </c>
      <c r="T134" s="92"/>
      <c r="U134" s="804">
        <f t="shared" si="40"/>
        <v>0</v>
      </c>
      <c r="V134" s="804">
        <f t="shared" si="40"/>
        <v>0</v>
      </c>
      <c r="W134" s="804">
        <f t="shared" si="40"/>
        <v>0</v>
      </c>
      <c r="X134" s="804">
        <f t="shared" si="40"/>
        <v>0</v>
      </c>
      <c r="Y134" s="804">
        <f t="shared" si="40"/>
        <v>0</v>
      </c>
      <c r="Z134" s="98"/>
      <c r="AA134" s="35"/>
    </row>
    <row r="135" spans="2:27" x14ac:dyDescent="0.2">
      <c r="B135" s="35"/>
      <c r="C135" s="91"/>
      <c r="D135" s="192"/>
      <c r="E135" s="192"/>
      <c r="F135" s="155"/>
      <c r="G135" s="255"/>
      <c r="H135" s="155"/>
      <c r="I135" s="92"/>
      <c r="J135" s="115">
        <f t="shared" si="32"/>
        <v>0</v>
      </c>
      <c r="K135" s="804">
        <f t="shared" si="41"/>
        <v>0</v>
      </c>
      <c r="L135" s="913" t="str">
        <f t="shared" si="42"/>
        <v>-</v>
      </c>
      <c r="M135" s="804">
        <f t="shared" si="43"/>
        <v>0</v>
      </c>
      <c r="N135" s="92"/>
      <c r="O135" s="804">
        <f t="shared" si="44"/>
        <v>0</v>
      </c>
      <c r="P135" s="804">
        <f t="shared" si="45"/>
        <v>0</v>
      </c>
      <c r="Q135" s="804">
        <f t="shared" si="46"/>
        <v>0</v>
      </c>
      <c r="R135" s="804">
        <f t="shared" si="47"/>
        <v>0</v>
      </c>
      <c r="S135" s="804">
        <f t="shared" si="48"/>
        <v>0</v>
      </c>
      <c r="T135" s="92"/>
      <c r="U135" s="804">
        <f t="shared" si="40"/>
        <v>0</v>
      </c>
      <c r="V135" s="804">
        <f t="shared" si="40"/>
        <v>0</v>
      </c>
      <c r="W135" s="804">
        <f t="shared" si="40"/>
        <v>0</v>
      </c>
      <c r="X135" s="804">
        <f t="shared" si="40"/>
        <v>0</v>
      </c>
      <c r="Y135" s="804">
        <f t="shared" si="40"/>
        <v>0</v>
      </c>
      <c r="Z135" s="98"/>
      <c r="AA135" s="35"/>
    </row>
    <row r="136" spans="2:27" x14ac:dyDescent="0.2">
      <c r="B136" s="35"/>
      <c r="C136" s="91"/>
      <c r="D136" s="192"/>
      <c r="E136" s="192"/>
      <c r="F136" s="155"/>
      <c r="G136" s="255"/>
      <c r="H136" s="155"/>
      <c r="I136" s="92"/>
      <c r="J136" s="115">
        <f t="shared" si="32"/>
        <v>0</v>
      </c>
      <c r="K136" s="804">
        <f t="shared" si="41"/>
        <v>0</v>
      </c>
      <c r="L136" s="913" t="str">
        <f t="shared" si="42"/>
        <v>-</v>
      </c>
      <c r="M136" s="804">
        <f t="shared" si="43"/>
        <v>0</v>
      </c>
      <c r="N136" s="92"/>
      <c r="O136" s="804">
        <f t="shared" si="44"/>
        <v>0</v>
      </c>
      <c r="P136" s="804">
        <f t="shared" si="45"/>
        <v>0</v>
      </c>
      <c r="Q136" s="804">
        <f t="shared" si="46"/>
        <v>0</v>
      </c>
      <c r="R136" s="804">
        <f t="shared" si="47"/>
        <v>0</v>
      </c>
      <c r="S136" s="804">
        <f t="shared" si="48"/>
        <v>0</v>
      </c>
      <c r="T136" s="92"/>
      <c r="U136" s="804">
        <f t="shared" si="40"/>
        <v>0</v>
      </c>
      <c r="V136" s="804">
        <f t="shared" si="40"/>
        <v>0</v>
      </c>
      <c r="W136" s="804">
        <f t="shared" si="40"/>
        <v>0</v>
      </c>
      <c r="X136" s="804">
        <f t="shared" si="40"/>
        <v>0</v>
      </c>
      <c r="Y136" s="804">
        <f t="shared" si="40"/>
        <v>0</v>
      </c>
      <c r="Z136" s="98"/>
      <c r="AA136" s="35"/>
    </row>
    <row r="137" spans="2:27" x14ac:dyDescent="0.2">
      <c r="B137" s="35"/>
      <c r="C137" s="91"/>
      <c r="D137" s="192"/>
      <c r="E137" s="192"/>
      <c r="F137" s="155"/>
      <c r="G137" s="255"/>
      <c r="H137" s="155"/>
      <c r="I137" s="92"/>
      <c r="J137" s="115">
        <f t="shared" si="32"/>
        <v>0</v>
      </c>
      <c r="K137" s="804">
        <f t="shared" si="41"/>
        <v>0</v>
      </c>
      <c r="L137" s="913" t="str">
        <f t="shared" si="42"/>
        <v>-</v>
      </c>
      <c r="M137" s="804">
        <f t="shared" si="43"/>
        <v>0</v>
      </c>
      <c r="N137" s="92"/>
      <c r="O137" s="804">
        <f t="shared" si="44"/>
        <v>0</v>
      </c>
      <c r="P137" s="804">
        <f t="shared" si="45"/>
        <v>0</v>
      </c>
      <c r="Q137" s="804">
        <f t="shared" si="46"/>
        <v>0</v>
      </c>
      <c r="R137" s="804">
        <f t="shared" si="47"/>
        <v>0</v>
      </c>
      <c r="S137" s="804">
        <f t="shared" si="48"/>
        <v>0</v>
      </c>
      <c r="T137" s="92"/>
      <c r="U137" s="804">
        <f t="shared" si="40"/>
        <v>0</v>
      </c>
      <c r="V137" s="804">
        <f t="shared" si="40"/>
        <v>0</v>
      </c>
      <c r="W137" s="804">
        <f t="shared" si="40"/>
        <v>0</v>
      </c>
      <c r="X137" s="804">
        <f t="shared" si="40"/>
        <v>0</v>
      </c>
      <c r="Y137" s="804">
        <f t="shared" si="40"/>
        <v>0</v>
      </c>
      <c r="Z137" s="98"/>
      <c r="AA137" s="35"/>
    </row>
    <row r="138" spans="2:27" x14ac:dyDescent="0.2">
      <c r="B138" s="35"/>
      <c r="C138" s="91"/>
      <c r="D138" s="192"/>
      <c r="E138" s="192"/>
      <c r="F138" s="155"/>
      <c r="G138" s="255"/>
      <c r="H138" s="155"/>
      <c r="I138" s="92"/>
      <c r="J138" s="115">
        <f t="shared" si="32"/>
        <v>0</v>
      </c>
      <c r="K138" s="804">
        <f t="shared" si="41"/>
        <v>0</v>
      </c>
      <c r="L138" s="913" t="str">
        <f t="shared" si="42"/>
        <v>-</v>
      </c>
      <c r="M138" s="804">
        <f t="shared" si="43"/>
        <v>0</v>
      </c>
      <c r="N138" s="92"/>
      <c r="O138" s="804">
        <f t="shared" si="44"/>
        <v>0</v>
      </c>
      <c r="P138" s="804">
        <f t="shared" si="45"/>
        <v>0</v>
      </c>
      <c r="Q138" s="804">
        <f t="shared" si="46"/>
        <v>0</v>
      </c>
      <c r="R138" s="804">
        <f t="shared" si="47"/>
        <v>0</v>
      </c>
      <c r="S138" s="804">
        <f t="shared" si="48"/>
        <v>0</v>
      </c>
      <c r="T138" s="92"/>
      <c r="U138" s="804">
        <f t="shared" ref="U138:Y141" si="49">IF(U$9=$F138,$G138,0)</f>
        <v>0</v>
      </c>
      <c r="V138" s="804">
        <f t="shared" si="49"/>
        <v>0</v>
      </c>
      <c r="W138" s="804">
        <f t="shared" si="49"/>
        <v>0</v>
      </c>
      <c r="X138" s="804">
        <f t="shared" si="49"/>
        <v>0</v>
      </c>
      <c r="Y138" s="804">
        <f t="shared" si="49"/>
        <v>0</v>
      </c>
      <c r="Z138" s="98"/>
      <c r="AA138" s="35"/>
    </row>
    <row r="139" spans="2:27" x14ac:dyDescent="0.2">
      <c r="B139" s="35"/>
      <c r="C139" s="91"/>
      <c r="D139" s="192"/>
      <c r="E139" s="192"/>
      <c r="F139" s="155"/>
      <c r="G139" s="255"/>
      <c r="H139" s="155"/>
      <c r="I139" s="92"/>
      <c r="J139" s="115">
        <f t="shared" si="32"/>
        <v>0</v>
      </c>
      <c r="K139" s="804">
        <f t="shared" si="41"/>
        <v>0</v>
      </c>
      <c r="L139" s="913" t="str">
        <f t="shared" si="42"/>
        <v>-</v>
      </c>
      <c r="M139" s="804">
        <f t="shared" si="43"/>
        <v>0</v>
      </c>
      <c r="N139" s="92"/>
      <c r="O139" s="804">
        <f t="shared" si="44"/>
        <v>0</v>
      </c>
      <c r="P139" s="804">
        <f t="shared" si="45"/>
        <v>0</v>
      </c>
      <c r="Q139" s="804">
        <f t="shared" si="46"/>
        <v>0</v>
      </c>
      <c r="R139" s="804">
        <f t="shared" si="47"/>
        <v>0</v>
      </c>
      <c r="S139" s="804">
        <f t="shared" si="48"/>
        <v>0</v>
      </c>
      <c r="T139" s="92"/>
      <c r="U139" s="804">
        <f t="shared" si="49"/>
        <v>0</v>
      </c>
      <c r="V139" s="804">
        <f t="shared" si="49"/>
        <v>0</v>
      </c>
      <c r="W139" s="804">
        <f t="shared" si="49"/>
        <v>0</v>
      </c>
      <c r="X139" s="804">
        <f t="shared" si="49"/>
        <v>0</v>
      </c>
      <c r="Y139" s="804">
        <f t="shared" si="49"/>
        <v>0</v>
      </c>
      <c r="Z139" s="98"/>
      <c r="AA139" s="35"/>
    </row>
    <row r="140" spans="2:27" x14ac:dyDescent="0.2">
      <c r="B140" s="35"/>
      <c r="C140" s="91"/>
      <c r="D140" s="192"/>
      <c r="E140" s="192"/>
      <c r="F140" s="155"/>
      <c r="G140" s="255"/>
      <c r="H140" s="155"/>
      <c r="I140" s="92"/>
      <c r="J140" s="115">
        <f t="shared" si="32"/>
        <v>0</v>
      </c>
      <c r="K140" s="804">
        <f t="shared" si="41"/>
        <v>0</v>
      </c>
      <c r="L140" s="913" t="str">
        <f t="shared" si="42"/>
        <v>-</v>
      </c>
      <c r="M140" s="804">
        <f t="shared" si="43"/>
        <v>0</v>
      </c>
      <c r="N140" s="92"/>
      <c r="O140" s="804">
        <f t="shared" si="44"/>
        <v>0</v>
      </c>
      <c r="P140" s="804">
        <f t="shared" si="45"/>
        <v>0</v>
      </c>
      <c r="Q140" s="804">
        <f t="shared" si="46"/>
        <v>0</v>
      </c>
      <c r="R140" s="804">
        <f t="shared" si="47"/>
        <v>0</v>
      </c>
      <c r="S140" s="804">
        <f t="shared" si="48"/>
        <v>0</v>
      </c>
      <c r="T140" s="92"/>
      <c r="U140" s="804">
        <f t="shared" si="49"/>
        <v>0</v>
      </c>
      <c r="V140" s="804">
        <f t="shared" si="49"/>
        <v>0</v>
      </c>
      <c r="W140" s="804">
        <f t="shared" si="49"/>
        <v>0</v>
      </c>
      <c r="X140" s="804">
        <f t="shared" si="49"/>
        <v>0</v>
      </c>
      <c r="Y140" s="804">
        <f t="shared" si="49"/>
        <v>0</v>
      </c>
      <c r="Z140" s="98"/>
      <c r="AA140" s="35"/>
    </row>
    <row r="141" spans="2:27" x14ac:dyDescent="0.2">
      <c r="B141" s="35"/>
      <c r="C141" s="91"/>
      <c r="D141" s="192"/>
      <c r="E141" s="192"/>
      <c r="F141" s="155"/>
      <c r="G141" s="255"/>
      <c r="H141" s="155"/>
      <c r="I141" s="92"/>
      <c r="J141" s="115">
        <f t="shared" si="32"/>
        <v>0</v>
      </c>
      <c r="K141" s="804">
        <f t="shared" si="41"/>
        <v>0</v>
      </c>
      <c r="L141" s="913" t="str">
        <f t="shared" si="42"/>
        <v>-</v>
      </c>
      <c r="M141" s="804">
        <f t="shared" si="43"/>
        <v>0</v>
      </c>
      <c r="N141" s="92"/>
      <c r="O141" s="804">
        <f t="shared" si="44"/>
        <v>0</v>
      </c>
      <c r="P141" s="804">
        <f t="shared" si="45"/>
        <v>0</v>
      </c>
      <c r="Q141" s="804">
        <f t="shared" si="46"/>
        <v>0</v>
      </c>
      <c r="R141" s="804">
        <f t="shared" si="47"/>
        <v>0</v>
      </c>
      <c r="S141" s="804">
        <f t="shared" si="48"/>
        <v>0</v>
      </c>
      <c r="T141" s="92"/>
      <c r="U141" s="804">
        <f t="shared" si="49"/>
        <v>0</v>
      </c>
      <c r="V141" s="804">
        <f t="shared" si="49"/>
        <v>0</v>
      </c>
      <c r="W141" s="804">
        <f t="shared" si="49"/>
        <v>0</v>
      </c>
      <c r="X141" s="804">
        <f t="shared" si="49"/>
        <v>0</v>
      </c>
      <c r="Y141" s="804">
        <f t="shared" si="49"/>
        <v>0</v>
      </c>
      <c r="Z141" s="98"/>
      <c r="AA141" s="35"/>
    </row>
    <row r="142" spans="2:27" collapsed="1" x14ac:dyDescent="0.2">
      <c r="B142" s="35"/>
      <c r="C142" s="124"/>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6"/>
      <c r="AA142" s="35"/>
    </row>
    <row r="143" spans="2:27" x14ac:dyDescent="0.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2:27" x14ac:dyDescent="0.2">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sheetData>
  <sheetProtection algorithmName="SHA-512" hashValue="6a7WwUeW40VEfylDa6NWHYCjt/fkL+bEHWRqrs8pFsPpdJHKNMfuWtjPBDS8EQtukxY4BUXSjJq2qaBbXAz+vQ==" saltValue="3FnHynjy3QgkCcMb07QUzw==" spinCount="100000" sheet="1" objects="1" scenarios="1"/>
  <phoneticPr fontId="0" type="noConversion"/>
  <dataValidations count="2">
    <dataValidation type="list" allowBlank="1" showInputMessage="1" showErrorMessage="1" sqref="H15:H141">
      <formula1>"geen,1,2,3,4,5,6,7,8,9,10,11,12,13,14,15,16,17,18,19,20,21,22,23,24,25,26,27,28,29,30,31,32,33,34,35,36,37,38,39,40,41,42,43,44,45,46,47,48,49,50"</formula1>
    </dataValidation>
    <dataValidation type="list" allowBlank="1" showInputMessage="1" showErrorMessage="1" sqref="D15:D141">
      <formula1>"gebouwen en terreinen, inventaris en apparatuur, leermiddelen PO, overige materiële vaste activa,meubilair,ICT"</formula1>
    </dataValidation>
  </dataValidations>
  <pageMargins left="0.78740157480314965" right="0.78740157480314965"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4"/>
  <sheetViews>
    <sheetView zoomScale="85" zoomScaleNormal="85" workbookViewId="0">
      <pane ySplit="9" topLeftCell="A10" activePane="bottomLeft" state="frozen"/>
      <selection activeCell="C4" sqref="C4"/>
      <selection pane="bottomLeft" activeCell="B2" sqref="B2"/>
    </sheetView>
  </sheetViews>
  <sheetFormatPr defaultColWidth="9.140625" defaultRowHeight="12.75" x14ac:dyDescent="0.2"/>
  <cols>
    <col min="1" max="1" width="3.7109375" style="5" customWidth="1"/>
    <col min="2" max="3" width="2.7109375" style="5" customWidth="1"/>
    <col min="4" max="4" width="45.7109375" style="5" customWidth="1"/>
    <col min="5" max="5" width="2.7109375" style="5" customWidth="1"/>
    <col min="6" max="8" width="14.85546875" style="5" customWidth="1"/>
    <col min="9" max="9" width="14.85546875" style="427" customWidth="1"/>
    <col min="10" max="10" width="14.85546875" style="5" customWidth="1"/>
    <col min="11" max="12" width="2.7109375" style="5" customWidth="1"/>
    <col min="13" max="16384" width="9.140625" style="5"/>
  </cols>
  <sheetData>
    <row r="1" spans="2:12" ht="12.75" customHeight="1" x14ac:dyDescent="0.2"/>
    <row r="2" spans="2:12" x14ac:dyDescent="0.2">
      <c r="B2" s="30"/>
      <c r="C2" s="31"/>
      <c r="D2" s="31"/>
      <c r="E2" s="31"/>
      <c r="F2" s="31"/>
      <c r="G2" s="31"/>
      <c r="H2" s="429"/>
      <c r="I2" s="31"/>
      <c r="J2" s="31"/>
      <c r="K2" s="31"/>
      <c r="L2" s="33"/>
    </row>
    <row r="3" spans="2:12" x14ac:dyDescent="0.2">
      <c r="B3" s="34"/>
      <c r="C3" s="35"/>
      <c r="D3" s="35"/>
      <c r="E3" s="35"/>
      <c r="F3" s="35"/>
      <c r="G3" s="35"/>
      <c r="H3" s="430"/>
      <c r="I3" s="35"/>
      <c r="J3" s="35"/>
      <c r="K3" s="35"/>
      <c r="L3" s="37"/>
    </row>
    <row r="4" spans="2:12" s="436" customFormat="1" ht="18.75" x14ac:dyDescent="0.3">
      <c r="B4" s="365"/>
      <c r="C4" s="151" t="s">
        <v>337</v>
      </c>
      <c r="D4" s="127"/>
      <c r="E4" s="151"/>
      <c r="F4" s="151"/>
      <c r="G4" s="151"/>
      <c r="H4" s="151"/>
      <c r="I4" s="151"/>
      <c r="J4" s="151"/>
      <c r="K4" s="151"/>
      <c r="L4" s="209"/>
    </row>
    <row r="5" spans="2:12" s="28" customFormat="1" ht="18.75" x14ac:dyDescent="0.3">
      <c r="B5" s="38"/>
      <c r="C5" s="173" t="str">
        <f>geg!G10</f>
        <v>Basisschool</v>
      </c>
      <c r="D5" s="39"/>
      <c r="E5" s="79"/>
      <c r="F5" s="79"/>
      <c r="G5" s="79"/>
      <c r="H5" s="79"/>
      <c r="I5" s="79"/>
      <c r="J5" s="79"/>
      <c r="K5" s="79"/>
      <c r="L5" s="241"/>
    </row>
    <row r="6" spans="2:12" ht="12.75" customHeight="1" x14ac:dyDescent="0.2">
      <c r="B6" s="431"/>
      <c r="C6" s="432"/>
      <c r="D6" s="250"/>
      <c r="E6" s="40"/>
      <c r="F6" s="40"/>
      <c r="G6" s="40"/>
      <c r="H6" s="40"/>
      <c r="I6" s="40"/>
      <c r="J6" s="40"/>
      <c r="K6" s="40"/>
      <c r="L6" s="42"/>
    </row>
    <row r="7" spans="2:12" ht="14.45" customHeight="1" x14ac:dyDescent="0.2">
      <c r="B7" s="431"/>
      <c r="C7" s="432"/>
      <c r="D7" s="250"/>
      <c r="E7" s="40"/>
      <c r="F7" s="40"/>
      <c r="G7" s="40"/>
      <c r="H7" s="40"/>
      <c r="I7" s="40"/>
      <c r="J7" s="40"/>
      <c r="K7" s="40"/>
      <c r="L7" s="42"/>
    </row>
    <row r="8" spans="2:12" s="165" customFormat="1" ht="14.45" customHeight="1" x14ac:dyDescent="0.2">
      <c r="B8" s="437"/>
      <c r="C8" s="438"/>
      <c r="D8" s="369"/>
      <c r="E8" s="439"/>
      <c r="F8" s="742">
        <f>tab!E4</f>
        <v>2016</v>
      </c>
      <c r="G8" s="742">
        <f>F8+1</f>
        <v>2017</v>
      </c>
      <c r="H8" s="742">
        <f>G8+1</f>
        <v>2018</v>
      </c>
      <c r="I8" s="742">
        <f>H8+1</f>
        <v>2019</v>
      </c>
      <c r="J8" s="742">
        <f>I8+1</f>
        <v>2020</v>
      </c>
      <c r="K8" s="439"/>
      <c r="L8" s="440"/>
    </row>
    <row r="9" spans="2:12" ht="14.45" customHeight="1" x14ac:dyDescent="0.2">
      <c r="B9" s="431"/>
      <c r="C9" s="432"/>
      <c r="D9" s="433"/>
      <c r="E9" s="40"/>
      <c r="F9" s="40"/>
      <c r="G9" s="40"/>
      <c r="H9" s="40"/>
      <c r="I9" s="40"/>
      <c r="J9" s="40"/>
      <c r="K9" s="40"/>
      <c r="L9" s="42"/>
    </row>
    <row r="10" spans="2:12" ht="14.45" customHeight="1" x14ac:dyDescent="0.2">
      <c r="B10" s="434"/>
      <c r="C10" s="441"/>
      <c r="D10" s="326"/>
      <c r="E10" s="87"/>
      <c r="F10" s="87"/>
      <c r="G10" s="87"/>
      <c r="H10" s="87"/>
      <c r="I10" s="87"/>
      <c r="J10" s="87"/>
      <c r="K10" s="128"/>
      <c r="L10" s="37"/>
    </row>
    <row r="11" spans="2:12" ht="14.45" customHeight="1" x14ac:dyDescent="0.2">
      <c r="B11" s="434"/>
      <c r="C11" s="442"/>
      <c r="D11" s="797" t="s">
        <v>336</v>
      </c>
      <c r="E11" s="92"/>
      <c r="F11" s="92"/>
      <c r="G11" s="92"/>
      <c r="H11" s="92"/>
      <c r="I11" s="92"/>
      <c r="J11" s="92"/>
      <c r="K11" s="98"/>
      <c r="L11" s="37"/>
    </row>
    <row r="12" spans="2:12" ht="14.45" customHeight="1" x14ac:dyDescent="0.2">
      <c r="B12" s="434"/>
      <c r="C12" s="442"/>
      <c r="D12" s="103" t="s">
        <v>134</v>
      </c>
      <c r="E12" s="92"/>
      <c r="F12" s="255">
        <v>0</v>
      </c>
      <c r="G12" s="888">
        <f>F55</f>
        <v>0</v>
      </c>
      <c r="H12" s="888">
        <f>G55</f>
        <v>0</v>
      </c>
      <c r="I12" s="888">
        <f>H55</f>
        <v>0</v>
      </c>
      <c r="J12" s="888">
        <f>I55</f>
        <v>0</v>
      </c>
      <c r="K12" s="98"/>
      <c r="L12" s="37"/>
    </row>
    <row r="13" spans="2:12" ht="14.45" customHeight="1" x14ac:dyDescent="0.2">
      <c r="B13" s="434"/>
      <c r="C13" s="442"/>
      <c r="D13" s="103" t="s">
        <v>135</v>
      </c>
      <c r="E13" s="92"/>
      <c r="F13" s="447">
        <v>0</v>
      </c>
      <c r="G13" s="888">
        <f t="shared" ref="G13:J17" si="0">F56</f>
        <v>0</v>
      </c>
      <c r="H13" s="888">
        <f t="shared" si="0"/>
        <v>0</v>
      </c>
      <c r="I13" s="888">
        <f t="shared" si="0"/>
        <v>0</v>
      </c>
      <c r="J13" s="888">
        <f t="shared" si="0"/>
        <v>0</v>
      </c>
      <c r="K13" s="98"/>
      <c r="L13" s="37"/>
    </row>
    <row r="14" spans="2:12" ht="14.45" customHeight="1" x14ac:dyDescent="0.2">
      <c r="B14" s="434"/>
      <c r="C14" s="442"/>
      <c r="D14" s="298" t="s">
        <v>324</v>
      </c>
      <c r="E14" s="92"/>
      <c r="F14" s="447">
        <v>0</v>
      </c>
      <c r="G14" s="888">
        <f t="shared" si="0"/>
        <v>0</v>
      </c>
      <c r="H14" s="888">
        <f t="shared" si="0"/>
        <v>0</v>
      </c>
      <c r="I14" s="888">
        <f t="shared" si="0"/>
        <v>0</v>
      </c>
      <c r="J14" s="888">
        <f t="shared" si="0"/>
        <v>0</v>
      </c>
      <c r="K14" s="98"/>
      <c r="L14" s="37"/>
    </row>
    <row r="15" spans="2:12" ht="14.45" customHeight="1" x14ac:dyDescent="0.2">
      <c r="B15" s="434"/>
      <c r="C15" s="442"/>
      <c r="D15" s="298" t="s">
        <v>325</v>
      </c>
      <c r="E15" s="92"/>
      <c r="F15" s="447">
        <v>0</v>
      </c>
      <c r="G15" s="888">
        <f t="shared" si="0"/>
        <v>0</v>
      </c>
      <c r="H15" s="888">
        <f t="shared" si="0"/>
        <v>0</v>
      </c>
      <c r="I15" s="888">
        <f t="shared" si="0"/>
        <v>0</v>
      </c>
      <c r="J15" s="888">
        <f t="shared" si="0"/>
        <v>0</v>
      </c>
      <c r="K15" s="98"/>
      <c r="L15" s="37"/>
    </row>
    <row r="16" spans="2:12" ht="14.45" customHeight="1" x14ac:dyDescent="0.2">
      <c r="B16" s="434"/>
      <c r="C16" s="442"/>
      <c r="D16" s="103" t="s">
        <v>142</v>
      </c>
      <c r="E16" s="92"/>
      <c r="F16" s="447">
        <v>0</v>
      </c>
      <c r="G16" s="888">
        <f t="shared" si="0"/>
        <v>0</v>
      </c>
      <c r="H16" s="888">
        <f t="shared" si="0"/>
        <v>0</v>
      </c>
      <c r="I16" s="888">
        <f t="shared" si="0"/>
        <v>0</v>
      </c>
      <c r="J16" s="888">
        <f t="shared" si="0"/>
        <v>0</v>
      </c>
      <c r="K16" s="98"/>
      <c r="L16" s="37"/>
    </row>
    <row r="17" spans="2:12" ht="14.45" customHeight="1" x14ac:dyDescent="0.2">
      <c r="B17" s="434"/>
      <c r="C17" s="442"/>
      <c r="D17" s="103" t="s">
        <v>136</v>
      </c>
      <c r="E17" s="92"/>
      <c r="F17" s="447">
        <v>0</v>
      </c>
      <c r="G17" s="888">
        <f t="shared" si="0"/>
        <v>0</v>
      </c>
      <c r="H17" s="888">
        <f t="shared" si="0"/>
        <v>0</v>
      </c>
      <c r="I17" s="888">
        <f t="shared" si="0"/>
        <v>0</v>
      </c>
      <c r="J17" s="888">
        <f t="shared" si="0"/>
        <v>0</v>
      </c>
      <c r="K17" s="98"/>
      <c r="L17" s="37"/>
    </row>
    <row r="18" spans="2:12" ht="14.45" customHeight="1" x14ac:dyDescent="0.2">
      <c r="B18" s="434"/>
      <c r="C18" s="442"/>
      <c r="D18" s="106"/>
      <c r="E18" s="92"/>
      <c r="F18" s="832">
        <f>SUM(F12:F17)</f>
        <v>0</v>
      </c>
      <c r="G18" s="832">
        <f>SUM(G12:G17)</f>
        <v>0</v>
      </c>
      <c r="H18" s="832">
        <f>SUM(H12:H17)</f>
        <v>0</v>
      </c>
      <c r="I18" s="832">
        <f>SUM(I12:I17)</f>
        <v>0</v>
      </c>
      <c r="J18" s="832">
        <f>SUM(J12:J17)</f>
        <v>0</v>
      </c>
      <c r="K18" s="98"/>
      <c r="L18" s="37"/>
    </row>
    <row r="19" spans="2:12" ht="14.45" customHeight="1" x14ac:dyDescent="0.2">
      <c r="B19" s="434"/>
      <c r="C19" s="446"/>
      <c r="D19" s="143"/>
      <c r="E19" s="125"/>
      <c r="F19" s="125"/>
      <c r="G19" s="125"/>
      <c r="H19" s="125"/>
      <c r="I19" s="125"/>
      <c r="J19" s="125"/>
      <c r="K19" s="126"/>
      <c r="L19" s="37"/>
    </row>
    <row r="20" spans="2:12" ht="14.45" customHeight="1" x14ac:dyDescent="0.2">
      <c r="B20" s="34"/>
      <c r="C20" s="35"/>
      <c r="D20" s="35"/>
      <c r="E20" s="35"/>
      <c r="F20" s="35"/>
      <c r="G20" s="35"/>
      <c r="H20" s="35"/>
      <c r="I20" s="35"/>
      <c r="J20" s="35"/>
      <c r="K20" s="35"/>
      <c r="L20" s="37"/>
    </row>
    <row r="21" spans="2:12" ht="14.45" customHeight="1" x14ac:dyDescent="0.2">
      <c r="B21" s="434"/>
      <c r="C21" s="441"/>
      <c r="D21" s="326"/>
      <c r="E21" s="87"/>
      <c r="F21" s="87"/>
      <c r="G21" s="87"/>
      <c r="H21" s="87"/>
      <c r="I21" s="87"/>
      <c r="J21" s="87"/>
      <c r="K21" s="128"/>
      <c r="L21" s="37"/>
    </row>
    <row r="22" spans="2:12" ht="14.45" customHeight="1" x14ac:dyDescent="0.2">
      <c r="B22" s="434"/>
      <c r="C22" s="442"/>
      <c r="D22" s="797" t="s">
        <v>162</v>
      </c>
      <c r="E22" s="92"/>
      <c r="F22" s="106"/>
      <c r="G22" s="92"/>
      <c r="H22" s="92"/>
      <c r="I22" s="92"/>
      <c r="J22" s="92"/>
      <c r="K22" s="98"/>
      <c r="L22" s="37"/>
    </row>
    <row r="23" spans="2:12" ht="14.45" customHeight="1" x14ac:dyDescent="0.2">
      <c r="B23" s="434"/>
      <c r="C23" s="442"/>
      <c r="D23" s="103" t="s">
        <v>134</v>
      </c>
      <c r="E23" s="92"/>
      <c r="F23" s="804">
        <f>(SUMIF(mip!$D15:$D141,"gebouwen en terreinen",mip!U15:U141))</f>
        <v>0</v>
      </c>
      <c r="G23" s="804">
        <f>(SUMIF(mip!$D15:$D141,"gebouwen en terreinen",mip!V15:V141))</f>
        <v>0</v>
      </c>
      <c r="H23" s="804">
        <f>(SUMIF(mip!$D15:$D141,"gebouwen en terreinen",mip!W15:W141))</f>
        <v>0</v>
      </c>
      <c r="I23" s="804">
        <f>(SUMIF(mip!$D15:$D141,"gebouwen en terreinen",mip!X15:X141))</f>
        <v>0</v>
      </c>
      <c r="J23" s="804">
        <f>(SUMIF(mip!$D15:$D141,"gebouwen en terreinen",mip!Y15:Y141))</f>
        <v>0</v>
      </c>
      <c r="K23" s="98"/>
      <c r="L23" s="37"/>
    </row>
    <row r="24" spans="2:12" ht="14.45" customHeight="1" x14ac:dyDescent="0.2">
      <c r="B24" s="434"/>
      <c r="C24" s="442"/>
      <c r="D24" s="103" t="s">
        <v>135</v>
      </c>
      <c r="E24" s="92"/>
      <c r="F24" s="914">
        <f>(SUMIF(mip!$D15:$D141,"inventaris en apparatuur",mip!U15:U141))</f>
        <v>0</v>
      </c>
      <c r="G24" s="914">
        <f>(SUMIF(mip!$D15:$D141,"inventaris en apparatuur",mip!V15:V141))</f>
        <v>0</v>
      </c>
      <c r="H24" s="914">
        <f>(SUMIF(mip!$D15:$D141,"inventaris en apparatuur",mip!W15:W141))</f>
        <v>0</v>
      </c>
      <c r="I24" s="914">
        <f>(SUMIF(mip!$D15:$D141,"inventaris en apparatuur",mip!X15:X141))</f>
        <v>0</v>
      </c>
      <c r="J24" s="914">
        <f>(SUMIF(mip!$D15:$D141,"inventaris en apparatuur",mip!Y15:Y141))</f>
        <v>0</v>
      </c>
      <c r="K24" s="98"/>
      <c r="L24" s="37"/>
    </row>
    <row r="25" spans="2:12" ht="14.45" customHeight="1" x14ac:dyDescent="0.2">
      <c r="B25" s="434"/>
      <c r="C25" s="442"/>
      <c r="D25" s="298" t="s">
        <v>324</v>
      </c>
      <c r="E25" s="92"/>
      <c r="F25" s="914">
        <f>(SUMIF(mip!$D15:$D141,"meubilair",mip!U15:U141))</f>
        <v>0</v>
      </c>
      <c r="G25" s="914">
        <f>(SUMIF(mip!$D15:$D141,"meubilair",mip!V15:V141))</f>
        <v>0</v>
      </c>
      <c r="H25" s="914">
        <f>(SUMIF(mip!$D15:$D141,"meubilair",mip!W15:W141))</f>
        <v>0</v>
      </c>
      <c r="I25" s="914">
        <f>(SUMIF(mip!$D15:$D141,"meubilair",mip!X15:X141))</f>
        <v>0</v>
      </c>
      <c r="J25" s="914">
        <f>(SUMIF(mip!$D15:$D141,"meubilair",mip!Y15:Y141))</f>
        <v>0</v>
      </c>
      <c r="K25" s="98"/>
      <c r="L25" s="37"/>
    </row>
    <row r="26" spans="2:12" ht="14.45" customHeight="1" x14ac:dyDescent="0.2">
      <c r="B26" s="434"/>
      <c r="C26" s="442"/>
      <c r="D26" s="298" t="s">
        <v>325</v>
      </c>
      <c r="E26" s="92"/>
      <c r="F26" s="914">
        <f>(SUMIF(mip!$D15:$D141,"ICT",mip!U15:U141))</f>
        <v>0</v>
      </c>
      <c r="G26" s="914">
        <f>(SUMIF(mip!$D15:$D141,"ICT",mip!V15:V141))</f>
        <v>0</v>
      </c>
      <c r="H26" s="914">
        <f>(SUMIF(mip!$D15:$D141,"ICT",mip!W15:W141))</f>
        <v>0</v>
      </c>
      <c r="I26" s="914">
        <f>(SUMIF(mip!$D15:$D141,"ICT",mip!X15:X141))</f>
        <v>0</v>
      </c>
      <c r="J26" s="914">
        <f>(SUMIF(mip!$D15:$D141,"ICT",mip!Y15:Y141))</f>
        <v>0</v>
      </c>
      <c r="K26" s="98"/>
      <c r="L26" s="37"/>
    </row>
    <row r="27" spans="2:12" ht="14.45" customHeight="1" x14ac:dyDescent="0.2">
      <c r="B27" s="434"/>
      <c r="C27" s="442"/>
      <c r="D27" s="103" t="s">
        <v>142</v>
      </c>
      <c r="E27" s="92"/>
      <c r="F27" s="914">
        <f>(SUMIF(mip!$D15:$D141,"Leermiddelen PO",mip!U15:U141))</f>
        <v>0</v>
      </c>
      <c r="G27" s="914">
        <f>(SUMIF(mip!$D15:$D141,"Leermiddelen PO",mip!V15:V141))</f>
        <v>0</v>
      </c>
      <c r="H27" s="914">
        <f>(SUMIF(mip!$D15:$D141,"Leermiddelen PO",mip!W15:W141))</f>
        <v>0</v>
      </c>
      <c r="I27" s="914">
        <f>(SUMIF(mip!$D15:$D141,"Leermiddelen PO",mip!X15:X141))</f>
        <v>0</v>
      </c>
      <c r="J27" s="914">
        <f>(SUMIF(mip!$D15:$D141,"Leermiddelen PO",mip!Y15:Y141))</f>
        <v>0</v>
      </c>
      <c r="K27" s="98"/>
      <c r="L27" s="37"/>
    </row>
    <row r="28" spans="2:12" ht="14.45" customHeight="1" x14ac:dyDescent="0.2">
      <c r="B28" s="434"/>
      <c r="C28" s="442"/>
      <c r="D28" s="103" t="s">
        <v>136</v>
      </c>
      <c r="E28" s="92"/>
      <c r="F28" s="914">
        <f>(SUMIF(mip!$D15:$D141,"overige materiële vaste activa",mip!U15:U141))</f>
        <v>0</v>
      </c>
      <c r="G28" s="914">
        <f>(SUMIF(mip!$D15:$D141,"overige materiële vaste activa",mip!V15:V141))</f>
        <v>0</v>
      </c>
      <c r="H28" s="914">
        <f>(SUMIF(mip!$D15:$D141,"overige materiële vaste activa",mip!W15:W141))</f>
        <v>0</v>
      </c>
      <c r="I28" s="914">
        <f>(SUMIF(mip!$D15:$D141,"overige materiële vaste activa",mip!X15:X141))</f>
        <v>0</v>
      </c>
      <c r="J28" s="914">
        <f>(SUMIF(mip!$D15:$D141,"overige materiële vaste activa",mip!Y15:Y141))</f>
        <v>0</v>
      </c>
      <c r="K28" s="98"/>
      <c r="L28" s="37"/>
    </row>
    <row r="29" spans="2:12" ht="14.45" customHeight="1" x14ac:dyDescent="0.2">
      <c r="B29" s="434"/>
      <c r="C29" s="442"/>
      <c r="D29" s="106"/>
      <c r="E29" s="92"/>
      <c r="F29" s="832">
        <f>SUM(F23:F28)</f>
        <v>0</v>
      </c>
      <c r="G29" s="832">
        <f>SUM(G23:G28)</f>
        <v>0</v>
      </c>
      <c r="H29" s="832">
        <f>SUM(H23:H28)</f>
        <v>0</v>
      </c>
      <c r="I29" s="832">
        <f>SUM(I23:I28)</f>
        <v>0</v>
      </c>
      <c r="J29" s="832">
        <f>SUM(J23:J28)</f>
        <v>0</v>
      </c>
      <c r="K29" s="98"/>
      <c r="L29" s="37"/>
    </row>
    <row r="30" spans="2:12" ht="14.45" customHeight="1" x14ac:dyDescent="0.2">
      <c r="B30" s="434"/>
      <c r="C30" s="442"/>
      <c r="D30" s="103"/>
      <c r="E30" s="92"/>
      <c r="F30" s="92"/>
      <c r="G30" s="92"/>
      <c r="H30" s="92"/>
      <c r="I30" s="92"/>
      <c r="J30" s="92"/>
      <c r="K30" s="98"/>
      <c r="L30" s="37"/>
    </row>
    <row r="31" spans="2:12" ht="14.45" customHeight="1" x14ac:dyDescent="0.2">
      <c r="B31" s="34"/>
      <c r="C31" s="35"/>
      <c r="D31" s="35"/>
      <c r="E31" s="35"/>
      <c r="F31" s="35"/>
      <c r="G31" s="35"/>
      <c r="H31" s="35"/>
      <c r="I31" s="35"/>
      <c r="J31" s="35"/>
      <c r="K31" s="35"/>
      <c r="L31" s="37"/>
    </row>
    <row r="32" spans="2:12" ht="14.45" customHeight="1" x14ac:dyDescent="0.2">
      <c r="B32" s="34"/>
      <c r="C32" s="91"/>
      <c r="D32" s="103"/>
      <c r="E32" s="92"/>
      <c r="F32" s="92"/>
      <c r="G32" s="92"/>
      <c r="H32" s="443"/>
      <c r="I32" s="92"/>
      <c r="J32" s="92"/>
      <c r="K32" s="98"/>
      <c r="L32" s="37"/>
    </row>
    <row r="33" spans="2:12" ht="14.45" customHeight="1" x14ac:dyDescent="0.2">
      <c r="B33" s="434"/>
      <c r="C33" s="442"/>
      <c r="D33" s="797" t="s">
        <v>141</v>
      </c>
      <c r="E33" s="92"/>
      <c r="F33" s="92"/>
      <c r="G33" s="92"/>
      <c r="H33" s="92"/>
      <c r="I33" s="92"/>
      <c r="J33" s="92"/>
      <c r="K33" s="98"/>
      <c r="L33" s="37"/>
    </row>
    <row r="34" spans="2:12" ht="14.45" customHeight="1" x14ac:dyDescent="0.2">
      <c r="B34" s="434"/>
      <c r="C34" s="442"/>
      <c r="D34" s="103" t="s">
        <v>134</v>
      </c>
      <c r="E34" s="92"/>
      <c r="F34" s="804">
        <f>(SUMIF(mip!$D15:$D141,"gebouwen en terreinen",mip!O15:O141))</f>
        <v>0</v>
      </c>
      <c r="G34" s="888">
        <f>(SUMIF(mip!$D15:$D141,"gebouwen en terreinen",mip!P15:P141))</f>
        <v>0</v>
      </c>
      <c r="H34" s="888">
        <f>(SUMIF(mip!$D15:$D141,"gebouwen en terreinen",mip!Q15:Q141))</f>
        <v>0</v>
      </c>
      <c r="I34" s="888">
        <f>(SUMIF(mip!$D15:$D141,"gebouwen en terreinen",mip!R15:R141))</f>
        <v>0</v>
      </c>
      <c r="J34" s="888">
        <f>(SUMIF(mip!$D15:$D141,"gebouwen en terreinen",mip!S15:S141))</f>
        <v>0</v>
      </c>
      <c r="K34" s="98"/>
      <c r="L34" s="37"/>
    </row>
    <row r="35" spans="2:12" ht="14.45" customHeight="1" x14ac:dyDescent="0.2">
      <c r="B35" s="434"/>
      <c r="C35" s="442"/>
      <c r="D35" s="103" t="s">
        <v>135</v>
      </c>
      <c r="E35" s="92"/>
      <c r="F35" s="914">
        <f>(SUMIF(mip!$D15:$D141,"inventaris en apparatuur",mip!O15:O141))</f>
        <v>0</v>
      </c>
      <c r="G35" s="888">
        <f>(SUMIF(mip!$D15:$D141,"inventaris en apparatuur",mip!P15:P141))</f>
        <v>0</v>
      </c>
      <c r="H35" s="888">
        <f>(SUMIF(mip!$D15:$D141,"inventaris en apparatuur",mip!Q15:Q141))</f>
        <v>0</v>
      </c>
      <c r="I35" s="888">
        <f>(SUMIF(mip!$D15:$D141,"inventaris en apparatuur",mip!R15:R141))</f>
        <v>0</v>
      </c>
      <c r="J35" s="888">
        <f>(SUMIF(mip!$D15:$D141,"inventaris en apparatuur",mip!S15:S141))</f>
        <v>0</v>
      </c>
      <c r="K35" s="98"/>
      <c r="L35" s="37"/>
    </row>
    <row r="36" spans="2:12" ht="14.45" customHeight="1" x14ac:dyDescent="0.2">
      <c r="B36" s="434"/>
      <c r="C36" s="442"/>
      <c r="D36" s="298" t="s">
        <v>324</v>
      </c>
      <c r="E36" s="92"/>
      <c r="F36" s="914">
        <f>(SUMIF(mip!$D15:$D141,"meubilair",mip!O15:O141))</f>
        <v>0</v>
      </c>
      <c r="G36" s="888">
        <f>(SUMIF(mip!$D15:$D141,"meubilair",mip!P15:P141))</f>
        <v>0</v>
      </c>
      <c r="H36" s="888">
        <f>(SUMIF(mip!$D15:$D141,"meubilair",mip!Q15:Q141))</f>
        <v>0</v>
      </c>
      <c r="I36" s="888">
        <f>(SUMIF(mip!$D15:$D141,"meubilair",mip!R15:R141))</f>
        <v>0</v>
      </c>
      <c r="J36" s="888">
        <f>(SUMIF(mip!$D15:$D141,"meubilair",mip!S15:S141))</f>
        <v>0</v>
      </c>
      <c r="K36" s="98"/>
      <c r="L36" s="37"/>
    </row>
    <row r="37" spans="2:12" ht="14.45" customHeight="1" x14ac:dyDescent="0.2">
      <c r="B37" s="434"/>
      <c r="C37" s="442"/>
      <c r="D37" s="298" t="s">
        <v>325</v>
      </c>
      <c r="E37" s="92"/>
      <c r="F37" s="914">
        <f>(SUMIF(mip!$D15:$D141,"ICT",mip!O15:O141))</f>
        <v>0</v>
      </c>
      <c r="G37" s="888">
        <f>(SUMIF(mip!$D15:$D141,"ICT",mip!P15:P141))</f>
        <v>0</v>
      </c>
      <c r="H37" s="888">
        <f>(SUMIF(mip!$D15:$D141,"ICT",mip!Q15:Q141))</f>
        <v>0</v>
      </c>
      <c r="I37" s="888">
        <f>(SUMIF(mip!$D15:$D141,"ICT",mip!R15:R141))</f>
        <v>0</v>
      </c>
      <c r="J37" s="888">
        <f>(SUMIF(mip!$D15:$D141,"ICT",mip!S15:S141))</f>
        <v>0</v>
      </c>
      <c r="K37" s="98"/>
      <c r="L37" s="37"/>
    </row>
    <row r="38" spans="2:12" ht="14.45" customHeight="1" x14ac:dyDescent="0.2">
      <c r="B38" s="434"/>
      <c r="C38" s="442"/>
      <c r="D38" s="103" t="s">
        <v>142</v>
      </c>
      <c r="E38" s="92"/>
      <c r="F38" s="914">
        <f>(SUMIF(mip!$D15:$D141,"Leermiddelen PO",mip!O15:O141))</f>
        <v>0</v>
      </c>
      <c r="G38" s="888">
        <f>(SUMIF(mip!$D15:$D141,"Leermiddelen PO",mip!P15:P141))</f>
        <v>0</v>
      </c>
      <c r="H38" s="888">
        <f>(SUMIF(mip!$D15:$D141,"Leermiddelen PO",mip!Q15:Q141))</f>
        <v>0</v>
      </c>
      <c r="I38" s="888">
        <f>(SUMIF(mip!$D15:$D141,"Leermiddelen PO",mip!R15:R141))</f>
        <v>0</v>
      </c>
      <c r="J38" s="888">
        <f>(SUMIF(mip!$D15:$D141,"Leermiddelen PO",mip!S15:S141))</f>
        <v>0</v>
      </c>
      <c r="K38" s="98"/>
      <c r="L38" s="37"/>
    </row>
    <row r="39" spans="2:12" ht="14.45" customHeight="1" x14ac:dyDescent="0.2">
      <c r="B39" s="434"/>
      <c r="C39" s="442"/>
      <c r="D39" s="103" t="s">
        <v>136</v>
      </c>
      <c r="E39" s="92"/>
      <c r="F39" s="914">
        <f>(SUMIF(mip!$D15:$D141,"overige materiële vaste activa",mip!O15:O141))</f>
        <v>0</v>
      </c>
      <c r="G39" s="888">
        <f>(SUMIF(mip!$D15:$D141,"overige materiële vaste activa",mip!P15:P141))</f>
        <v>0</v>
      </c>
      <c r="H39" s="888">
        <f>(SUMIF(mip!$D15:$D141,"overige materiële vaste activa",mip!Q15:Q141))</f>
        <v>0</v>
      </c>
      <c r="I39" s="888">
        <f>(SUMIF(mip!$D15:$D141,"overige materiële vaste activa",mip!R15:R141))</f>
        <v>0</v>
      </c>
      <c r="J39" s="888">
        <f>(SUMIF(mip!$D15:$D141,"overige materiële vaste activa",mip!S15:S141))</f>
        <v>0</v>
      </c>
      <c r="K39" s="98"/>
      <c r="L39" s="37"/>
    </row>
    <row r="40" spans="2:12" ht="14.45" hidden="1" customHeight="1" x14ac:dyDescent="0.2">
      <c r="B40" s="393"/>
      <c r="C40" s="444"/>
      <c r="D40" s="118"/>
      <c r="E40" s="117"/>
      <c r="F40" s="915">
        <f>SUM(F34:F39)</f>
        <v>0</v>
      </c>
      <c r="G40" s="915">
        <f>SUM(G34:G39)</f>
        <v>0</v>
      </c>
      <c r="H40" s="915">
        <f>SUM(H34:H39)</f>
        <v>0</v>
      </c>
      <c r="I40" s="915">
        <f>SUM(I34:I39)</f>
        <v>0</v>
      </c>
      <c r="J40" s="915">
        <f>SUM(J34:J39)</f>
        <v>0</v>
      </c>
      <c r="K40" s="308"/>
      <c r="L40" s="180"/>
    </row>
    <row r="41" spans="2:12" ht="14.45" hidden="1" customHeight="1" x14ac:dyDescent="0.2">
      <c r="B41" s="434"/>
      <c r="C41" s="442"/>
      <c r="D41" s="797" t="s">
        <v>495</v>
      </c>
      <c r="E41" s="92"/>
      <c r="F41" s="92"/>
      <c r="G41" s="92"/>
      <c r="H41" s="92"/>
      <c r="I41" s="92"/>
      <c r="J41" s="92"/>
      <c r="K41" s="98"/>
      <c r="L41" s="37"/>
    </row>
    <row r="42" spans="2:12" ht="14.45" hidden="1" customHeight="1" x14ac:dyDescent="0.2">
      <c r="B42" s="434"/>
      <c r="C42" s="442"/>
      <c r="D42" s="103" t="s">
        <v>134</v>
      </c>
      <c r="E42" s="92"/>
      <c r="F42" s="664">
        <v>0</v>
      </c>
      <c r="G42" s="405">
        <v>0</v>
      </c>
      <c r="H42" s="405">
        <v>0</v>
      </c>
      <c r="I42" s="405">
        <v>0</v>
      </c>
      <c r="J42" s="405">
        <v>0</v>
      </c>
      <c r="K42" s="98"/>
      <c r="L42" s="37"/>
    </row>
    <row r="43" spans="2:12" ht="14.45" hidden="1" customHeight="1" x14ac:dyDescent="0.2">
      <c r="B43" s="434"/>
      <c r="C43" s="442"/>
      <c r="D43" s="103" t="s">
        <v>135</v>
      </c>
      <c r="E43" s="92"/>
      <c r="F43" s="665">
        <v>0</v>
      </c>
      <c r="G43" s="405">
        <v>0</v>
      </c>
      <c r="H43" s="405">
        <v>0</v>
      </c>
      <c r="I43" s="405">
        <v>0</v>
      </c>
      <c r="J43" s="405">
        <v>0</v>
      </c>
      <c r="K43" s="98"/>
      <c r="L43" s="37"/>
    </row>
    <row r="44" spans="2:12" ht="14.45" hidden="1" customHeight="1" x14ac:dyDescent="0.2">
      <c r="B44" s="434"/>
      <c r="C44" s="442"/>
      <c r="D44" s="298" t="s">
        <v>324</v>
      </c>
      <c r="E44" s="92"/>
      <c r="F44" s="665">
        <v>0</v>
      </c>
      <c r="G44" s="405">
        <v>0</v>
      </c>
      <c r="H44" s="405">
        <v>0</v>
      </c>
      <c r="I44" s="405">
        <v>0</v>
      </c>
      <c r="J44" s="405">
        <v>0</v>
      </c>
      <c r="K44" s="98"/>
      <c r="L44" s="37"/>
    </row>
    <row r="45" spans="2:12" ht="14.45" hidden="1" customHeight="1" x14ac:dyDescent="0.2">
      <c r="B45" s="434"/>
      <c r="C45" s="442"/>
      <c r="D45" s="298" t="s">
        <v>325</v>
      </c>
      <c r="E45" s="92"/>
      <c r="F45" s="665">
        <v>0</v>
      </c>
      <c r="G45" s="405">
        <v>0</v>
      </c>
      <c r="H45" s="405">
        <v>0</v>
      </c>
      <c r="I45" s="405">
        <v>0</v>
      </c>
      <c r="J45" s="405">
        <v>0</v>
      </c>
      <c r="K45" s="98"/>
      <c r="L45" s="37"/>
    </row>
    <row r="46" spans="2:12" ht="14.45" hidden="1" customHeight="1" x14ac:dyDescent="0.2">
      <c r="B46" s="434"/>
      <c r="C46" s="442"/>
      <c r="D46" s="103" t="s">
        <v>142</v>
      </c>
      <c r="E46" s="92"/>
      <c r="F46" s="665">
        <v>0</v>
      </c>
      <c r="G46" s="405">
        <v>0</v>
      </c>
      <c r="H46" s="405">
        <v>0</v>
      </c>
      <c r="I46" s="405">
        <v>0</v>
      </c>
      <c r="J46" s="405">
        <v>0</v>
      </c>
      <c r="K46" s="98"/>
      <c r="L46" s="37"/>
    </row>
    <row r="47" spans="2:12" ht="14.45" hidden="1" customHeight="1" x14ac:dyDescent="0.2">
      <c r="B47" s="434"/>
      <c r="C47" s="442"/>
      <c r="D47" s="103" t="s">
        <v>136</v>
      </c>
      <c r="E47" s="92"/>
      <c r="F47" s="665">
        <v>0</v>
      </c>
      <c r="G47" s="405">
        <v>0</v>
      </c>
      <c r="H47" s="405">
        <v>0</v>
      </c>
      <c r="I47" s="405">
        <v>0</v>
      </c>
      <c r="J47" s="405">
        <v>0</v>
      </c>
      <c r="K47" s="98"/>
      <c r="L47" s="37"/>
    </row>
    <row r="48" spans="2:12" ht="14.45" hidden="1" customHeight="1" x14ac:dyDescent="0.2">
      <c r="B48" s="393"/>
      <c r="C48" s="444"/>
      <c r="D48" s="118"/>
      <c r="E48" s="117"/>
      <c r="F48" s="915">
        <f>SUM(F42:F47)</f>
        <v>0</v>
      </c>
      <c r="G48" s="915">
        <f>SUM(G42:G47)</f>
        <v>0</v>
      </c>
      <c r="H48" s="915">
        <f>SUM(H42:H47)</f>
        <v>0</v>
      </c>
      <c r="I48" s="915">
        <f>SUM(I42:I47)</f>
        <v>0</v>
      </c>
      <c r="J48" s="915">
        <f>SUM(J42:J47)</f>
        <v>0</v>
      </c>
      <c r="K48" s="308"/>
      <c r="L48" s="180"/>
    </row>
    <row r="49" spans="2:12" ht="14.45" hidden="1" customHeight="1" x14ac:dyDescent="0.2">
      <c r="B49" s="34"/>
      <c r="C49" s="91"/>
      <c r="D49" s="92"/>
      <c r="E49" s="92"/>
      <c r="F49" s="92"/>
      <c r="G49" s="92"/>
      <c r="H49" s="443"/>
      <c r="I49" s="92"/>
      <c r="J49" s="92"/>
      <c r="K49" s="98"/>
      <c r="L49" s="37"/>
    </row>
    <row r="50" spans="2:12" s="19" customFormat="1" ht="14.45" customHeight="1" x14ac:dyDescent="0.2">
      <c r="B50" s="58"/>
      <c r="C50" s="105"/>
      <c r="D50" s="116" t="s">
        <v>180</v>
      </c>
      <c r="E50" s="116"/>
      <c r="F50" s="894">
        <f>F40+F48</f>
        <v>0</v>
      </c>
      <c r="G50" s="894">
        <f>G40+G48</f>
        <v>0</v>
      </c>
      <c r="H50" s="894">
        <f>H40+H48</f>
        <v>0</v>
      </c>
      <c r="I50" s="894">
        <f>I40+I48</f>
        <v>0</v>
      </c>
      <c r="J50" s="894">
        <f>J40+J48</f>
        <v>0</v>
      </c>
      <c r="K50" s="275"/>
      <c r="L50" s="178"/>
    </row>
    <row r="51" spans="2:12" ht="14.45" customHeight="1" x14ac:dyDescent="0.2">
      <c r="B51" s="34"/>
      <c r="C51" s="91"/>
      <c r="D51" s="92"/>
      <c r="E51" s="92"/>
      <c r="F51" s="92"/>
      <c r="G51" s="92"/>
      <c r="H51" s="443"/>
      <c r="I51" s="92"/>
      <c r="J51" s="92"/>
      <c r="K51" s="98"/>
      <c r="L51" s="37"/>
    </row>
    <row r="52" spans="2:12" ht="14.45" customHeight="1" x14ac:dyDescent="0.2">
      <c r="B52" s="34"/>
      <c r="C52" s="35"/>
      <c r="D52" s="35"/>
      <c r="E52" s="35"/>
      <c r="F52" s="35"/>
      <c r="G52" s="35"/>
      <c r="H52" s="35"/>
      <c r="I52" s="35"/>
      <c r="J52" s="35"/>
      <c r="K52" s="35"/>
      <c r="L52" s="37"/>
    </row>
    <row r="53" spans="2:12" ht="14.45" customHeight="1" x14ac:dyDescent="0.2">
      <c r="B53" s="434"/>
      <c r="C53" s="442"/>
      <c r="D53" s="106"/>
      <c r="E53" s="92"/>
      <c r="F53" s="92"/>
      <c r="G53" s="92"/>
      <c r="H53" s="92"/>
      <c r="I53" s="92"/>
      <c r="J53" s="92"/>
      <c r="K53" s="98"/>
      <c r="L53" s="37"/>
    </row>
    <row r="54" spans="2:12" ht="14.45" customHeight="1" x14ac:dyDescent="0.2">
      <c r="B54" s="434"/>
      <c r="C54" s="442"/>
      <c r="D54" s="797" t="s">
        <v>338</v>
      </c>
      <c r="E54" s="92"/>
      <c r="F54" s="92"/>
      <c r="G54" s="92"/>
      <c r="H54" s="92"/>
      <c r="I54" s="92"/>
      <c r="J54" s="92"/>
      <c r="K54" s="98"/>
      <c r="L54" s="37"/>
    </row>
    <row r="55" spans="2:12" ht="14.45" customHeight="1" x14ac:dyDescent="0.2">
      <c r="B55" s="434"/>
      <c r="C55" s="442"/>
      <c r="D55" s="103" t="s">
        <v>134</v>
      </c>
      <c r="E55" s="92"/>
      <c r="F55" s="888">
        <f t="shared" ref="F55:J60" si="1">F12+F23-F34-F42</f>
        <v>0</v>
      </c>
      <c r="G55" s="888">
        <f t="shared" si="1"/>
        <v>0</v>
      </c>
      <c r="H55" s="888">
        <f t="shared" si="1"/>
        <v>0</v>
      </c>
      <c r="I55" s="888">
        <f t="shared" si="1"/>
        <v>0</v>
      </c>
      <c r="J55" s="888">
        <f t="shared" si="1"/>
        <v>0</v>
      </c>
      <c r="K55" s="98"/>
      <c r="L55" s="37"/>
    </row>
    <row r="56" spans="2:12" ht="14.45" customHeight="1" x14ac:dyDescent="0.2">
      <c r="B56" s="434"/>
      <c r="C56" s="442"/>
      <c r="D56" s="103" t="s">
        <v>135</v>
      </c>
      <c r="E56" s="92"/>
      <c r="F56" s="888">
        <f t="shared" si="1"/>
        <v>0</v>
      </c>
      <c r="G56" s="888">
        <f t="shared" si="1"/>
        <v>0</v>
      </c>
      <c r="H56" s="888">
        <f t="shared" si="1"/>
        <v>0</v>
      </c>
      <c r="I56" s="888">
        <f t="shared" si="1"/>
        <v>0</v>
      </c>
      <c r="J56" s="888">
        <f t="shared" si="1"/>
        <v>0</v>
      </c>
      <c r="K56" s="98"/>
      <c r="L56" s="37"/>
    </row>
    <row r="57" spans="2:12" ht="14.45" customHeight="1" x14ac:dyDescent="0.2">
      <c r="B57" s="434"/>
      <c r="C57" s="442"/>
      <c r="D57" s="298" t="s">
        <v>324</v>
      </c>
      <c r="E57" s="92"/>
      <c r="F57" s="888">
        <f t="shared" si="1"/>
        <v>0</v>
      </c>
      <c r="G57" s="888">
        <f t="shared" si="1"/>
        <v>0</v>
      </c>
      <c r="H57" s="888">
        <f t="shared" si="1"/>
        <v>0</v>
      </c>
      <c r="I57" s="888">
        <f t="shared" si="1"/>
        <v>0</v>
      </c>
      <c r="J57" s="888">
        <f t="shared" si="1"/>
        <v>0</v>
      </c>
      <c r="K57" s="98"/>
      <c r="L57" s="37"/>
    </row>
    <row r="58" spans="2:12" ht="14.45" customHeight="1" x14ac:dyDescent="0.2">
      <c r="B58" s="434"/>
      <c r="C58" s="442"/>
      <c r="D58" s="298" t="s">
        <v>325</v>
      </c>
      <c r="E58" s="92"/>
      <c r="F58" s="888">
        <f t="shared" si="1"/>
        <v>0</v>
      </c>
      <c r="G58" s="888">
        <f t="shared" si="1"/>
        <v>0</v>
      </c>
      <c r="H58" s="888">
        <f t="shared" si="1"/>
        <v>0</v>
      </c>
      <c r="I58" s="888">
        <f t="shared" si="1"/>
        <v>0</v>
      </c>
      <c r="J58" s="888">
        <f t="shared" si="1"/>
        <v>0</v>
      </c>
      <c r="K58" s="98"/>
      <c r="L58" s="37"/>
    </row>
    <row r="59" spans="2:12" ht="14.45" customHeight="1" x14ac:dyDescent="0.2">
      <c r="B59" s="434"/>
      <c r="C59" s="442"/>
      <c r="D59" s="103" t="s">
        <v>142</v>
      </c>
      <c r="E59" s="92"/>
      <c r="F59" s="888">
        <f t="shared" si="1"/>
        <v>0</v>
      </c>
      <c r="G59" s="888">
        <f t="shared" si="1"/>
        <v>0</v>
      </c>
      <c r="H59" s="888">
        <f t="shared" si="1"/>
        <v>0</v>
      </c>
      <c r="I59" s="888">
        <f t="shared" si="1"/>
        <v>0</v>
      </c>
      <c r="J59" s="888">
        <f t="shared" si="1"/>
        <v>0</v>
      </c>
      <c r="K59" s="98"/>
      <c r="L59" s="37"/>
    </row>
    <row r="60" spans="2:12" ht="14.45" customHeight="1" x14ac:dyDescent="0.2">
      <c r="B60" s="434"/>
      <c r="C60" s="442"/>
      <c r="D60" s="103" t="s">
        <v>136</v>
      </c>
      <c r="E60" s="92"/>
      <c r="F60" s="888">
        <f t="shared" si="1"/>
        <v>0</v>
      </c>
      <c r="G60" s="888">
        <f t="shared" si="1"/>
        <v>0</v>
      </c>
      <c r="H60" s="888">
        <f t="shared" si="1"/>
        <v>0</v>
      </c>
      <c r="I60" s="888">
        <f t="shared" si="1"/>
        <v>0</v>
      </c>
      <c r="J60" s="888">
        <f t="shared" si="1"/>
        <v>0</v>
      </c>
      <c r="K60" s="98"/>
      <c r="L60" s="37"/>
    </row>
    <row r="61" spans="2:12" ht="14.45" customHeight="1" x14ac:dyDescent="0.2">
      <c r="B61" s="435"/>
      <c r="C61" s="445"/>
      <c r="D61" s="106"/>
      <c r="E61" s="116"/>
      <c r="F61" s="894">
        <f>SUM(F55:F60)</f>
        <v>0</v>
      </c>
      <c r="G61" s="894">
        <f>SUM(G55:G60)</f>
        <v>0</v>
      </c>
      <c r="H61" s="894">
        <f>SUM(H55:H60)</f>
        <v>0</v>
      </c>
      <c r="I61" s="894">
        <f>SUM(I55:I60)</f>
        <v>0</v>
      </c>
      <c r="J61" s="894">
        <f>SUM(J55:J60)</f>
        <v>0</v>
      </c>
      <c r="K61" s="275"/>
      <c r="L61" s="178"/>
    </row>
    <row r="62" spans="2:12" ht="14.45" customHeight="1" x14ac:dyDescent="0.2">
      <c r="B62" s="34"/>
      <c r="C62" s="124"/>
      <c r="D62" s="125"/>
      <c r="E62" s="125"/>
      <c r="F62" s="125"/>
      <c r="G62" s="125"/>
      <c r="H62" s="125"/>
      <c r="I62" s="125"/>
      <c r="J62" s="125"/>
      <c r="K62" s="126"/>
      <c r="L62" s="37"/>
    </row>
    <row r="63" spans="2:12" ht="14.45" customHeight="1" x14ac:dyDescent="0.2">
      <c r="B63" s="34"/>
      <c r="C63" s="35"/>
      <c r="D63" s="35"/>
      <c r="E63" s="35"/>
      <c r="F63" s="35"/>
      <c r="G63" s="35"/>
      <c r="H63" s="35"/>
      <c r="I63" s="35"/>
      <c r="J63" s="35"/>
      <c r="K63" s="35"/>
      <c r="L63" s="37"/>
    </row>
    <row r="64" spans="2:12" ht="14.45" customHeight="1" x14ac:dyDescent="0.25">
      <c r="B64" s="68"/>
      <c r="C64" s="69"/>
      <c r="D64" s="69"/>
      <c r="E64" s="69"/>
      <c r="F64" s="69"/>
      <c r="G64" s="69"/>
      <c r="H64" s="69"/>
      <c r="I64" s="69"/>
      <c r="J64" s="69"/>
      <c r="K64" s="72" t="s">
        <v>388</v>
      </c>
      <c r="L64" s="85"/>
    </row>
  </sheetData>
  <sheetProtection algorithmName="SHA-512" hashValue="ZmD8dse80mHNMa9X2gpwtO/r2iwrGjDT9sUHaFZR6Xf9XR6kg/AqsqTh7RWxmo54PrSrhUT/7UU2Toc2+pBkcg==" saltValue="u4xoHDu00pEwd91Trr6hgw=="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25"/>
  <sheetViews>
    <sheetView zoomScale="85" zoomScaleNormal="85" workbookViewId="0">
      <selection activeCell="B2" sqref="B2"/>
    </sheetView>
  </sheetViews>
  <sheetFormatPr defaultColWidth="9.140625" defaultRowHeight="12.75" x14ac:dyDescent="0.2"/>
  <cols>
    <col min="1" max="1" width="3.7109375" style="381" customWidth="1"/>
    <col min="2" max="3" width="2.7109375" style="381" customWidth="1"/>
    <col min="4" max="4" width="36.28515625" style="381" customWidth="1"/>
    <col min="5" max="5" width="0.85546875" style="381" customWidth="1"/>
    <col min="6" max="6" width="35.85546875" style="381" customWidth="1"/>
    <col min="7" max="7" width="0.85546875" style="381" customWidth="1"/>
    <col min="8" max="8" width="11" style="381" customWidth="1"/>
    <col min="9" max="9" width="0.85546875" style="381" customWidth="1"/>
    <col min="10" max="10" width="25.7109375" style="381" customWidth="1"/>
    <col min="11" max="12" width="8.7109375" style="381" customWidth="1"/>
    <col min="13" max="13" width="10.7109375" style="688" customWidth="1"/>
    <col min="14" max="14" width="0.85546875" style="381" customWidth="1"/>
    <col min="15" max="15" width="25.7109375" style="381" customWidth="1"/>
    <col min="16" max="16" width="10.7109375" style="689" customWidth="1"/>
    <col min="17" max="17" width="0.85546875" style="381" customWidth="1"/>
    <col min="18" max="18" width="25.7109375" style="381" customWidth="1"/>
    <col min="19" max="19" width="10.7109375" style="381" customWidth="1"/>
    <col min="20" max="20" width="1.140625" style="381" customWidth="1"/>
    <col min="21" max="21" width="10.7109375" style="381" customWidth="1"/>
    <col min="22" max="23" width="2.7109375" style="381" customWidth="1"/>
    <col min="24" max="24" width="15.42578125" style="381" customWidth="1"/>
    <col min="25" max="26" width="5.7109375" style="381" customWidth="1"/>
    <col min="27" max="16384" width="9.140625" style="381"/>
  </cols>
  <sheetData>
    <row r="2" spans="2:24" x14ac:dyDescent="0.2">
      <c r="B2" s="383"/>
      <c r="C2" s="384"/>
      <c r="D2" s="384"/>
      <c r="E2" s="384"/>
      <c r="F2" s="384"/>
      <c r="G2" s="384"/>
      <c r="H2" s="384"/>
      <c r="I2" s="384"/>
      <c r="J2" s="384"/>
      <c r="K2" s="384"/>
      <c r="L2" s="384"/>
      <c r="M2" s="690"/>
      <c r="N2" s="384"/>
      <c r="O2" s="384"/>
      <c r="P2" s="691"/>
      <c r="Q2" s="384"/>
      <c r="R2" s="384"/>
      <c r="S2" s="384"/>
      <c r="T2" s="384"/>
      <c r="U2" s="384"/>
      <c r="V2" s="384"/>
      <c r="W2" s="386"/>
    </row>
    <row r="3" spans="2:24" x14ac:dyDescent="0.2">
      <c r="B3" s="194"/>
      <c r="C3" s="195"/>
      <c r="D3" s="195"/>
      <c r="E3" s="195"/>
      <c r="F3" s="195"/>
      <c r="G3" s="195"/>
      <c r="H3" s="195"/>
      <c r="I3" s="195"/>
      <c r="J3" s="195"/>
      <c r="K3" s="195"/>
      <c r="L3" s="195"/>
      <c r="M3" s="692"/>
      <c r="N3" s="195"/>
      <c r="O3" s="195"/>
      <c r="P3" s="693"/>
      <c r="Q3" s="195"/>
      <c r="R3" s="195"/>
      <c r="S3" s="195"/>
      <c r="T3" s="195"/>
      <c r="U3" s="195"/>
      <c r="V3" s="195"/>
      <c r="W3" s="196"/>
    </row>
    <row r="4" spans="2:24" s="165" customFormat="1" ht="18.75" x14ac:dyDescent="0.3">
      <c r="B4" s="365"/>
      <c r="C4" s="721" t="s">
        <v>527</v>
      </c>
      <c r="D4" s="127"/>
      <c r="E4" s="153"/>
      <c r="F4" s="671"/>
      <c r="G4" s="153"/>
      <c r="H4" s="153"/>
      <c r="I4" s="153"/>
      <c r="J4" s="153"/>
      <c r="K4" s="153"/>
      <c r="L4" s="153"/>
      <c r="M4" s="694"/>
      <c r="N4" s="153"/>
      <c r="O4" s="153"/>
      <c r="P4" s="695"/>
      <c r="Q4" s="153"/>
      <c r="R4" s="153"/>
      <c r="S4" s="153"/>
      <c r="T4" s="153"/>
      <c r="U4" s="153"/>
      <c r="V4" s="153"/>
      <c r="W4" s="212"/>
    </row>
    <row r="5" spans="2:24" ht="18.75" x14ac:dyDescent="0.3">
      <c r="B5" s="389"/>
      <c r="C5" s="173" t="str">
        <f>geg!G10</f>
        <v>Basisschool</v>
      </c>
      <c r="D5" s="392"/>
      <c r="E5" s="195"/>
      <c r="F5" s="672"/>
      <c r="G5" s="195"/>
      <c r="H5" s="195"/>
      <c r="I5" s="195"/>
      <c r="J5" s="195"/>
      <c r="K5" s="195"/>
      <c r="L5" s="195"/>
      <c r="M5" s="692"/>
      <c r="N5" s="195"/>
      <c r="O5" s="195"/>
      <c r="P5" s="693"/>
      <c r="Q5" s="195"/>
      <c r="R5" s="195"/>
      <c r="S5" s="195"/>
      <c r="T5" s="195"/>
      <c r="U5" s="195"/>
      <c r="V5" s="195"/>
      <c r="W5" s="196"/>
    </row>
    <row r="6" spans="2:24" x14ac:dyDescent="0.2">
      <c r="B6" s="194"/>
      <c r="C6" s="195"/>
      <c r="D6" s="195"/>
      <c r="E6" s="195"/>
      <c r="F6" s="195"/>
      <c r="G6" s="195"/>
      <c r="H6" s="195"/>
      <c r="I6" s="195"/>
      <c r="J6" s="195"/>
      <c r="K6" s="195"/>
      <c r="L6" s="195"/>
      <c r="M6" s="692"/>
      <c r="N6" s="195"/>
      <c r="O6" s="195"/>
      <c r="P6" s="693"/>
      <c r="Q6" s="195"/>
      <c r="R6" s="195"/>
      <c r="S6" s="195"/>
      <c r="T6" s="195"/>
      <c r="U6" s="195"/>
      <c r="V6" s="195"/>
      <c r="W6" s="196"/>
    </row>
    <row r="7" spans="2:24" x14ac:dyDescent="0.2">
      <c r="B7" s="194"/>
      <c r="C7" s="195"/>
      <c r="D7" s="195"/>
      <c r="E7" s="195"/>
      <c r="F7" s="195"/>
      <c r="G7" s="195"/>
      <c r="H7" s="195"/>
      <c r="I7" s="195"/>
      <c r="J7" s="195"/>
      <c r="K7" s="195"/>
      <c r="L7" s="195"/>
      <c r="M7" s="692"/>
      <c r="N7" s="195"/>
      <c r="O7" s="195"/>
      <c r="P7" s="693"/>
      <c r="Q7" s="195"/>
      <c r="R7" s="195"/>
      <c r="S7" s="195"/>
      <c r="T7" s="195"/>
      <c r="U7" s="195"/>
      <c r="V7" s="195"/>
      <c r="W7" s="196"/>
    </row>
    <row r="8" spans="2:24" x14ac:dyDescent="0.2">
      <c r="B8" s="194"/>
      <c r="C8" s="195"/>
      <c r="D8" s="195"/>
      <c r="E8" s="449"/>
      <c r="F8" s="195"/>
      <c r="G8" s="449"/>
      <c r="H8" s="449"/>
      <c r="I8" s="449"/>
      <c r="J8" s="195"/>
      <c r="K8" s="195"/>
      <c r="L8" s="195"/>
      <c r="M8" s="692"/>
      <c r="N8" s="449"/>
      <c r="O8" s="195"/>
      <c r="P8" s="693"/>
      <c r="Q8" s="449"/>
      <c r="R8" s="195"/>
      <c r="S8" s="195"/>
      <c r="T8" s="449"/>
      <c r="U8" s="195"/>
      <c r="V8" s="449"/>
      <c r="W8" s="450"/>
      <c r="X8" s="551"/>
    </row>
    <row r="9" spans="2:24" x14ac:dyDescent="0.2">
      <c r="B9" s="194"/>
      <c r="C9" s="195"/>
      <c r="D9" s="195"/>
      <c r="E9" s="449"/>
      <c r="F9" s="195"/>
      <c r="G9" s="449"/>
      <c r="H9" s="449"/>
      <c r="I9" s="449"/>
      <c r="J9" s="195"/>
      <c r="K9" s="195"/>
      <c r="L9" s="195"/>
      <c r="M9" s="692"/>
      <c r="N9" s="449"/>
      <c r="O9" s="195"/>
      <c r="P9" s="693"/>
      <c r="Q9" s="449"/>
      <c r="R9" s="195"/>
      <c r="S9" s="195"/>
      <c r="T9" s="449"/>
      <c r="U9" s="195"/>
      <c r="V9" s="449"/>
      <c r="W9" s="450"/>
      <c r="X9" s="551"/>
    </row>
    <row r="10" spans="2:24" x14ac:dyDescent="0.2">
      <c r="B10" s="194"/>
      <c r="C10" s="202"/>
      <c r="D10" s="397"/>
      <c r="E10" s="543"/>
      <c r="F10" s="397"/>
      <c r="G10" s="543"/>
      <c r="H10" s="543"/>
      <c r="I10" s="543"/>
      <c r="J10" s="397"/>
      <c r="K10" s="397"/>
      <c r="L10" s="397"/>
      <c r="M10" s="696"/>
      <c r="N10" s="543"/>
      <c r="O10" s="397"/>
      <c r="P10" s="697"/>
      <c r="Q10" s="543"/>
      <c r="R10" s="399"/>
      <c r="S10" s="397"/>
      <c r="T10" s="543"/>
      <c r="U10" s="399"/>
      <c r="V10" s="543"/>
      <c r="W10" s="450"/>
      <c r="X10" s="551"/>
    </row>
    <row r="11" spans="2:24" x14ac:dyDescent="0.2">
      <c r="B11" s="194"/>
      <c r="C11" s="202"/>
      <c r="D11" s="739" t="s">
        <v>454</v>
      </c>
      <c r="E11" s="973"/>
      <c r="F11" s="749"/>
      <c r="G11" s="973"/>
      <c r="H11" s="974"/>
      <c r="I11" s="974"/>
      <c r="J11" s="975" t="s">
        <v>477</v>
      </c>
      <c r="K11" s="884"/>
      <c r="L11" s="847"/>
      <c r="M11" s="976"/>
      <c r="N11" s="977"/>
      <c r="O11" s="978" t="s">
        <v>478</v>
      </c>
      <c r="P11" s="979"/>
      <c r="Q11" s="977"/>
      <c r="R11" s="980" t="s">
        <v>459</v>
      </c>
      <c r="S11" s="749"/>
      <c r="T11" s="977"/>
      <c r="U11" s="981" t="s">
        <v>479</v>
      </c>
      <c r="V11" s="543"/>
      <c r="W11" s="450"/>
      <c r="X11" s="551"/>
    </row>
    <row r="12" spans="2:24" x14ac:dyDescent="0.2">
      <c r="B12" s="194"/>
      <c r="C12" s="202"/>
      <c r="D12" s="982" t="s">
        <v>455</v>
      </c>
      <c r="E12" s="973"/>
      <c r="F12" s="887" t="s">
        <v>456</v>
      </c>
      <c r="G12" s="973"/>
      <c r="H12" s="983" t="s">
        <v>457</v>
      </c>
      <c r="I12" s="974"/>
      <c r="J12" s="887" t="s">
        <v>458</v>
      </c>
      <c r="K12" s="984" t="s">
        <v>213</v>
      </c>
      <c r="L12" s="983" t="s">
        <v>480</v>
      </c>
      <c r="M12" s="985" t="s">
        <v>481</v>
      </c>
      <c r="N12" s="986"/>
      <c r="O12" s="887" t="s">
        <v>458</v>
      </c>
      <c r="P12" s="987" t="s">
        <v>481</v>
      </c>
      <c r="Q12" s="986"/>
      <c r="R12" s="887" t="s">
        <v>458</v>
      </c>
      <c r="S12" s="983" t="s">
        <v>481</v>
      </c>
      <c r="T12" s="986"/>
      <c r="U12" s="983"/>
      <c r="V12" s="543"/>
      <c r="W12" s="450"/>
      <c r="X12" s="551"/>
    </row>
    <row r="13" spans="2:24" x14ac:dyDescent="0.2">
      <c r="B13" s="194"/>
      <c r="C13" s="203"/>
      <c r="D13" s="673"/>
      <c r="E13" s="204"/>
      <c r="F13" s="673"/>
      <c r="G13" s="204"/>
      <c r="H13" s="698"/>
      <c r="I13" s="204"/>
      <c r="J13" s="673"/>
      <c r="K13" s="699" t="s">
        <v>203</v>
      </c>
      <c r="L13" s="700">
        <v>1</v>
      </c>
      <c r="M13" s="988">
        <f>(IF(L13="",0,(VLOOKUP(K13,FPE_LA,2,FALSE))*L13))*geg!$G$42</f>
        <v>67100</v>
      </c>
      <c r="N13" s="204"/>
      <c r="O13" s="673"/>
      <c r="P13" s="683">
        <v>0</v>
      </c>
      <c r="Q13" s="204"/>
      <c r="R13" s="674"/>
      <c r="S13" s="683">
        <v>0</v>
      </c>
      <c r="T13" s="204"/>
      <c r="U13" s="989">
        <f>M13+P13+S13</f>
        <v>67100</v>
      </c>
      <c r="V13" s="204"/>
      <c r="W13" s="196"/>
    </row>
    <row r="14" spans="2:24" x14ac:dyDescent="0.2">
      <c r="B14" s="194"/>
      <c r="C14" s="408"/>
      <c r="D14" s="673"/>
      <c r="E14" s="411"/>
      <c r="F14" s="673"/>
      <c r="G14" s="411"/>
      <c r="H14" s="701"/>
      <c r="I14" s="411"/>
      <c r="J14" s="673"/>
      <c r="K14" s="699">
        <v>16</v>
      </c>
      <c r="L14" s="700">
        <v>1</v>
      </c>
      <c r="M14" s="988">
        <f>(IF(L14="",0,(VLOOKUP(K14,FPE_LA,2,FALSE))*L14))*geg!$G$42</f>
        <v>126880</v>
      </c>
      <c r="N14" s="411"/>
      <c r="O14" s="673"/>
      <c r="P14" s="683">
        <v>0</v>
      </c>
      <c r="Q14" s="411"/>
      <c r="R14" s="675"/>
      <c r="S14" s="683">
        <v>0</v>
      </c>
      <c r="T14" s="411"/>
      <c r="U14" s="989">
        <f t="shared" ref="U14:U19" si="0">M14+P14+S14</f>
        <v>126880</v>
      </c>
      <c r="V14" s="411"/>
      <c r="W14" s="196"/>
    </row>
    <row r="15" spans="2:24" ht="12" customHeight="1" x14ac:dyDescent="0.2">
      <c r="B15" s="194"/>
      <c r="C15" s="408"/>
      <c r="D15" s="673"/>
      <c r="E15" s="411"/>
      <c r="F15" s="673"/>
      <c r="G15" s="411"/>
      <c r="H15" s="701"/>
      <c r="I15" s="411"/>
      <c r="J15" s="673"/>
      <c r="K15" s="699"/>
      <c r="L15" s="700"/>
      <c r="M15" s="988">
        <f>(IF(L15="",0,(VLOOKUP(K15,FPE_LA,2,FALSE))*L15))*geg!$G$42</f>
        <v>0</v>
      </c>
      <c r="N15" s="411"/>
      <c r="O15" s="673"/>
      <c r="P15" s="683">
        <v>0</v>
      </c>
      <c r="Q15" s="411"/>
      <c r="R15" s="675"/>
      <c r="S15" s="683">
        <v>0</v>
      </c>
      <c r="T15" s="411"/>
      <c r="U15" s="989">
        <f t="shared" si="0"/>
        <v>0</v>
      </c>
      <c r="V15" s="411"/>
      <c r="W15" s="196"/>
    </row>
    <row r="16" spans="2:24" x14ac:dyDescent="0.2">
      <c r="B16" s="194"/>
      <c r="C16" s="408"/>
      <c r="D16" s="673"/>
      <c r="E16" s="411"/>
      <c r="F16" s="673"/>
      <c r="G16" s="411"/>
      <c r="H16" s="701"/>
      <c r="I16" s="411"/>
      <c r="J16" s="673"/>
      <c r="K16" s="699"/>
      <c r="L16" s="700"/>
      <c r="M16" s="988">
        <f>(IF(L16="",0,(VLOOKUP(K16,FPE_LA,2,FALSE))*L16))*geg!$G$42</f>
        <v>0</v>
      </c>
      <c r="N16" s="411"/>
      <c r="O16" s="673"/>
      <c r="P16" s="683">
        <v>0</v>
      </c>
      <c r="Q16" s="411"/>
      <c r="R16" s="675"/>
      <c r="S16" s="683">
        <v>0</v>
      </c>
      <c r="T16" s="411"/>
      <c r="U16" s="989">
        <f t="shared" si="0"/>
        <v>0</v>
      </c>
      <c r="V16" s="411"/>
      <c r="W16" s="196"/>
    </row>
    <row r="17" spans="2:24" x14ac:dyDescent="0.2">
      <c r="B17" s="194"/>
      <c r="C17" s="408"/>
      <c r="D17" s="673"/>
      <c r="E17" s="411"/>
      <c r="F17" s="673"/>
      <c r="G17" s="411"/>
      <c r="H17" s="701"/>
      <c r="I17" s="411"/>
      <c r="J17" s="673"/>
      <c r="K17" s="699"/>
      <c r="L17" s="700"/>
      <c r="M17" s="988">
        <f>(IF(L17="",0,(VLOOKUP(K17,FPE_LA,2,FALSE))*L17))*geg!$G$42</f>
        <v>0</v>
      </c>
      <c r="N17" s="411"/>
      <c r="O17" s="673"/>
      <c r="P17" s="683">
        <v>0</v>
      </c>
      <c r="Q17" s="411"/>
      <c r="R17" s="675"/>
      <c r="S17" s="683">
        <v>0</v>
      </c>
      <c r="T17" s="411"/>
      <c r="U17" s="989">
        <f t="shared" si="0"/>
        <v>0</v>
      </c>
      <c r="V17" s="411"/>
      <c r="W17" s="196"/>
    </row>
    <row r="18" spans="2:24" x14ac:dyDescent="0.2">
      <c r="B18" s="194"/>
      <c r="C18" s="408"/>
      <c r="D18" s="673"/>
      <c r="E18" s="411"/>
      <c r="F18" s="673"/>
      <c r="G18" s="411"/>
      <c r="H18" s="701"/>
      <c r="I18" s="411"/>
      <c r="J18" s="673"/>
      <c r="K18" s="699"/>
      <c r="L18" s="700"/>
      <c r="M18" s="988">
        <f>(IF(L18="",0,(VLOOKUP(K18,FPE_LA,2,FALSE))*L18))*geg!$G$42</f>
        <v>0</v>
      </c>
      <c r="N18" s="411"/>
      <c r="O18" s="673"/>
      <c r="P18" s="683">
        <v>0</v>
      </c>
      <c r="Q18" s="411"/>
      <c r="R18" s="675"/>
      <c r="S18" s="683">
        <v>0</v>
      </c>
      <c r="T18" s="411"/>
      <c r="U18" s="989">
        <f t="shared" si="0"/>
        <v>0</v>
      </c>
      <c r="V18" s="411"/>
      <c r="W18" s="196"/>
    </row>
    <row r="19" spans="2:24" x14ac:dyDescent="0.2">
      <c r="B19" s="194"/>
      <c r="C19" s="702"/>
      <c r="D19" s="676"/>
      <c r="E19" s="702"/>
      <c r="F19" s="676"/>
      <c r="G19" s="702"/>
      <c r="H19" s="702"/>
      <c r="I19" s="702"/>
      <c r="J19" s="676"/>
      <c r="K19" s="676"/>
      <c r="L19" s="676"/>
      <c r="M19" s="990">
        <f>SUM(M13:M18)</f>
        <v>193980</v>
      </c>
      <c r="N19" s="702"/>
      <c r="O19" s="676"/>
      <c r="P19" s="991">
        <f>SUM(P13:P18)</f>
        <v>0</v>
      </c>
      <c r="Q19" s="702"/>
      <c r="R19" s="676"/>
      <c r="S19" s="991">
        <f>SUM(S13:S18)</f>
        <v>0</v>
      </c>
      <c r="T19" s="702"/>
      <c r="U19" s="992">
        <f t="shared" si="0"/>
        <v>193980</v>
      </c>
      <c r="V19" s="702"/>
      <c r="W19" s="196"/>
    </row>
    <row r="20" spans="2:24" x14ac:dyDescent="0.2">
      <c r="B20" s="194"/>
      <c r="E20" s="402"/>
      <c r="F20" s="402"/>
      <c r="G20" s="402"/>
      <c r="H20" s="402"/>
      <c r="I20" s="402"/>
      <c r="J20" s="402"/>
      <c r="K20" s="402"/>
      <c r="L20" s="402"/>
      <c r="M20" s="703"/>
      <c r="N20" s="402"/>
      <c r="O20" s="402"/>
      <c r="P20" s="704"/>
      <c r="Q20" s="402"/>
      <c r="R20" s="402"/>
      <c r="S20" s="402"/>
      <c r="T20" s="402"/>
      <c r="U20" s="402"/>
      <c r="V20" s="402"/>
      <c r="W20" s="196"/>
    </row>
    <row r="21" spans="2:24" x14ac:dyDescent="0.2">
      <c r="B21" s="194"/>
      <c r="C21" s="195"/>
      <c r="D21" s="195"/>
      <c r="E21" s="672"/>
      <c r="F21" s="672"/>
      <c r="G21" s="672"/>
      <c r="H21" s="672"/>
      <c r="I21" s="672"/>
      <c r="J21" s="672"/>
      <c r="K21" s="672"/>
      <c r="L21" s="672"/>
      <c r="M21" s="705"/>
      <c r="N21" s="672"/>
      <c r="O21" s="672"/>
      <c r="P21" s="706"/>
      <c r="Q21" s="672"/>
      <c r="R21" s="672"/>
      <c r="S21" s="672"/>
      <c r="T21" s="672"/>
      <c r="U21" s="672"/>
      <c r="V21" s="672"/>
      <c r="W21" s="196"/>
    </row>
    <row r="22" spans="2:24" x14ac:dyDescent="0.2">
      <c r="B22" s="194"/>
      <c r="C22" s="202"/>
      <c r="D22" s="397"/>
      <c r="E22" s="543"/>
      <c r="F22" s="397"/>
      <c r="G22" s="543"/>
      <c r="H22" s="543"/>
      <c r="I22" s="543"/>
      <c r="J22" s="397"/>
      <c r="K22" s="397"/>
      <c r="L22" s="397"/>
      <c r="M22" s="696"/>
      <c r="N22" s="543"/>
      <c r="O22" s="397"/>
      <c r="P22" s="697"/>
      <c r="Q22" s="543"/>
      <c r="R22" s="399"/>
      <c r="S22" s="397"/>
      <c r="T22" s="543"/>
      <c r="U22" s="399"/>
      <c r="V22" s="543"/>
      <c r="W22" s="196"/>
    </row>
    <row r="23" spans="2:24" x14ac:dyDescent="0.2">
      <c r="B23" s="194"/>
      <c r="C23" s="202"/>
      <c r="D23" s="739" t="s">
        <v>460</v>
      </c>
      <c r="E23" s="973"/>
      <c r="F23" s="749"/>
      <c r="G23" s="973"/>
      <c r="H23" s="974"/>
      <c r="I23" s="974"/>
      <c r="J23" s="975" t="s">
        <v>477</v>
      </c>
      <c r="K23" s="884"/>
      <c r="L23" s="847"/>
      <c r="M23" s="976"/>
      <c r="N23" s="977"/>
      <c r="O23" s="978" t="s">
        <v>478</v>
      </c>
      <c r="P23" s="979"/>
      <c r="Q23" s="977"/>
      <c r="R23" s="980" t="s">
        <v>459</v>
      </c>
      <c r="S23" s="749"/>
      <c r="T23" s="977"/>
      <c r="U23" s="981" t="s">
        <v>479</v>
      </c>
      <c r="V23" s="543"/>
      <c r="W23" s="196"/>
    </row>
    <row r="24" spans="2:24" x14ac:dyDescent="0.2">
      <c r="B24" s="194"/>
      <c r="C24" s="202"/>
      <c r="D24" s="982" t="s">
        <v>455</v>
      </c>
      <c r="E24" s="973"/>
      <c r="F24" s="887" t="s">
        <v>456</v>
      </c>
      <c r="G24" s="973"/>
      <c r="H24" s="983" t="s">
        <v>457</v>
      </c>
      <c r="I24" s="974"/>
      <c r="J24" s="887" t="s">
        <v>458</v>
      </c>
      <c r="K24" s="984" t="s">
        <v>213</v>
      </c>
      <c r="L24" s="983" t="s">
        <v>480</v>
      </c>
      <c r="M24" s="985" t="s">
        <v>479</v>
      </c>
      <c r="N24" s="986"/>
      <c r="O24" s="887" t="s">
        <v>458</v>
      </c>
      <c r="P24" s="987" t="s">
        <v>479</v>
      </c>
      <c r="Q24" s="986"/>
      <c r="R24" s="887" t="s">
        <v>458</v>
      </c>
      <c r="S24" s="983" t="s">
        <v>479</v>
      </c>
      <c r="T24" s="986"/>
      <c r="U24" s="983"/>
      <c r="V24" s="543"/>
      <c r="W24" s="450"/>
      <c r="X24" s="551"/>
    </row>
    <row r="25" spans="2:24" x14ac:dyDescent="0.2">
      <c r="B25" s="194"/>
      <c r="C25" s="203"/>
      <c r="D25" s="673"/>
      <c r="E25" s="204"/>
      <c r="F25" s="673"/>
      <c r="G25" s="204"/>
      <c r="H25" s="698"/>
      <c r="I25" s="204"/>
      <c r="J25" s="673"/>
      <c r="K25" s="699"/>
      <c r="L25" s="700"/>
      <c r="M25" s="988">
        <f>(IF(L25="",0,(VLOOKUP(K25,FPE_LA,2,FALSE))*L25))*geg!$G$42</f>
        <v>0</v>
      </c>
      <c r="N25" s="204"/>
      <c r="O25" s="673"/>
      <c r="P25" s="683">
        <v>0</v>
      </c>
      <c r="Q25" s="204"/>
      <c r="R25" s="674"/>
      <c r="S25" s="683">
        <v>1</v>
      </c>
      <c r="T25" s="204"/>
      <c r="U25" s="989">
        <f t="shared" ref="U25:U31" si="1">M25+P25+S25</f>
        <v>1</v>
      </c>
      <c r="V25" s="204"/>
      <c r="W25" s="196"/>
    </row>
    <row r="26" spans="2:24" x14ac:dyDescent="0.2">
      <c r="B26" s="194"/>
      <c r="C26" s="408"/>
      <c r="D26" s="673"/>
      <c r="E26" s="411"/>
      <c r="F26" s="673"/>
      <c r="G26" s="411"/>
      <c r="H26" s="701"/>
      <c r="I26" s="411"/>
      <c r="J26" s="673"/>
      <c r="K26" s="699"/>
      <c r="L26" s="700"/>
      <c r="M26" s="988">
        <f>(IF(L26="",0,(VLOOKUP(K26,FPE_LA,2,FALSE))*L26))*geg!$G$42</f>
        <v>0</v>
      </c>
      <c r="N26" s="411"/>
      <c r="O26" s="673"/>
      <c r="P26" s="683">
        <v>0</v>
      </c>
      <c r="Q26" s="411"/>
      <c r="R26" s="675"/>
      <c r="S26" s="683">
        <v>0</v>
      </c>
      <c r="T26" s="411"/>
      <c r="U26" s="989">
        <f t="shared" si="1"/>
        <v>0</v>
      </c>
      <c r="V26" s="411"/>
      <c r="W26" s="196"/>
    </row>
    <row r="27" spans="2:24" x14ac:dyDescent="0.2">
      <c r="B27" s="194"/>
      <c r="C27" s="408"/>
      <c r="D27" s="673"/>
      <c r="E27" s="411"/>
      <c r="F27" s="673"/>
      <c r="G27" s="411"/>
      <c r="H27" s="701"/>
      <c r="I27" s="411"/>
      <c r="J27" s="673"/>
      <c r="K27" s="699"/>
      <c r="L27" s="700"/>
      <c r="M27" s="988">
        <f>(IF(L27="",0,(VLOOKUP(K27,FPE_LA,2,FALSE))*L27))*geg!$G$42</f>
        <v>0</v>
      </c>
      <c r="N27" s="411"/>
      <c r="O27" s="673"/>
      <c r="P27" s="683">
        <v>0</v>
      </c>
      <c r="Q27" s="411"/>
      <c r="R27" s="675"/>
      <c r="S27" s="683">
        <v>0</v>
      </c>
      <c r="T27" s="411"/>
      <c r="U27" s="989">
        <f t="shared" si="1"/>
        <v>0</v>
      </c>
      <c r="V27" s="411"/>
      <c r="W27" s="196"/>
    </row>
    <row r="28" spans="2:24" x14ac:dyDescent="0.2">
      <c r="B28" s="194"/>
      <c r="C28" s="408"/>
      <c r="D28" s="673"/>
      <c r="E28" s="411"/>
      <c r="F28" s="673"/>
      <c r="G28" s="411"/>
      <c r="H28" s="701"/>
      <c r="I28" s="411"/>
      <c r="J28" s="673"/>
      <c r="K28" s="699"/>
      <c r="L28" s="700"/>
      <c r="M28" s="988">
        <f>(IF(L28="",0,(VLOOKUP(K28,FPE_LA,2,FALSE))*L28))*geg!$G$42</f>
        <v>0</v>
      </c>
      <c r="N28" s="411"/>
      <c r="O28" s="673"/>
      <c r="P28" s="683">
        <v>0</v>
      </c>
      <c r="Q28" s="411"/>
      <c r="R28" s="675"/>
      <c r="S28" s="683">
        <v>0</v>
      </c>
      <c r="T28" s="411"/>
      <c r="U28" s="989">
        <f t="shared" si="1"/>
        <v>0</v>
      </c>
      <c r="V28" s="411"/>
      <c r="W28" s="196"/>
    </row>
    <row r="29" spans="2:24" x14ac:dyDescent="0.2">
      <c r="B29" s="194"/>
      <c r="C29" s="408"/>
      <c r="D29" s="673"/>
      <c r="E29" s="411"/>
      <c r="F29" s="673"/>
      <c r="G29" s="411"/>
      <c r="H29" s="701"/>
      <c r="I29" s="411"/>
      <c r="J29" s="673"/>
      <c r="K29" s="699"/>
      <c r="L29" s="700"/>
      <c r="M29" s="988">
        <f>(IF(L29="",0,(VLOOKUP(K29,FPE_LA,2,FALSE))*L29))*geg!$G$42</f>
        <v>0</v>
      </c>
      <c r="N29" s="411"/>
      <c r="O29" s="673"/>
      <c r="P29" s="683">
        <v>0</v>
      </c>
      <c r="Q29" s="411"/>
      <c r="R29" s="675"/>
      <c r="S29" s="683">
        <v>0</v>
      </c>
      <c r="T29" s="411"/>
      <c r="U29" s="989">
        <f t="shared" si="1"/>
        <v>0</v>
      </c>
      <c r="V29" s="411"/>
      <c r="W29" s="196"/>
    </row>
    <row r="30" spans="2:24" x14ac:dyDescent="0.2">
      <c r="B30" s="194"/>
      <c r="C30" s="408"/>
      <c r="D30" s="673"/>
      <c r="E30" s="411"/>
      <c r="F30" s="673"/>
      <c r="G30" s="411"/>
      <c r="H30" s="701"/>
      <c r="I30" s="411"/>
      <c r="J30" s="673"/>
      <c r="K30" s="699"/>
      <c r="L30" s="700"/>
      <c r="M30" s="988">
        <f>(IF(L30="",0,(VLOOKUP(K30,FPE_LA,2,FALSE))*L30))*geg!$G$42</f>
        <v>0</v>
      </c>
      <c r="N30" s="411"/>
      <c r="O30" s="673"/>
      <c r="P30" s="683">
        <v>0</v>
      </c>
      <c r="Q30" s="411"/>
      <c r="R30" s="675"/>
      <c r="S30" s="683">
        <v>0</v>
      </c>
      <c r="T30" s="411"/>
      <c r="U30" s="989">
        <f t="shared" si="1"/>
        <v>0</v>
      </c>
      <c r="V30" s="411"/>
      <c r="W30" s="196"/>
    </row>
    <row r="31" spans="2:24" x14ac:dyDescent="0.2">
      <c r="B31" s="194"/>
      <c r="C31" s="702"/>
      <c r="D31" s="676"/>
      <c r="E31" s="702"/>
      <c r="F31" s="676"/>
      <c r="G31" s="702"/>
      <c r="H31" s="702"/>
      <c r="I31" s="702"/>
      <c r="J31" s="676"/>
      <c r="K31" s="676"/>
      <c r="L31" s="676"/>
      <c r="M31" s="990">
        <f>SUM(M25:M30)</f>
        <v>0</v>
      </c>
      <c r="N31" s="702"/>
      <c r="O31" s="676"/>
      <c r="P31" s="991">
        <f>SUM(P25:P30)</f>
        <v>0</v>
      </c>
      <c r="Q31" s="702"/>
      <c r="R31" s="676"/>
      <c r="S31" s="991">
        <f>SUM(S25:S30)</f>
        <v>1</v>
      </c>
      <c r="T31" s="702"/>
      <c r="U31" s="992">
        <f t="shared" si="1"/>
        <v>1</v>
      </c>
      <c r="V31" s="702"/>
      <c r="W31" s="196"/>
    </row>
    <row r="32" spans="2:24" x14ac:dyDescent="0.2">
      <c r="B32" s="194"/>
      <c r="E32" s="402"/>
      <c r="F32" s="402"/>
      <c r="G32" s="402"/>
      <c r="H32" s="402"/>
      <c r="I32" s="402"/>
      <c r="J32" s="402"/>
      <c r="K32" s="402"/>
      <c r="L32" s="402"/>
      <c r="M32" s="703"/>
      <c r="N32" s="402"/>
      <c r="O32" s="402"/>
      <c r="P32" s="704"/>
      <c r="Q32" s="402"/>
      <c r="R32" s="402"/>
      <c r="S32" s="402"/>
      <c r="T32" s="402"/>
      <c r="U32" s="402"/>
      <c r="V32" s="402"/>
      <c r="W32" s="196"/>
    </row>
    <row r="33" spans="2:24" x14ac:dyDescent="0.2">
      <c r="B33" s="194"/>
      <c r="C33" s="195"/>
      <c r="D33" s="677"/>
      <c r="E33" s="195"/>
      <c r="F33" s="678"/>
      <c r="G33" s="195"/>
      <c r="H33" s="195"/>
      <c r="I33" s="195"/>
      <c r="J33" s="678"/>
      <c r="K33" s="678"/>
      <c r="L33" s="678"/>
      <c r="M33" s="707"/>
      <c r="N33" s="195"/>
      <c r="O33" s="678"/>
      <c r="P33" s="708"/>
      <c r="Q33" s="195"/>
      <c r="R33" s="678"/>
      <c r="S33" s="678"/>
      <c r="T33" s="195"/>
      <c r="U33" s="678"/>
      <c r="V33" s="195"/>
      <c r="W33" s="196"/>
    </row>
    <row r="34" spans="2:24" x14ac:dyDescent="0.2">
      <c r="B34" s="194"/>
      <c r="C34" s="202"/>
      <c r="D34" s="397"/>
      <c r="E34" s="543"/>
      <c r="F34" s="397"/>
      <c r="G34" s="543"/>
      <c r="H34" s="543"/>
      <c r="I34" s="543"/>
      <c r="J34" s="397"/>
      <c r="K34" s="397"/>
      <c r="L34" s="397"/>
      <c r="M34" s="696"/>
      <c r="N34" s="543"/>
      <c r="O34" s="397"/>
      <c r="P34" s="697"/>
      <c r="Q34" s="543"/>
      <c r="R34" s="399"/>
      <c r="S34" s="397"/>
      <c r="T34" s="543"/>
      <c r="U34" s="399"/>
      <c r="V34" s="543"/>
      <c r="W34" s="196"/>
    </row>
    <row r="35" spans="2:24" x14ac:dyDescent="0.2">
      <c r="B35" s="194"/>
      <c r="C35" s="202"/>
      <c r="D35" s="739" t="s">
        <v>461</v>
      </c>
      <c r="E35" s="973"/>
      <c r="F35" s="749"/>
      <c r="G35" s="973"/>
      <c r="H35" s="974"/>
      <c r="I35" s="974"/>
      <c r="J35" s="975" t="s">
        <v>477</v>
      </c>
      <c r="K35" s="884"/>
      <c r="L35" s="847"/>
      <c r="M35" s="976"/>
      <c r="N35" s="977"/>
      <c r="O35" s="978" t="s">
        <v>478</v>
      </c>
      <c r="P35" s="979"/>
      <c r="Q35" s="977"/>
      <c r="R35" s="980" t="s">
        <v>459</v>
      </c>
      <c r="S35" s="749"/>
      <c r="T35" s="977"/>
      <c r="U35" s="981" t="s">
        <v>479</v>
      </c>
      <c r="V35" s="543"/>
      <c r="W35" s="196"/>
    </row>
    <row r="36" spans="2:24" x14ac:dyDescent="0.2">
      <c r="B36" s="194"/>
      <c r="C36" s="202"/>
      <c r="D36" s="982" t="s">
        <v>455</v>
      </c>
      <c r="E36" s="973"/>
      <c r="F36" s="887" t="s">
        <v>456</v>
      </c>
      <c r="G36" s="973"/>
      <c r="H36" s="983" t="s">
        <v>457</v>
      </c>
      <c r="I36" s="974"/>
      <c r="J36" s="887" t="s">
        <v>458</v>
      </c>
      <c r="K36" s="984" t="s">
        <v>213</v>
      </c>
      <c r="L36" s="983" t="s">
        <v>480</v>
      </c>
      <c r="M36" s="985" t="s">
        <v>479</v>
      </c>
      <c r="N36" s="986"/>
      <c r="O36" s="887" t="s">
        <v>458</v>
      </c>
      <c r="P36" s="987" t="s">
        <v>479</v>
      </c>
      <c r="Q36" s="986"/>
      <c r="R36" s="887" t="s">
        <v>458</v>
      </c>
      <c r="S36" s="983" t="s">
        <v>479</v>
      </c>
      <c r="T36" s="986"/>
      <c r="U36" s="983"/>
      <c r="V36" s="543"/>
      <c r="W36" s="450"/>
      <c r="X36" s="551"/>
    </row>
    <row r="37" spans="2:24" x14ac:dyDescent="0.2">
      <c r="B37" s="194"/>
      <c r="C37" s="203"/>
      <c r="D37" s="673"/>
      <c r="E37" s="204"/>
      <c r="F37" s="673"/>
      <c r="G37" s="204"/>
      <c r="H37" s="698"/>
      <c r="I37" s="204"/>
      <c r="J37" s="673"/>
      <c r="K37" s="699"/>
      <c r="L37" s="700"/>
      <c r="M37" s="988">
        <f>(IF(L37="",0,(VLOOKUP(K37,FPE_LA,2,FALSE))*L37))*geg!$G$42</f>
        <v>0</v>
      </c>
      <c r="N37" s="204"/>
      <c r="O37" s="673"/>
      <c r="P37" s="683">
        <v>0</v>
      </c>
      <c r="Q37" s="204"/>
      <c r="R37" s="674"/>
      <c r="S37" s="683">
        <v>0</v>
      </c>
      <c r="T37" s="204"/>
      <c r="U37" s="989">
        <f t="shared" ref="U37:U43" si="2">M37+P37+S37</f>
        <v>0</v>
      </c>
      <c r="V37" s="204"/>
      <c r="W37" s="196"/>
    </row>
    <row r="38" spans="2:24" x14ac:dyDescent="0.2">
      <c r="B38" s="194"/>
      <c r="C38" s="408"/>
      <c r="D38" s="673"/>
      <c r="E38" s="411"/>
      <c r="F38" s="673"/>
      <c r="G38" s="411"/>
      <c r="H38" s="701"/>
      <c r="I38" s="411"/>
      <c r="J38" s="673"/>
      <c r="K38" s="699"/>
      <c r="L38" s="700"/>
      <c r="M38" s="988">
        <f>(IF(L38="",0,(VLOOKUP(K38,FPE_LA,2,FALSE))*L38))*geg!$G$42</f>
        <v>0</v>
      </c>
      <c r="N38" s="411"/>
      <c r="O38" s="673"/>
      <c r="P38" s="683">
        <v>0</v>
      </c>
      <c r="Q38" s="411"/>
      <c r="R38" s="675"/>
      <c r="S38" s="683">
        <v>0</v>
      </c>
      <c r="T38" s="411"/>
      <c r="U38" s="989">
        <f t="shared" si="2"/>
        <v>0</v>
      </c>
      <c r="V38" s="411"/>
      <c r="W38" s="196"/>
    </row>
    <row r="39" spans="2:24" x14ac:dyDescent="0.2">
      <c r="B39" s="194"/>
      <c r="C39" s="408"/>
      <c r="D39" s="673"/>
      <c r="E39" s="411"/>
      <c r="F39" s="673"/>
      <c r="G39" s="411"/>
      <c r="H39" s="701"/>
      <c r="I39" s="411"/>
      <c r="J39" s="673"/>
      <c r="K39" s="699"/>
      <c r="L39" s="700"/>
      <c r="M39" s="988">
        <f>(IF(L39="",0,(VLOOKUP(K39,FPE_LA,2,FALSE))*L39))*geg!$G$42</f>
        <v>0</v>
      </c>
      <c r="N39" s="411"/>
      <c r="O39" s="673"/>
      <c r="P39" s="683">
        <v>0</v>
      </c>
      <c r="Q39" s="411"/>
      <c r="R39" s="675"/>
      <c r="S39" s="683">
        <v>0</v>
      </c>
      <c r="T39" s="411"/>
      <c r="U39" s="989">
        <f t="shared" si="2"/>
        <v>0</v>
      </c>
      <c r="V39" s="411"/>
      <c r="W39" s="196"/>
    </row>
    <row r="40" spans="2:24" x14ac:dyDescent="0.2">
      <c r="B40" s="194"/>
      <c r="C40" s="408"/>
      <c r="D40" s="673"/>
      <c r="E40" s="411"/>
      <c r="F40" s="673"/>
      <c r="G40" s="411"/>
      <c r="H40" s="701"/>
      <c r="I40" s="411"/>
      <c r="J40" s="673"/>
      <c r="K40" s="699"/>
      <c r="L40" s="700"/>
      <c r="M40" s="988">
        <f>(IF(L40="",0,(VLOOKUP(K40,FPE_LA,2,FALSE))*L40))*geg!$G$42</f>
        <v>0</v>
      </c>
      <c r="N40" s="411"/>
      <c r="O40" s="673"/>
      <c r="P40" s="683">
        <v>0</v>
      </c>
      <c r="Q40" s="411"/>
      <c r="R40" s="675"/>
      <c r="S40" s="683">
        <v>0</v>
      </c>
      <c r="T40" s="411"/>
      <c r="U40" s="989">
        <f t="shared" si="2"/>
        <v>0</v>
      </c>
      <c r="V40" s="411"/>
      <c r="W40" s="196"/>
    </row>
    <row r="41" spans="2:24" x14ac:dyDescent="0.2">
      <c r="B41" s="194"/>
      <c r="C41" s="408"/>
      <c r="D41" s="673"/>
      <c r="E41" s="411"/>
      <c r="F41" s="673"/>
      <c r="G41" s="411"/>
      <c r="H41" s="701"/>
      <c r="I41" s="411"/>
      <c r="J41" s="673"/>
      <c r="K41" s="699"/>
      <c r="L41" s="700"/>
      <c r="M41" s="988">
        <f>(IF(L41="",0,(VLOOKUP(K41,FPE_LA,2,FALSE))*L41))*geg!$G$42</f>
        <v>0</v>
      </c>
      <c r="N41" s="411"/>
      <c r="O41" s="673"/>
      <c r="P41" s="683">
        <v>0</v>
      </c>
      <c r="Q41" s="411"/>
      <c r="R41" s="675"/>
      <c r="S41" s="683">
        <v>0</v>
      </c>
      <c r="T41" s="411"/>
      <c r="U41" s="989">
        <f t="shared" si="2"/>
        <v>0</v>
      </c>
      <c r="V41" s="411"/>
      <c r="W41" s="196"/>
    </row>
    <row r="42" spans="2:24" x14ac:dyDescent="0.2">
      <c r="B42" s="194"/>
      <c r="C42" s="408"/>
      <c r="D42" s="673"/>
      <c r="E42" s="411"/>
      <c r="F42" s="673"/>
      <c r="G42" s="411"/>
      <c r="H42" s="701"/>
      <c r="I42" s="411"/>
      <c r="J42" s="673"/>
      <c r="K42" s="699"/>
      <c r="L42" s="700"/>
      <c r="M42" s="988">
        <f>(IF(L42="",0,(VLOOKUP(K42,FPE_LA,2,FALSE))*L42))*geg!$G$42</f>
        <v>0</v>
      </c>
      <c r="N42" s="411"/>
      <c r="O42" s="673"/>
      <c r="P42" s="683">
        <v>0</v>
      </c>
      <c r="Q42" s="411"/>
      <c r="R42" s="675"/>
      <c r="S42" s="683">
        <v>0</v>
      </c>
      <c r="T42" s="411"/>
      <c r="U42" s="989">
        <f t="shared" si="2"/>
        <v>0</v>
      </c>
      <c r="V42" s="411"/>
      <c r="W42" s="196"/>
    </row>
    <row r="43" spans="2:24" x14ac:dyDescent="0.2">
      <c r="B43" s="194"/>
      <c r="C43" s="702"/>
      <c r="D43" s="676"/>
      <c r="E43" s="702"/>
      <c r="F43" s="676"/>
      <c r="G43" s="702"/>
      <c r="H43" s="702"/>
      <c r="I43" s="702"/>
      <c r="J43" s="676"/>
      <c r="K43" s="676"/>
      <c r="L43" s="676"/>
      <c r="M43" s="990">
        <f>SUM(M37:M42)</f>
        <v>0</v>
      </c>
      <c r="N43" s="702"/>
      <c r="O43" s="676"/>
      <c r="P43" s="991">
        <f>SUM(P37:P42)</f>
        <v>0</v>
      </c>
      <c r="Q43" s="702"/>
      <c r="R43" s="676"/>
      <c r="S43" s="991">
        <f>SUM(S37:S42)</f>
        <v>0</v>
      </c>
      <c r="T43" s="702"/>
      <c r="U43" s="992">
        <f t="shared" si="2"/>
        <v>0</v>
      </c>
      <c r="V43" s="702"/>
      <c r="W43" s="196"/>
    </row>
    <row r="44" spans="2:24" x14ac:dyDescent="0.2">
      <c r="B44" s="194"/>
      <c r="E44" s="402"/>
      <c r="F44" s="402"/>
      <c r="G44" s="402"/>
      <c r="H44" s="402"/>
      <c r="I44" s="402"/>
      <c r="J44" s="402"/>
      <c r="K44" s="402"/>
      <c r="L44" s="402"/>
      <c r="M44" s="703"/>
      <c r="N44" s="402"/>
      <c r="O44" s="402"/>
      <c r="P44" s="704"/>
      <c r="Q44" s="402"/>
      <c r="R44" s="402"/>
      <c r="S44" s="402"/>
      <c r="T44" s="402"/>
      <c r="U44" s="402"/>
      <c r="V44" s="402"/>
      <c r="W44" s="196"/>
    </row>
    <row r="45" spans="2:24" x14ac:dyDescent="0.2">
      <c r="B45" s="194"/>
      <c r="C45" s="195"/>
      <c r="D45" s="677"/>
      <c r="E45" s="195"/>
      <c r="F45" s="678"/>
      <c r="G45" s="195"/>
      <c r="H45" s="195"/>
      <c r="I45" s="195"/>
      <c r="J45" s="678"/>
      <c r="K45" s="678"/>
      <c r="L45" s="678"/>
      <c r="M45" s="707"/>
      <c r="N45" s="195"/>
      <c r="O45" s="678"/>
      <c r="P45" s="708"/>
      <c r="Q45" s="195"/>
      <c r="R45" s="678"/>
      <c r="S45" s="678"/>
      <c r="T45" s="195"/>
      <c r="U45" s="678"/>
      <c r="V45" s="195"/>
      <c r="W45" s="196"/>
    </row>
    <row r="46" spans="2:24" x14ac:dyDescent="0.2">
      <c r="B46" s="194"/>
      <c r="C46" s="202"/>
      <c r="D46" s="397"/>
      <c r="E46" s="543"/>
      <c r="F46" s="397"/>
      <c r="G46" s="543"/>
      <c r="H46" s="543"/>
      <c r="I46" s="543"/>
      <c r="J46" s="397"/>
      <c r="K46" s="397"/>
      <c r="L46" s="397"/>
      <c r="M46" s="696"/>
      <c r="N46" s="543"/>
      <c r="O46" s="397"/>
      <c r="P46" s="697"/>
      <c r="Q46" s="543"/>
      <c r="R46" s="399"/>
      <c r="S46" s="397"/>
      <c r="T46" s="543"/>
      <c r="U46" s="399"/>
      <c r="V46" s="543"/>
      <c r="W46" s="196"/>
    </row>
    <row r="47" spans="2:24" x14ac:dyDescent="0.2">
      <c r="B47" s="194"/>
      <c r="C47" s="202"/>
      <c r="D47" s="739" t="s">
        <v>482</v>
      </c>
      <c r="E47" s="973"/>
      <c r="F47" s="749"/>
      <c r="G47" s="973"/>
      <c r="H47" s="974"/>
      <c r="I47" s="974"/>
      <c r="J47" s="975" t="s">
        <v>477</v>
      </c>
      <c r="K47" s="884"/>
      <c r="L47" s="847"/>
      <c r="M47" s="976"/>
      <c r="N47" s="977"/>
      <c r="O47" s="978" t="s">
        <v>478</v>
      </c>
      <c r="P47" s="979"/>
      <c r="Q47" s="977"/>
      <c r="R47" s="980" t="s">
        <v>459</v>
      </c>
      <c r="S47" s="749"/>
      <c r="T47" s="977"/>
      <c r="U47" s="981" t="s">
        <v>479</v>
      </c>
      <c r="V47" s="543"/>
      <c r="W47" s="196"/>
    </row>
    <row r="48" spans="2:24" x14ac:dyDescent="0.2">
      <c r="B48" s="194"/>
      <c r="C48" s="202"/>
      <c r="D48" s="982" t="s">
        <v>455</v>
      </c>
      <c r="E48" s="973"/>
      <c r="F48" s="887" t="s">
        <v>456</v>
      </c>
      <c r="G48" s="973"/>
      <c r="H48" s="983" t="s">
        <v>457</v>
      </c>
      <c r="I48" s="974"/>
      <c r="J48" s="887" t="s">
        <v>458</v>
      </c>
      <c r="K48" s="984" t="s">
        <v>213</v>
      </c>
      <c r="L48" s="983" t="s">
        <v>480</v>
      </c>
      <c r="M48" s="985" t="s">
        <v>479</v>
      </c>
      <c r="N48" s="986"/>
      <c r="O48" s="887" t="s">
        <v>458</v>
      </c>
      <c r="P48" s="987" t="s">
        <v>479</v>
      </c>
      <c r="Q48" s="986"/>
      <c r="R48" s="887" t="s">
        <v>458</v>
      </c>
      <c r="S48" s="983" t="s">
        <v>479</v>
      </c>
      <c r="T48" s="986"/>
      <c r="U48" s="983"/>
      <c r="V48" s="543"/>
      <c r="W48" s="196"/>
    </row>
    <row r="49" spans="2:23" ht="14.25" customHeight="1" x14ac:dyDescent="0.2">
      <c r="B49" s="194"/>
      <c r="C49" s="203"/>
      <c r="D49" s="673"/>
      <c r="E49" s="204"/>
      <c r="F49" s="673"/>
      <c r="G49" s="204"/>
      <c r="H49" s="698"/>
      <c r="I49" s="204"/>
      <c r="J49" s="673"/>
      <c r="K49" s="699"/>
      <c r="L49" s="700"/>
      <c r="M49" s="988">
        <f>(IF(L49="",0,(VLOOKUP(K49,FPE_LA,2,FALSE))*L49))*geg!$G$42</f>
        <v>0</v>
      </c>
      <c r="N49" s="204"/>
      <c r="O49" s="673"/>
      <c r="P49" s="683">
        <v>0</v>
      </c>
      <c r="Q49" s="204"/>
      <c r="R49" s="674"/>
      <c r="S49" s="683">
        <v>0</v>
      </c>
      <c r="T49" s="204"/>
      <c r="U49" s="989">
        <f t="shared" ref="U49:U55" si="3">M49+P49+S49</f>
        <v>0</v>
      </c>
      <c r="V49" s="204"/>
      <c r="W49" s="196"/>
    </row>
    <row r="50" spans="2:23" ht="14.25" customHeight="1" x14ac:dyDescent="0.2">
      <c r="B50" s="194"/>
      <c r="C50" s="408"/>
      <c r="D50" s="673"/>
      <c r="E50" s="411"/>
      <c r="F50" s="673"/>
      <c r="G50" s="411"/>
      <c r="H50" s="701"/>
      <c r="I50" s="411"/>
      <c r="J50" s="673"/>
      <c r="K50" s="699"/>
      <c r="L50" s="700"/>
      <c r="M50" s="988">
        <f>(IF(L50="",0,(VLOOKUP(K50,FPE_LA,2,FALSE))*L50))*geg!$G$42</f>
        <v>0</v>
      </c>
      <c r="N50" s="411"/>
      <c r="O50" s="673"/>
      <c r="P50" s="683">
        <v>0</v>
      </c>
      <c r="Q50" s="411"/>
      <c r="R50" s="675"/>
      <c r="S50" s="683">
        <v>0</v>
      </c>
      <c r="T50" s="411"/>
      <c r="U50" s="989">
        <f t="shared" si="3"/>
        <v>0</v>
      </c>
      <c r="V50" s="411"/>
      <c r="W50" s="196"/>
    </row>
    <row r="51" spans="2:23" ht="14.25" customHeight="1" x14ac:dyDescent="0.2">
      <c r="B51" s="194"/>
      <c r="C51" s="408"/>
      <c r="D51" s="673"/>
      <c r="E51" s="411"/>
      <c r="F51" s="673"/>
      <c r="G51" s="411"/>
      <c r="H51" s="701"/>
      <c r="I51" s="411"/>
      <c r="J51" s="673"/>
      <c r="K51" s="699"/>
      <c r="L51" s="700"/>
      <c r="M51" s="988">
        <f>(IF(L51="",0,(VLOOKUP(K51,FPE_LA,2,FALSE))*L51))*geg!$G$42</f>
        <v>0</v>
      </c>
      <c r="N51" s="411"/>
      <c r="O51" s="673"/>
      <c r="P51" s="683">
        <v>0</v>
      </c>
      <c r="Q51" s="411"/>
      <c r="R51" s="675"/>
      <c r="S51" s="683">
        <v>0</v>
      </c>
      <c r="T51" s="411"/>
      <c r="U51" s="989">
        <f t="shared" si="3"/>
        <v>0</v>
      </c>
      <c r="V51" s="411"/>
      <c r="W51" s="196"/>
    </row>
    <row r="52" spans="2:23" ht="14.25" customHeight="1" x14ac:dyDescent="0.2">
      <c r="B52" s="194"/>
      <c r="C52" s="408"/>
      <c r="D52" s="673"/>
      <c r="E52" s="411"/>
      <c r="F52" s="673"/>
      <c r="G52" s="411"/>
      <c r="H52" s="701"/>
      <c r="I52" s="411"/>
      <c r="J52" s="673"/>
      <c r="K52" s="699"/>
      <c r="L52" s="700"/>
      <c r="M52" s="988">
        <f>(IF(L52="",0,(VLOOKUP(K52,FPE_LA,2,FALSE))*L52))*geg!$G$42</f>
        <v>0</v>
      </c>
      <c r="N52" s="411"/>
      <c r="O52" s="673"/>
      <c r="P52" s="683">
        <v>0</v>
      </c>
      <c r="Q52" s="411"/>
      <c r="R52" s="675"/>
      <c r="S52" s="683">
        <v>0</v>
      </c>
      <c r="T52" s="411"/>
      <c r="U52" s="989">
        <f t="shared" si="3"/>
        <v>0</v>
      </c>
      <c r="V52" s="411"/>
      <c r="W52" s="196"/>
    </row>
    <row r="53" spans="2:23" ht="14.25" customHeight="1" x14ac:dyDescent="0.2">
      <c r="B53" s="194"/>
      <c r="C53" s="408"/>
      <c r="D53" s="673"/>
      <c r="E53" s="411"/>
      <c r="F53" s="673"/>
      <c r="G53" s="411"/>
      <c r="H53" s="701"/>
      <c r="I53" s="411"/>
      <c r="J53" s="673"/>
      <c r="K53" s="699"/>
      <c r="L53" s="700"/>
      <c r="M53" s="988">
        <f>(IF(L53="",0,(VLOOKUP(K53,FPE_LA,2,FALSE))*L53))*geg!$G$42</f>
        <v>0</v>
      </c>
      <c r="N53" s="411"/>
      <c r="O53" s="673"/>
      <c r="P53" s="683">
        <v>0</v>
      </c>
      <c r="Q53" s="411"/>
      <c r="R53" s="675"/>
      <c r="S53" s="683">
        <v>0</v>
      </c>
      <c r="T53" s="411"/>
      <c r="U53" s="989">
        <f t="shared" si="3"/>
        <v>0</v>
      </c>
      <c r="V53" s="411"/>
      <c r="W53" s="196"/>
    </row>
    <row r="54" spans="2:23" ht="14.25" customHeight="1" x14ac:dyDescent="0.2">
      <c r="B54" s="194"/>
      <c r="C54" s="408"/>
      <c r="D54" s="673"/>
      <c r="E54" s="411"/>
      <c r="F54" s="673"/>
      <c r="G54" s="411"/>
      <c r="H54" s="701"/>
      <c r="I54" s="411"/>
      <c r="J54" s="673"/>
      <c r="K54" s="699"/>
      <c r="L54" s="700"/>
      <c r="M54" s="988">
        <f>(IF(L54="",0,(VLOOKUP(K54,FPE_LA,2,FALSE))*L54))*geg!$G$42</f>
        <v>0</v>
      </c>
      <c r="N54" s="411"/>
      <c r="O54" s="673"/>
      <c r="P54" s="683">
        <v>0</v>
      </c>
      <c r="Q54" s="411"/>
      <c r="R54" s="675"/>
      <c r="S54" s="683">
        <v>0</v>
      </c>
      <c r="T54" s="411"/>
      <c r="U54" s="989">
        <f t="shared" si="3"/>
        <v>0</v>
      </c>
      <c r="V54" s="411"/>
      <c r="W54" s="196"/>
    </row>
    <row r="55" spans="2:23" ht="14.25" customHeight="1" x14ac:dyDescent="0.2">
      <c r="B55" s="194"/>
      <c r="C55" s="702"/>
      <c r="D55" s="676"/>
      <c r="E55" s="702"/>
      <c r="F55" s="676"/>
      <c r="G55" s="702"/>
      <c r="H55" s="702"/>
      <c r="I55" s="702"/>
      <c r="J55" s="676"/>
      <c r="K55" s="676"/>
      <c r="L55" s="676"/>
      <c r="M55" s="990">
        <f>SUM(M49:M54)</f>
        <v>0</v>
      </c>
      <c r="N55" s="702"/>
      <c r="O55" s="676"/>
      <c r="P55" s="991">
        <f>SUM(P49:P54)</f>
        <v>0</v>
      </c>
      <c r="Q55" s="702"/>
      <c r="R55" s="676"/>
      <c r="S55" s="991">
        <f>SUM(S49:S54)</f>
        <v>0</v>
      </c>
      <c r="T55" s="702"/>
      <c r="U55" s="992">
        <f t="shared" si="3"/>
        <v>0</v>
      </c>
      <c r="V55" s="702"/>
      <c r="W55" s="196"/>
    </row>
    <row r="56" spans="2:23" ht="14.25" customHeight="1" x14ac:dyDescent="0.2">
      <c r="B56" s="194"/>
      <c r="E56" s="402"/>
      <c r="F56" s="402"/>
      <c r="G56" s="402"/>
      <c r="H56" s="402"/>
      <c r="I56" s="402"/>
      <c r="J56" s="402"/>
      <c r="K56" s="402"/>
      <c r="L56" s="402"/>
      <c r="M56" s="703"/>
      <c r="N56" s="402"/>
      <c r="O56" s="402"/>
      <c r="P56" s="704"/>
      <c r="Q56" s="402"/>
      <c r="R56" s="402"/>
      <c r="S56" s="402"/>
      <c r="T56" s="402"/>
      <c r="U56" s="402"/>
      <c r="V56" s="402"/>
      <c r="W56" s="196"/>
    </row>
    <row r="57" spans="2:23" ht="14.25" customHeight="1" x14ac:dyDescent="0.2">
      <c r="B57" s="194"/>
      <c r="C57" s="195"/>
      <c r="D57" s="677"/>
      <c r="E57" s="195"/>
      <c r="F57" s="678"/>
      <c r="G57" s="195"/>
      <c r="H57" s="195"/>
      <c r="I57" s="195"/>
      <c r="J57" s="678"/>
      <c r="K57" s="678"/>
      <c r="L57" s="678"/>
      <c r="M57" s="707"/>
      <c r="N57" s="195"/>
      <c r="O57" s="678"/>
      <c r="P57" s="708"/>
      <c r="Q57" s="195"/>
      <c r="R57" s="678"/>
      <c r="S57" s="678"/>
      <c r="T57" s="195"/>
      <c r="U57" s="678"/>
      <c r="V57" s="195"/>
      <c r="W57" s="196"/>
    </row>
    <row r="58" spans="2:23" ht="14.25" customHeight="1" x14ac:dyDescent="0.2">
      <c r="B58" s="194"/>
      <c r="C58" s="202"/>
      <c r="D58" s="397"/>
      <c r="E58" s="543"/>
      <c r="F58" s="397"/>
      <c r="G58" s="543"/>
      <c r="H58" s="543"/>
      <c r="I58" s="543"/>
      <c r="J58" s="397"/>
      <c r="K58" s="397"/>
      <c r="L58" s="397"/>
      <c r="M58" s="696"/>
      <c r="N58" s="543"/>
      <c r="O58" s="397"/>
      <c r="P58" s="697"/>
      <c r="Q58" s="543"/>
      <c r="R58" s="399"/>
      <c r="S58" s="397"/>
      <c r="T58" s="543"/>
      <c r="U58" s="399"/>
      <c r="V58" s="543"/>
      <c r="W58" s="196"/>
    </row>
    <row r="59" spans="2:23" ht="14.25" customHeight="1" x14ac:dyDescent="0.2">
      <c r="B59" s="194"/>
      <c r="C59" s="202"/>
      <c r="D59" s="739" t="s">
        <v>526</v>
      </c>
      <c r="E59" s="973"/>
      <c r="F59" s="749"/>
      <c r="G59" s="973"/>
      <c r="H59" s="974"/>
      <c r="I59" s="974"/>
      <c r="J59" s="975" t="s">
        <v>477</v>
      </c>
      <c r="K59" s="884"/>
      <c r="L59" s="847"/>
      <c r="M59" s="976"/>
      <c r="N59" s="977"/>
      <c r="O59" s="978" t="s">
        <v>478</v>
      </c>
      <c r="P59" s="979"/>
      <c r="Q59" s="977"/>
      <c r="R59" s="980" t="s">
        <v>459</v>
      </c>
      <c r="S59" s="749"/>
      <c r="T59" s="977"/>
      <c r="U59" s="981" t="s">
        <v>479</v>
      </c>
      <c r="V59" s="543"/>
      <c r="W59" s="196"/>
    </row>
    <row r="60" spans="2:23" ht="14.25" customHeight="1" x14ac:dyDescent="0.2">
      <c r="B60" s="194"/>
      <c r="C60" s="202"/>
      <c r="D60" s="982" t="s">
        <v>455</v>
      </c>
      <c r="E60" s="973"/>
      <c r="F60" s="887" t="s">
        <v>456</v>
      </c>
      <c r="G60" s="973"/>
      <c r="H60" s="983" t="s">
        <v>457</v>
      </c>
      <c r="I60" s="974"/>
      <c r="J60" s="887" t="s">
        <v>458</v>
      </c>
      <c r="K60" s="984" t="s">
        <v>213</v>
      </c>
      <c r="L60" s="983" t="s">
        <v>480</v>
      </c>
      <c r="M60" s="985" t="s">
        <v>479</v>
      </c>
      <c r="N60" s="986"/>
      <c r="O60" s="887" t="s">
        <v>458</v>
      </c>
      <c r="P60" s="987" t="s">
        <v>479</v>
      </c>
      <c r="Q60" s="986"/>
      <c r="R60" s="887" t="s">
        <v>458</v>
      </c>
      <c r="S60" s="983" t="s">
        <v>479</v>
      </c>
      <c r="T60" s="986"/>
      <c r="U60" s="983"/>
      <c r="V60" s="543"/>
      <c r="W60" s="196"/>
    </row>
    <row r="61" spans="2:23" ht="14.25" customHeight="1" x14ac:dyDescent="0.2">
      <c r="B61" s="194"/>
      <c r="C61" s="203"/>
      <c r="D61" s="673"/>
      <c r="E61" s="204"/>
      <c r="F61" s="673"/>
      <c r="G61" s="204"/>
      <c r="H61" s="698"/>
      <c r="I61" s="204"/>
      <c r="J61" s="673"/>
      <c r="K61" s="699"/>
      <c r="L61" s="700"/>
      <c r="M61" s="988">
        <f>(IF(L61="",0,(VLOOKUP(K61,FPE_LA,2,FALSE))*L61))*geg!$G$42</f>
        <v>0</v>
      </c>
      <c r="N61" s="204"/>
      <c r="O61" s="673"/>
      <c r="P61" s="683">
        <v>0</v>
      </c>
      <c r="Q61" s="204"/>
      <c r="R61" s="674"/>
      <c r="S61" s="683">
        <v>0</v>
      </c>
      <c r="T61" s="204"/>
      <c r="U61" s="989">
        <f t="shared" ref="U61:U67" si="4">M61+P61+S61</f>
        <v>0</v>
      </c>
      <c r="V61" s="204"/>
      <c r="W61" s="196"/>
    </row>
    <row r="62" spans="2:23" ht="14.25" customHeight="1" x14ac:dyDescent="0.2">
      <c r="B62" s="194"/>
      <c r="C62" s="408"/>
      <c r="D62" s="673"/>
      <c r="E62" s="411"/>
      <c r="F62" s="673"/>
      <c r="G62" s="411"/>
      <c r="H62" s="701"/>
      <c r="I62" s="411"/>
      <c r="J62" s="673"/>
      <c r="K62" s="699"/>
      <c r="L62" s="700"/>
      <c r="M62" s="988">
        <f>(IF(L62="",0,(VLOOKUP(K62,FPE_LA,2,FALSE))*L62))*geg!$G$42</f>
        <v>0</v>
      </c>
      <c r="N62" s="411"/>
      <c r="O62" s="673"/>
      <c r="P62" s="683">
        <v>0</v>
      </c>
      <c r="Q62" s="411"/>
      <c r="R62" s="675"/>
      <c r="S62" s="683">
        <v>0</v>
      </c>
      <c r="T62" s="411"/>
      <c r="U62" s="989">
        <f t="shared" si="4"/>
        <v>0</v>
      </c>
      <c r="V62" s="411"/>
      <c r="W62" s="196"/>
    </row>
    <row r="63" spans="2:23" ht="14.25" customHeight="1" x14ac:dyDescent="0.2">
      <c r="B63" s="194"/>
      <c r="C63" s="408"/>
      <c r="D63" s="673"/>
      <c r="E63" s="411"/>
      <c r="F63" s="673"/>
      <c r="G63" s="411"/>
      <c r="H63" s="701"/>
      <c r="I63" s="411"/>
      <c r="J63" s="673"/>
      <c r="K63" s="699"/>
      <c r="L63" s="700"/>
      <c r="M63" s="988">
        <f>(IF(L63="",0,(VLOOKUP(K63,FPE_LA,2,FALSE))*L63))*geg!$G$42</f>
        <v>0</v>
      </c>
      <c r="N63" s="411"/>
      <c r="O63" s="673"/>
      <c r="P63" s="683">
        <v>0</v>
      </c>
      <c r="Q63" s="411"/>
      <c r="R63" s="675"/>
      <c r="S63" s="683">
        <v>0</v>
      </c>
      <c r="T63" s="411"/>
      <c r="U63" s="989">
        <f t="shared" si="4"/>
        <v>0</v>
      </c>
      <c r="V63" s="411"/>
      <c r="W63" s="196"/>
    </row>
    <row r="64" spans="2:23" ht="14.25" customHeight="1" x14ac:dyDescent="0.2">
      <c r="B64" s="194"/>
      <c r="C64" s="408"/>
      <c r="D64" s="673"/>
      <c r="E64" s="411"/>
      <c r="F64" s="673"/>
      <c r="G64" s="411"/>
      <c r="H64" s="701"/>
      <c r="I64" s="411"/>
      <c r="J64" s="673"/>
      <c r="K64" s="699"/>
      <c r="L64" s="700"/>
      <c r="M64" s="988">
        <f>(IF(L64="",0,(VLOOKUP(K64,FPE_LA,2,FALSE))*L64))*geg!$G$42</f>
        <v>0</v>
      </c>
      <c r="N64" s="411"/>
      <c r="O64" s="673"/>
      <c r="P64" s="683">
        <v>0</v>
      </c>
      <c r="Q64" s="411"/>
      <c r="R64" s="675"/>
      <c r="S64" s="683">
        <v>0</v>
      </c>
      <c r="T64" s="411"/>
      <c r="U64" s="989">
        <f t="shared" si="4"/>
        <v>0</v>
      </c>
      <c r="V64" s="411"/>
      <c r="W64" s="196"/>
    </row>
    <row r="65" spans="2:23" ht="14.25" customHeight="1" x14ac:dyDescent="0.2">
      <c r="B65" s="194"/>
      <c r="C65" s="408"/>
      <c r="D65" s="673"/>
      <c r="E65" s="411"/>
      <c r="F65" s="673"/>
      <c r="G65" s="411"/>
      <c r="H65" s="701"/>
      <c r="I65" s="411"/>
      <c r="J65" s="673"/>
      <c r="K65" s="699"/>
      <c r="L65" s="700"/>
      <c r="M65" s="988">
        <f>(IF(L65="",0,(VLOOKUP(K65,FPE_LA,2,FALSE))*L65))*geg!$G$42</f>
        <v>0</v>
      </c>
      <c r="N65" s="411"/>
      <c r="O65" s="673"/>
      <c r="P65" s="683">
        <v>0</v>
      </c>
      <c r="Q65" s="411"/>
      <c r="R65" s="675"/>
      <c r="S65" s="683">
        <v>0</v>
      </c>
      <c r="T65" s="411"/>
      <c r="U65" s="989">
        <f t="shared" si="4"/>
        <v>0</v>
      </c>
      <c r="V65" s="411"/>
      <c r="W65" s="196"/>
    </row>
    <row r="66" spans="2:23" ht="14.25" customHeight="1" x14ac:dyDescent="0.2">
      <c r="B66" s="194"/>
      <c r="C66" s="408"/>
      <c r="D66" s="673"/>
      <c r="E66" s="411"/>
      <c r="F66" s="673"/>
      <c r="G66" s="411"/>
      <c r="H66" s="701"/>
      <c r="I66" s="411"/>
      <c r="J66" s="673"/>
      <c r="K66" s="699"/>
      <c r="L66" s="700"/>
      <c r="M66" s="988">
        <f>(IF(L66="",0,(VLOOKUP(K66,FPE_LA,2,FALSE))*L66))*geg!$G$42</f>
        <v>0</v>
      </c>
      <c r="N66" s="411"/>
      <c r="O66" s="673"/>
      <c r="P66" s="683">
        <v>0</v>
      </c>
      <c r="Q66" s="411"/>
      <c r="R66" s="675"/>
      <c r="S66" s="683">
        <v>0</v>
      </c>
      <c r="T66" s="411"/>
      <c r="U66" s="989">
        <f t="shared" si="4"/>
        <v>0</v>
      </c>
      <c r="V66" s="411"/>
      <c r="W66" s="196"/>
    </row>
    <row r="67" spans="2:23" ht="14.25" customHeight="1" x14ac:dyDescent="0.2">
      <c r="B67" s="194"/>
      <c r="C67" s="702"/>
      <c r="D67" s="676"/>
      <c r="E67" s="702"/>
      <c r="F67" s="676"/>
      <c r="G67" s="702"/>
      <c r="H67" s="702"/>
      <c r="I67" s="702"/>
      <c r="J67" s="676"/>
      <c r="K67" s="676"/>
      <c r="L67" s="676"/>
      <c r="M67" s="990">
        <f>SUM(M61:M66)</f>
        <v>0</v>
      </c>
      <c r="N67" s="702"/>
      <c r="O67" s="676"/>
      <c r="P67" s="991">
        <f>SUM(P61:P66)</f>
        <v>0</v>
      </c>
      <c r="Q67" s="702"/>
      <c r="R67" s="676"/>
      <c r="S67" s="991">
        <f>SUM(S61:S66)</f>
        <v>0</v>
      </c>
      <c r="T67" s="702"/>
      <c r="U67" s="992">
        <f t="shared" si="4"/>
        <v>0</v>
      </c>
      <c r="V67" s="702"/>
      <c r="W67" s="196"/>
    </row>
    <row r="68" spans="2:23" x14ac:dyDescent="0.2">
      <c r="B68" s="194"/>
      <c r="E68" s="402"/>
      <c r="F68" s="402"/>
      <c r="G68" s="402"/>
      <c r="H68" s="402"/>
      <c r="I68" s="402"/>
      <c r="J68" s="402"/>
      <c r="K68" s="402"/>
      <c r="L68" s="402"/>
      <c r="M68" s="703"/>
      <c r="N68" s="402"/>
      <c r="O68" s="402"/>
      <c r="P68" s="704"/>
      <c r="Q68" s="402"/>
      <c r="R68" s="402"/>
      <c r="S68" s="402"/>
      <c r="T68" s="402"/>
      <c r="U68" s="402"/>
      <c r="V68" s="402"/>
      <c r="W68" s="196"/>
    </row>
    <row r="69" spans="2:23" x14ac:dyDescent="0.2">
      <c r="B69" s="194"/>
      <c r="C69" s="195"/>
      <c r="D69" s="677"/>
      <c r="E69" s="195"/>
      <c r="F69" s="678"/>
      <c r="G69" s="195"/>
      <c r="H69" s="195"/>
      <c r="I69" s="195"/>
      <c r="J69" s="678"/>
      <c r="K69" s="678"/>
      <c r="L69" s="678"/>
      <c r="M69" s="707"/>
      <c r="N69" s="195"/>
      <c r="O69" s="678"/>
      <c r="P69" s="708"/>
      <c r="Q69" s="195"/>
      <c r="R69" s="678"/>
      <c r="S69" s="678"/>
      <c r="T69" s="195"/>
      <c r="U69" s="678"/>
      <c r="V69" s="195"/>
      <c r="W69" s="196"/>
    </row>
    <row r="70" spans="2:23" x14ac:dyDescent="0.2">
      <c r="B70" s="194"/>
      <c r="C70" s="195"/>
      <c r="D70" s="677"/>
      <c r="E70" s="195"/>
      <c r="F70" s="678"/>
      <c r="G70" s="195"/>
      <c r="H70" s="195"/>
      <c r="I70" s="195"/>
      <c r="J70" s="678"/>
      <c r="K70" s="678"/>
      <c r="L70" s="678"/>
      <c r="M70" s="707"/>
      <c r="N70" s="195"/>
      <c r="O70" s="678"/>
      <c r="P70" s="708"/>
      <c r="Q70" s="195"/>
      <c r="R70" s="678"/>
      <c r="S70" s="678"/>
      <c r="T70" s="195"/>
      <c r="U70" s="678"/>
      <c r="V70" s="195"/>
      <c r="W70" s="196"/>
    </row>
    <row r="71" spans="2:23" x14ac:dyDescent="0.2">
      <c r="B71" s="194"/>
      <c r="C71" s="195"/>
      <c r="D71" s="677"/>
      <c r="E71" s="195"/>
      <c r="F71" s="678"/>
      <c r="G71" s="195"/>
      <c r="H71" s="195"/>
      <c r="I71" s="195"/>
      <c r="J71" s="678"/>
      <c r="K71" s="678"/>
      <c r="L71" s="678"/>
      <c r="M71" s="707"/>
      <c r="N71" s="195"/>
      <c r="O71" s="678"/>
      <c r="P71" s="708"/>
      <c r="Q71" s="195"/>
      <c r="R71" s="678"/>
      <c r="S71" s="678"/>
      <c r="T71" s="195"/>
      <c r="U71" s="678"/>
      <c r="V71" s="195"/>
      <c r="W71" s="196"/>
    </row>
    <row r="72" spans="2:23" ht="15" x14ac:dyDescent="0.25">
      <c r="B72" s="199"/>
      <c r="C72" s="200"/>
      <c r="D72" s="679"/>
      <c r="E72" s="72"/>
      <c r="F72" s="680"/>
      <c r="G72" s="72"/>
      <c r="H72" s="72"/>
      <c r="I72" s="72"/>
      <c r="J72" s="680"/>
      <c r="K72" s="680"/>
      <c r="L72" s="680"/>
      <c r="M72" s="709"/>
      <c r="N72" s="72"/>
      <c r="O72" s="680"/>
      <c r="P72" s="710"/>
      <c r="Q72" s="72"/>
      <c r="R72" s="680"/>
      <c r="S72" s="680"/>
      <c r="T72" s="72"/>
      <c r="U72" s="680"/>
      <c r="V72" s="72" t="s">
        <v>388</v>
      </c>
      <c r="W72" s="201"/>
    </row>
    <row r="73" spans="2:23" x14ac:dyDescent="0.2">
      <c r="D73" s="404"/>
      <c r="F73" s="681"/>
      <c r="J73" s="681"/>
      <c r="K73" s="681"/>
      <c r="L73" s="681"/>
      <c r="M73" s="711"/>
      <c r="O73" s="681"/>
      <c r="P73" s="712"/>
      <c r="R73" s="681"/>
      <c r="S73" s="681"/>
      <c r="U73" s="681"/>
    </row>
    <row r="74" spans="2:23" x14ac:dyDescent="0.2">
      <c r="J74" s="682"/>
      <c r="K74" s="682"/>
      <c r="L74" s="682"/>
      <c r="O74" s="682"/>
    </row>
    <row r="75" spans="2:23" x14ac:dyDescent="0.2">
      <c r="J75" s="682"/>
      <c r="K75" s="682"/>
      <c r="L75" s="682"/>
      <c r="O75" s="682"/>
    </row>
    <row r="76" spans="2:23" x14ac:dyDescent="0.2">
      <c r="J76" s="682"/>
      <c r="K76" s="682"/>
      <c r="L76" s="682"/>
      <c r="O76" s="682"/>
    </row>
    <row r="77" spans="2:23" x14ac:dyDescent="0.2">
      <c r="J77" s="682"/>
      <c r="K77" s="682"/>
      <c r="L77" s="682"/>
      <c r="O77" s="682"/>
    </row>
    <row r="78" spans="2:23" x14ac:dyDescent="0.2">
      <c r="D78" s="713" t="s">
        <v>197</v>
      </c>
      <c r="J78" s="682"/>
      <c r="K78" s="682"/>
      <c r="L78" s="682"/>
      <c r="O78" s="682"/>
    </row>
    <row r="79" spans="2:23" x14ac:dyDescent="0.2">
      <c r="D79" s="713" t="s">
        <v>198</v>
      </c>
      <c r="J79" s="682"/>
      <c r="K79" s="682"/>
      <c r="L79" s="682"/>
      <c r="O79" s="682"/>
    </row>
    <row r="80" spans="2:23" x14ac:dyDescent="0.2">
      <c r="D80" s="713" t="s">
        <v>199</v>
      </c>
      <c r="J80" s="682"/>
      <c r="K80" s="682"/>
      <c r="L80" s="682"/>
      <c r="O80" s="682"/>
    </row>
    <row r="81" spans="4:15" x14ac:dyDescent="0.2">
      <c r="D81" s="713" t="s">
        <v>200</v>
      </c>
      <c r="J81" s="682"/>
      <c r="K81" s="682"/>
      <c r="L81" s="682"/>
      <c r="O81" s="682"/>
    </row>
    <row r="82" spans="4:15" x14ac:dyDescent="0.2">
      <c r="D82" s="713" t="s">
        <v>201</v>
      </c>
      <c r="J82" s="682"/>
      <c r="K82" s="682"/>
      <c r="L82" s="682"/>
      <c r="O82" s="682"/>
    </row>
    <row r="83" spans="4:15" x14ac:dyDescent="0.2">
      <c r="D83" s="713" t="s">
        <v>190</v>
      </c>
      <c r="J83" s="682"/>
      <c r="K83" s="682"/>
      <c r="L83" s="682"/>
      <c r="O83" s="682"/>
    </row>
    <row r="84" spans="4:15" x14ac:dyDescent="0.2">
      <c r="D84" s="713" t="s">
        <v>191</v>
      </c>
      <c r="J84" s="682"/>
      <c r="K84" s="682"/>
      <c r="L84" s="682"/>
      <c r="O84" s="682"/>
    </row>
    <row r="85" spans="4:15" x14ac:dyDescent="0.2">
      <c r="D85" s="713" t="s">
        <v>192</v>
      </c>
      <c r="J85" s="682"/>
      <c r="K85" s="682"/>
      <c r="L85" s="682"/>
      <c r="O85" s="682"/>
    </row>
    <row r="86" spans="4:15" x14ac:dyDescent="0.2">
      <c r="D86" s="713" t="s">
        <v>193</v>
      </c>
      <c r="J86" s="682"/>
      <c r="K86" s="682"/>
      <c r="L86" s="682"/>
      <c r="O86" s="682"/>
    </row>
    <row r="87" spans="4:15" x14ac:dyDescent="0.2">
      <c r="D87" s="713" t="s">
        <v>194</v>
      </c>
      <c r="J87" s="682"/>
      <c r="K87" s="682"/>
      <c r="L87" s="682"/>
      <c r="O87" s="682"/>
    </row>
    <row r="88" spans="4:15" x14ac:dyDescent="0.2">
      <c r="D88" s="713" t="s">
        <v>195</v>
      </c>
      <c r="J88" s="682"/>
      <c r="K88" s="682"/>
      <c r="L88" s="682"/>
      <c r="O88" s="682"/>
    </row>
    <row r="89" spans="4:15" x14ac:dyDescent="0.2">
      <c r="D89" s="713" t="s">
        <v>196</v>
      </c>
      <c r="J89" s="682"/>
      <c r="K89" s="682"/>
      <c r="L89" s="682"/>
      <c r="O89" s="682"/>
    </row>
    <row r="90" spans="4:15" x14ac:dyDescent="0.2">
      <c r="D90" s="538" t="s">
        <v>483</v>
      </c>
      <c r="J90" s="682"/>
      <c r="K90" s="682"/>
      <c r="L90" s="682"/>
      <c r="O90" s="682"/>
    </row>
    <row r="91" spans="4:15" x14ac:dyDescent="0.2">
      <c r="D91" s="538" t="s">
        <v>484</v>
      </c>
      <c r="J91" s="682"/>
      <c r="K91" s="682"/>
      <c r="L91" s="682"/>
      <c r="O91" s="682"/>
    </row>
    <row r="92" spans="4:15" x14ac:dyDescent="0.2">
      <c r="D92" s="538" t="s">
        <v>485</v>
      </c>
      <c r="J92" s="682"/>
      <c r="K92" s="682"/>
      <c r="L92" s="682"/>
      <c r="O92" s="682"/>
    </row>
    <row r="93" spans="4:15" x14ac:dyDescent="0.2">
      <c r="D93" s="713" t="s">
        <v>202</v>
      </c>
      <c r="J93" s="682"/>
      <c r="K93" s="682"/>
      <c r="L93" s="682"/>
      <c r="O93" s="682"/>
    </row>
    <row r="94" spans="4:15" x14ac:dyDescent="0.2">
      <c r="D94" s="713" t="s">
        <v>203</v>
      </c>
      <c r="J94" s="682"/>
      <c r="K94" s="682"/>
      <c r="L94" s="682"/>
      <c r="O94" s="682"/>
    </row>
    <row r="95" spans="4:15" x14ac:dyDescent="0.2">
      <c r="D95" s="713" t="s">
        <v>204</v>
      </c>
      <c r="J95" s="682"/>
      <c r="K95" s="682"/>
      <c r="L95" s="682"/>
      <c r="O95" s="682"/>
    </row>
    <row r="96" spans="4:15" x14ac:dyDescent="0.2">
      <c r="D96" s="713" t="s">
        <v>205</v>
      </c>
      <c r="J96" s="682"/>
      <c r="K96" s="682"/>
      <c r="L96" s="682"/>
      <c r="O96" s="682"/>
    </row>
    <row r="97" spans="4:15" x14ac:dyDescent="0.2">
      <c r="D97" s="713" t="s">
        <v>206</v>
      </c>
      <c r="J97" s="682"/>
      <c r="K97" s="682"/>
      <c r="L97" s="682"/>
      <c r="O97" s="682"/>
    </row>
    <row r="98" spans="4:15" x14ac:dyDescent="0.2">
      <c r="D98" s="538" t="s">
        <v>207</v>
      </c>
      <c r="J98" s="682"/>
      <c r="K98" s="682"/>
      <c r="L98" s="682"/>
      <c r="O98" s="682"/>
    </row>
    <row r="99" spans="4:15" x14ac:dyDescent="0.2">
      <c r="D99" s="538" t="s">
        <v>208</v>
      </c>
      <c r="J99" s="682"/>
      <c r="K99" s="682"/>
      <c r="L99" s="682"/>
      <c r="O99" s="682"/>
    </row>
    <row r="100" spans="4:15" x14ac:dyDescent="0.2">
      <c r="D100" s="714" t="s">
        <v>486</v>
      </c>
      <c r="J100" s="682"/>
      <c r="K100" s="682"/>
      <c r="L100" s="682"/>
      <c r="O100" s="682"/>
    </row>
    <row r="101" spans="4:15" x14ac:dyDescent="0.2">
      <c r="D101" s="714" t="s">
        <v>221</v>
      </c>
      <c r="J101" s="682"/>
      <c r="K101" s="682"/>
      <c r="L101" s="682"/>
      <c r="O101" s="682"/>
    </row>
    <row r="102" spans="4:15" x14ac:dyDescent="0.2">
      <c r="D102" s="714" t="s">
        <v>222</v>
      </c>
      <c r="J102" s="682"/>
      <c r="K102" s="682"/>
      <c r="L102" s="682"/>
      <c r="O102" s="682"/>
    </row>
    <row r="103" spans="4:15" x14ac:dyDescent="0.2">
      <c r="D103" s="714" t="s">
        <v>487</v>
      </c>
      <c r="J103" s="682"/>
      <c r="K103" s="682"/>
      <c r="L103" s="682"/>
      <c r="O103" s="682"/>
    </row>
    <row r="104" spans="4:15" x14ac:dyDescent="0.2">
      <c r="D104" s="714" t="s">
        <v>224</v>
      </c>
      <c r="J104" s="682"/>
      <c r="K104" s="682"/>
      <c r="L104" s="682"/>
      <c r="O104" s="682"/>
    </row>
    <row r="105" spans="4:15" x14ac:dyDescent="0.2">
      <c r="D105" s="538">
        <v>1</v>
      </c>
      <c r="J105" s="682"/>
      <c r="K105" s="682"/>
      <c r="L105" s="682"/>
      <c r="O105" s="682"/>
    </row>
    <row r="106" spans="4:15" x14ac:dyDescent="0.2">
      <c r="D106" s="538">
        <v>2</v>
      </c>
      <c r="J106" s="682"/>
      <c r="K106" s="682"/>
      <c r="L106" s="682"/>
      <c r="O106" s="682"/>
    </row>
    <row r="107" spans="4:15" x14ac:dyDescent="0.2">
      <c r="D107" s="538">
        <v>3</v>
      </c>
      <c r="J107" s="682"/>
      <c r="K107" s="682"/>
      <c r="L107" s="682"/>
      <c r="O107" s="682"/>
    </row>
    <row r="108" spans="4:15" x14ac:dyDescent="0.2">
      <c r="D108" s="538">
        <v>4</v>
      </c>
      <c r="J108" s="682"/>
      <c r="K108" s="682"/>
      <c r="L108" s="682"/>
      <c r="O108" s="682"/>
    </row>
    <row r="109" spans="4:15" x14ac:dyDescent="0.2">
      <c r="D109" s="538">
        <v>5</v>
      </c>
      <c r="J109" s="682"/>
      <c r="K109" s="682"/>
      <c r="L109" s="682"/>
      <c r="O109" s="682"/>
    </row>
    <row r="110" spans="4:15" x14ac:dyDescent="0.2">
      <c r="D110" s="538">
        <v>6</v>
      </c>
      <c r="J110" s="682"/>
      <c r="K110" s="682"/>
      <c r="L110" s="682"/>
      <c r="O110" s="682"/>
    </row>
    <row r="111" spans="4:15" x14ac:dyDescent="0.2">
      <c r="D111" s="538">
        <v>7</v>
      </c>
      <c r="J111" s="682"/>
      <c r="K111" s="682"/>
      <c r="L111" s="682"/>
      <c r="O111" s="682"/>
    </row>
    <row r="112" spans="4:15" x14ac:dyDescent="0.2">
      <c r="D112" s="538">
        <v>8</v>
      </c>
      <c r="J112" s="682"/>
      <c r="K112" s="682"/>
      <c r="L112" s="682"/>
      <c r="O112" s="682"/>
    </row>
    <row r="113" spans="4:15" x14ac:dyDescent="0.2">
      <c r="D113" s="538">
        <v>9</v>
      </c>
      <c r="J113" s="682"/>
      <c r="K113" s="682"/>
      <c r="L113" s="682"/>
      <c r="O113" s="682"/>
    </row>
    <row r="114" spans="4:15" x14ac:dyDescent="0.2">
      <c r="D114" s="538">
        <v>10</v>
      </c>
      <c r="J114" s="682"/>
      <c r="K114" s="682"/>
      <c r="L114" s="682"/>
      <c r="O114" s="682"/>
    </row>
    <row r="115" spans="4:15" x14ac:dyDescent="0.2">
      <c r="D115" s="538">
        <v>11</v>
      </c>
      <c r="J115" s="682"/>
      <c r="K115" s="682"/>
      <c r="L115" s="682"/>
      <c r="O115" s="682"/>
    </row>
    <row r="116" spans="4:15" x14ac:dyDescent="0.2">
      <c r="D116" s="538">
        <v>12</v>
      </c>
      <c r="J116" s="682"/>
      <c r="K116" s="682"/>
      <c r="L116" s="682"/>
      <c r="O116" s="682"/>
    </row>
    <row r="117" spans="4:15" x14ac:dyDescent="0.2">
      <c r="D117" s="538">
        <v>13</v>
      </c>
      <c r="J117" s="682"/>
      <c r="K117" s="682"/>
      <c r="L117" s="682"/>
      <c r="O117" s="682"/>
    </row>
    <row r="118" spans="4:15" x14ac:dyDescent="0.2">
      <c r="D118" s="538">
        <v>14</v>
      </c>
      <c r="J118" s="682"/>
      <c r="K118" s="682"/>
      <c r="L118" s="682"/>
      <c r="O118" s="682"/>
    </row>
    <row r="119" spans="4:15" x14ac:dyDescent="0.2">
      <c r="D119" s="538">
        <v>15</v>
      </c>
      <c r="J119" s="682"/>
      <c r="K119" s="682"/>
      <c r="L119" s="682"/>
      <c r="O119" s="682"/>
    </row>
    <row r="120" spans="4:15" x14ac:dyDescent="0.2">
      <c r="D120" s="538">
        <v>16</v>
      </c>
      <c r="J120" s="682"/>
      <c r="K120" s="682"/>
      <c r="L120" s="682"/>
      <c r="O120" s="682"/>
    </row>
    <row r="121" spans="4:15" x14ac:dyDescent="0.2">
      <c r="J121" s="682"/>
      <c r="K121" s="682"/>
      <c r="L121" s="682"/>
      <c r="O121" s="682"/>
    </row>
    <row r="122" spans="4:15" x14ac:dyDescent="0.2">
      <c r="J122" s="682"/>
      <c r="K122" s="682"/>
      <c r="L122" s="682"/>
      <c r="O122" s="682"/>
    </row>
    <row r="123" spans="4:15" x14ac:dyDescent="0.2">
      <c r="J123" s="682"/>
      <c r="K123" s="682"/>
      <c r="L123" s="682"/>
      <c r="O123" s="682"/>
    </row>
    <row r="124" spans="4:15" x14ac:dyDescent="0.2">
      <c r="J124" s="682"/>
      <c r="K124" s="682"/>
      <c r="L124" s="682"/>
      <c r="O124" s="682"/>
    </row>
    <row r="125" spans="4:15" x14ac:dyDescent="0.2">
      <c r="J125" s="682"/>
      <c r="K125" s="682"/>
      <c r="L125" s="682"/>
      <c r="O125" s="682"/>
    </row>
  </sheetData>
  <phoneticPr fontId="28" type="noConversion"/>
  <dataValidations disablePrompts="1" count="1">
    <dataValidation type="list" allowBlank="1" showInputMessage="1" showErrorMessage="1" sqref="K25:K30 K49:K54 K13:K18 K37:K42 K61:K66">
      <formula1>$D$78:$D$120</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&amp;L&amp;"Arial,Vet"PO-Raad&amp;C&amp;"Arial,Vet"&amp;D&amp;R&amp;"Arial,Vet"&amp;P</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zoomScale="85" zoomScaleNormal="85" workbookViewId="0">
      <pane ySplit="9" topLeftCell="A10" activePane="bottomLeft" state="frozen"/>
      <selection activeCell="C4" sqref="C4"/>
      <selection pane="bottomLeft" activeCell="B2" sqref="B2"/>
    </sheetView>
  </sheetViews>
  <sheetFormatPr defaultColWidth="9.140625" defaultRowHeight="12.75" x14ac:dyDescent="0.2"/>
  <cols>
    <col min="1" max="1" width="3.7109375" style="5" customWidth="1"/>
    <col min="2" max="3" width="2.7109375" style="5" customWidth="1"/>
    <col min="4" max="4" width="40.7109375" style="381" customWidth="1"/>
    <col min="5" max="5" width="2.7109375" style="5" customWidth="1"/>
    <col min="6" max="10" width="14.7109375" style="5" customWidth="1"/>
    <col min="11" max="12" width="2.7109375" style="5" customWidth="1"/>
    <col min="13" max="13" width="15.42578125" style="5" customWidth="1"/>
    <col min="14" max="15" width="5.7109375" style="5" customWidth="1"/>
    <col min="16" max="16384" width="9.140625" style="5"/>
  </cols>
  <sheetData>
    <row r="1" spans="2:13" ht="12.75" customHeight="1" x14ac:dyDescent="0.2"/>
    <row r="2" spans="2:13" x14ac:dyDescent="0.2">
      <c r="B2" s="30"/>
      <c r="C2" s="31"/>
      <c r="D2" s="384"/>
      <c r="E2" s="31"/>
      <c r="F2" s="31"/>
      <c r="G2" s="31"/>
      <c r="H2" s="31"/>
      <c r="I2" s="31"/>
      <c r="J2" s="31"/>
      <c r="K2" s="31"/>
      <c r="L2" s="33"/>
    </row>
    <row r="3" spans="2:13" x14ac:dyDescent="0.2">
      <c r="B3" s="34"/>
      <c r="C3" s="35"/>
      <c r="D3" s="195"/>
      <c r="E3" s="35"/>
      <c r="F3" s="35"/>
      <c r="G3" s="35"/>
      <c r="H3" s="35"/>
      <c r="I3" s="35"/>
      <c r="J3" s="35"/>
      <c r="K3" s="35"/>
      <c r="L3" s="37"/>
    </row>
    <row r="4" spans="2:13" s="165" customFormat="1" ht="18.75" x14ac:dyDescent="0.3">
      <c r="B4" s="365"/>
      <c r="C4" s="151" t="s">
        <v>20</v>
      </c>
      <c r="D4" s="392"/>
      <c r="E4" s="153"/>
      <c r="F4" s="153"/>
      <c r="G4" s="153"/>
      <c r="H4" s="153"/>
      <c r="I4" s="153"/>
      <c r="J4" s="153"/>
      <c r="K4" s="153"/>
      <c r="L4" s="212"/>
    </row>
    <row r="5" spans="2:13" s="8" customFormat="1" ht="18.75" customHeight="1" x14ac:dyDescent="0.3">
      <c r="B5" s="175"/>
      <c r="C5" s="173" t="str">
        <f>geg!G10</f>
        <v>Basisschool</v>
      </c>
      <c r="D5" s="195"/>
      <c r="E5" s="40"/>
      <c r="F5" s="40"/>
      <c r="G5" s="40"/>
      <c r="H5" s="40"/>
      <c r="I5" s="40"/>
      <c r="J5" s="40"/>
      <c r="K5" s="40"/>
      <c r="L5" s="42"/>
    </row>
    <row r="6" spans="2:13" s="8" customFormat="1" x14ac:dyDescent="0.2">
      <c r="B6" s="175"/>
      <c r="C6" s="40"/>
      <c r="D6" s="195"/>
      <c r="E6" s="40"/>
      <c r="F6" s="54"/>
      <c r="G6" s="54"/>
      <c r="H6" s="54"/>
      <c r="I6" s="448"/>
      <c r="J6" s="448"/>
      <c r="K6" s="40"/>
      <c r="L6" s="42"/>
    </row>
    <row r="7" spans="2:13" s="8" customFormat="1" x14ac:dyDescent="0.2">
      <c r="B7" s="175"/>
      <c r="C7" s="40"/>
      <c r="D7" s="195"/>
      <c r="E7" s="40"/>
      <c r="F7" s="54"/>
      <c r="G7" s="54"/>
      <c r="H7" s="54"/>
      <c r="I7" s="448"/>
      <c r="J7" s="448"/>
      <c r="K7" s="40"/>
      <c r="L7" s="42"/>
    </row>
    <row r="8" spans="2:13" s="165" customFormat="1" x14ac:dyDescent="0.2">
      <c r="B8" s="210"/>
      <c r="C8" s="153"/>
      <c r="D8" s="877"/>
      <c r="E8" s="140"/>
      <c r="F8" s="742">
        <f>geg!H17</f>
        <v>2016</v>
      </c>
      <c r="G8" s="742">
        <f>geg!I17</f>
        <v>2017</v>
      </c>
      <c r="H8" s="742">
        <f>G8+1</f>
        <v>2018</v>
      </c>
      <c r="I8" s="742">
        <f>H8+1</f>
        <v>2019</v>
      </c>
      <c r="J8" s="742">
        <f>I8+1</f>
        <v>2020</v>
      </c>
      <c r="K8" s="553"/>
      <c r="L8" s="554"/>
      <c r="M8" s="555"/>
    </row>
    <row r="9" spans="2:13" x14ac:dyDescent="0.2">
      <c r="B9" s="34"/>
      <c r="C9" s="35"/>
      <c r="D9" s="195"/>
      <c r="E9" s="391"/>
      <c r="F9" s="35"/>
      <c r="G9" s="35"/>
      <c r="H9" s="35"/>
      <c r="I9" s="35"/>
      <c r="J9" s="35"/>
      <c r="K9" s="449"/>
      <c r="L9" s="450"/>
      <c r="M9" s="551"/>
    </row>
    <row r="10" spans="2:13" x14ac:dyDescent="0.2">
      <c r="B10" s="34"/>
      <c r="C10" s="86"/>
      <c r="D10" s="397"/>
      <c r="E10" s="542"/>
      <c r="F10" s="87"/>
      <c r="G10" s="87"/>
      <c r="H10" s="87"/>
      <c r="I10" s="87"/>
      <c r="J10" s="87"/>
      <c r="K10" s="543"/>
      <c r="L10" s="450"/>
      <c r="M10" s="551"/>
    </row>
    <row r="11" spans="2:13" s="165" customFormat="1" x14ac:dyDescent="0.2">
      <c r="B11" s="210"/>
      <c r="C11" s="225"/>
      <c r="D11" s="743" t="s">
        <v>391</v>
      </c>
      <c r="E11" s="556"/>
      <c r="F11" s="142"/>
      <c r="G11" s="142"/>
      <c r="H11" s="142"/>
      <c r="I11" s="142"/>
      <c r="J11" s="142"/>
      <c r="K11" s="557"/>
      <c r="L11" s="554"/>
      <c r="M11" s="555"/>
    </row>
    <row r="12" spans="2:13" x14ac:dyDescent="0.2">
      <c r="B12" s="34"/>
      <c r="C12" s="91"/>
      <c r="D12" s="205"/>
      <c r="E12" s="295"/>
      <c r="F12" s="92"/>
      <c r="G12" s="92"/>
      <c r="H12" s="92"/>
      <c r="I12" s="92"/>
      <c r="J12" s="92"/>
      <c r="K12" s="544"/>
      <c r="L12" s="450"/>
      <c r="M12" s="551"/>
    </row>
    <row r="13" spans="2:13" x14ac:dyDescent="0.2">
      <c r="B13" s="451"/>
      <c r="C13" s="545"/>
      <c r="D13" s="117" t="s">
        <v>359</v>
      </c>
      <c r="E13" s="92"/>
      <c r="F13" s="92"/>
      <c r="G13" s="92"/>
      <c r="H13" s="92"/>
      <c r="I13" s="92"/>
      <c r="J13" s="92"/>
      <c r="K13" s="98"/>
      <c r="L13" s="37"/>
    </row>
    <row r="14" spans="2:13" x14ac:dyDescent="0.2">
      <c r="B14" s="34"/>
      <c r="C14" s="91"/>
      <c r="D14" s="160" t="s">
        <v>405</v>
      </c>
      <c r="E14" s="92"/>
      <c r="F14" s="552">
        <v>0</v>
      </c>
      <c r="G14" s="858">
        <f>pers!I114+persbel!I112+mat!I51</f>
        <v>552325.15776666673</v>
      </c>
      <c r="H14" s="858">
        <f>pers!J114+persbel!J112+mat!J51</f>
        <v>511276.2675999999</v>
      </c>
      <c r="I14" s="858">
        <f>pers!K114+persbel!K112+mat!K51</f>
        <v>511276.2675999999</v>
      </c>
      <c r="J14" s="858">
        <f>pers!L114+persbel!L112+mat!L51</f>
        <v>511276.2675999999</v>
      </c>
      <c r="K14" s="98"/>
      <c r="L14" s="37"/>
    </row>
    <row r="15" spans="2:13" ht="12" customHeight="1" x14ac:dyDescent="0.2">
      <c r="B15" s="34"/>
      <c r="C15" s="91"/>
      <c r="D15" s="160" t="s">
        <v>406</v>
      </c>
      <c r="E15" s="92"/>
      <c r="F15" s="552">
        <v>0</v>
      </c>
      <c r="G15" s="889">
        <f>pers!I115+persbel!I113+mat!I63</f>
        <v>0</v>
      </c>
      <c r="H15" s="889">
        <f>pers!J115+persbel!J113+mat!J63</f>
        <v>0</v>
      </c>
      <c r="I15" s="889">
        <f>pers!K115+persbel!K113+mat!K63</f>
        <v>0</v>
      </c>
      <c r="J15" s="889">
        <f>pers!L115+persbel!L113+mat!L63</f>
        <v>0</v>
      </c>
      <c r="K15" s="98"/>
      <c r="L15" s="37"/>
    </row>
    <row r="16" spans="2:13" ht="12" customHeight="1" x14ac:dyDescent="0.2">
      <c r="B16" s="34"/>
      <c r="C16" s="91"/>
      <c r="D16" s="160" t="s">
        <v>407</v>
      </c>
      <c r="E16" s="92"/>
      <c r="F16" s="552">
        <v>0</v>
      </c>
      <c r="G16" s="889">
        <v>0</v>
      </c>
      <c r="H16" s="889">
        <v>0</v>
      </c>
      <c r="I16" s="889">
        <v>0</v>
      </c>
      <c r="J16" s="889">
        <v>0</v>
      </c>
      <c r="K16" s="98"/>
      <c r="L16" s="37"/>
    </row>
    <row r="17" spans="2:12" ht="12" customHeight="1" x14ac:dyDescent="0.2">
      <c r="B17" s="34"/>
      <c r="C17" s="91"/>
      <c r="D17" s="160" t="s">
        <v>408</v>
      </c>
      <c r="E17" s="92"/>
      <c r="F17" s="552">
        <v>0</v>
      </c>
      <c r="G17" s="889">
        <f>pers!I116+persbel!I114+mat!I69</f>
        <v>0</v>
      </c>
      <c r="H17" s="889">
        <f>pers!J116+persbel!J114+mat!J69</f>
        <v>0</v>
      </c>
      <c r="I17" s="889">
        <f>pers!K116+persbel!K114+mat!K69</f>
        <v>0</v>
      </c>
      <c r="J17" s="889">
        <f>pers!L116+persbel!L114+mat!L69</f>
        <v>0</v>
      </c>
      <c r="K17" s="98"/>
      <c r="L17" s="37"/>
    </row>
    <row r="18" spans="2:12" ht="12" customHeight="1" x14ac:dyDescent="0.2">
      <c r="B18" s="34"/>
      <c r="C18" s="91"/>
      <c r="D18" s="160" t="s">
        <v>409</v>
      </c>
      <c r="E18" s="92"/>
      <c r="F18" s="552">
        <v>0</v>
      </c>
      <c r="G18" s="858">
        <f>pers!I119+persbel!I117+(mat!I79-mat!I69)</f>
        <v>0</v>
      </c>
      <c r="H18" s="858">
        <f>pers!J119+persbel!J117+(mat!J79-mat!J69)</f>
        <v>0</v>
      </c>
      <c r="I18" s="858">
        <f>pers!K119+persbel!K117+(mat!K79-mat!K69)</f>
        <v>0</v>
      </c>
      <c r="J18" s="858">
        <f>pers!L119+persbel!L117+(mat!L79-mat!L69)</f>
        <v>0</v>
      </c>
      <c r="K18" s="98"/>
      <c r="L18" s="37"/>
    </row>
    <row r="19" spans="2:12" x14ac:dyDescent="0.2">
      <c r="B19" s="34"/>
      <c r="C19" s="91"/>
      <c r="D19" s="191"/>
      <c r="E19" s="116"/>
      <c r="F19" s="920">
        <f t="shared" ref="F19:J19" si="0">SUM(F14:F18)</f>
        <v>0</v>
      </c>
      <c r="G19" s="920">
        <f t="shared" si="0"/>
        <v>552325.15776666673</v>
      </c>
      <c r="H19" s="920">
        <f t="shared" si="0"/>
        <v>511276.2675999999</v>
      </c>
      <c r="I19" s="920">
        <f t="shared" si="0"/>
        <v>511276.2675999999</v>
      </c>
      <c r="J19" s="920">
        <f t="shared" si="0"/>
        <v>511276.2675999999</v>
      </c>
      <c r="K19" s="98"/>
      <c r="L19" s="37"/>
    </row>
    <row r="20" spans="2:12" x14ac:dyDescent="0.2">
      <c r="B20" s="451"/>
      <c r="C20" s="545"/>
      <c r="D20" s="117" t="s">
        <v>360</v>
      </c>
      <c r="E20" s="116"/>
      <c r="F20" s="546"/>
      <c r="G20" s="546"/>
      <c r="H20" s="546"/>
      <c r="I20" s="546"/>
      <c r="J20" s="546"/>
      <c r="K20" s="98"/>
      <c r="L20" s="37"/>
    </row>
    <row r="21" spans="2:12" hidden="1" x14ac:dyDescent="0.2">
      <c r="B21" s="34"/>
      <c r="C21" s="91"/>
      <c r="D21" s="108" t="s">
        <v>74</v>
      </c>
      <c r="E21" s="117"/>
      <c r="F21" s="608">
        <f>pers!H121</f>
        <v>0</v>
      </c>
      <c r="G21" s="608">
        <f>pers!I121</f>
        <v>61000</v>
      </c>
      <c r="H21" s="608">
        <f>pers!J121</f>
        <v>61000</v>
      </c>
      <c r="I21" s="608">
        <f>pers!K121</f>
        <v>61000</v>
      </c>
      <c r="J21" s="608">
        <f>pers!L121</f>
        <v>61000</v>
      </c>
      <c r="K21" s="98"/>
      <c r="L21" s="37"/>
    </row>
    <row r="22" spans="2:12" hidden="1" x14ac:dyDescent="0.2">
      <c r="B22" s="34"/>
      <c r="C22" s="91"/>
      <c r="D22" s="506" t="s">
        <v>232</v>
      </c>
      <c r="E22" s="117"/>
      <c r="F22" s="608">
        <f>persbel!H119</f>
        <v>0</v>
      </c>
      <c r="G22" s="608">
        <f>persbel!I119</f>
        <v>0</v>
      </c>
      <c r="H22" s="608">
        <f>persbel!J119</f>
        <v>0</v>
      </c>
      <c r="I22" s="608">
        <f>persbel!K119</f>
        <v>0</v>
      </c>
      <c r="J22" s="608">
        <f>persbel!L119</f>
        <v>0</v>
      </c>
      <c r="K22" s="98"/>
      <c r="L22" s="37"/>
    </row>
    <row r="23" spans="2:12" x14ac:dyDescent="0.2">
      <c r="B23" s="34"/>
      <c r="C23" s="91"/>
      <c r="D23" s="609" t="s">
        <v>410</v>
      </c>
      <c r="E23" s="117"/>
      <c r="F23" s="552">
        <v>0</v>
      </c>
      <c r="G23" s="889">
        <f>G21+G22</f>
        <v>61000</v>
      </c>
      <c r="H23" s="889">
        <f>H21+H22</f>
        <v>61000</v>
      </c>
      <c r="I23" s="889">
        <f>I21+I22</f>
        <v>61000</v>
      </c>
      <c r="J23" s="889">
        <f>J21+J22</f>
        <v>61000</v>
      </c>
      <c r="K23" s="98"/>
      <c r="L23" s="37"/>
    </row>
    <row r="24" spans="2:12" x14ac:dyDescent="0.2">
      <c r="B24" s="34"/>
      <c r="C24" s="91"/>
      <c r="D24" s="205" t="s">
        <v>411</v>
      </c>
      <c r="E24" s="92"/>
      <c r="F24" s="889">
        <f>act!F50</f>
        <v>0</v>
      </c>
      <c r="G24" s="889">
        <f>act!G50</f>
        <v>0</v>
      </c>
      <c r="H24" s="889">
        <f>act!H50</f>
        <v>0</v>
      </c>
      <c r="I24" s="889">
        <f>act!I50</f>
        <v>0</v>
      </c>
      <c r="J24" s="889">
        <f>act!J50</f>
        <v>0</v>
      </c>
      <c r="K24" s="98"/>
      <c r="L24" s="37"/>
    </row>
    <row r="25" spans="2:12" x14ac:dyDescent="0.2">
      <c r="B25" s="34"/>
      <c r="C25" s="91"/>
      <c r="D25" s="205" t="s">
        <v>412</v>
      </c>
      <c r="E25" s="92"/>
      <c r="F25" s="889">
        <f>mat!H125</f>
        <v>0</v>
      </c>
      <c r="G25" s="889">
        <f>mat!I125</f>
        <v>0</v>
      </c>
      <c r="H25" s="889">
        <f>mat!J125</f>
        <v>0</v>
      </c>
      <c r="I25" s="889">
        <f>mat!K125</f>
        <v>0</v>
      </c>
      <c r="J25" s="889">
        <f>mat!L125</f>
        <v>0</v>
      </c>
      <c r="K25" s="98"/>
      <c r="L25" s="37"/>
    </row>
    <row r="26" spans="2:12" x14ac:dyDescent="0.2">
      <c r="B26" s="34"/>
      <c r="C26" s="91"/>
      <c r="D26" s="205" t="s">
        <v>413</v>
      </c>
      <c r="E26" s="92"/>
      <c r="F26" s="858">
        <f>mat!H167</f>
        <v>0</v>
      </c>
      <c r="G26" s="858">
        <f>mat!I167</f>
        <v>0</v>
      </c>
      <c r="H26" s="858">
        <f>mat!J167</f>
        <v>0</v>
      </c>
      <c r="I26" s="858">
        <f>mat!K167</f>
        <v>0</v>
      </c>
      <c r="J26" s="858">
        <f>mat!L167</f>
        <v>0</v>
      </c>
      <c r="K26" s="98"/>
      <c r="L26" s="37"/>
    </row>
    <row r="27" spans="2:12" x14ac:dyDescent="0.2">
      <c r="B27" s="34"/>
      <c r="C27" s="91"/>
      <c r="D27" s="191"/>
      <c r="E27" s="92"/>
      <c r="F27" s="898">
        <f t="shared" ref="F27:J27" si="1">SUM(F23:F26)</f>
        <v>0</v>
      </c>
      <c r="G27" s="898">
        <f t="shared" si="1"/>
        <v>61000</v>
      </c>
      <c r="H27" s="898">
        <f t="shared" si="1"/>
        <v>61000</v>
      </c>
      <c r="I27" s="898">
        <f t="shared" si="1"/>
        <v>61000</v>
      </c>
      <c r="J27" s="898">
        <f t="shared" si="1"/>
        <v>61000</v>
      </c>
      <c r="K27" s="98"/>
      <c r="L27" s="37"/>
    </row>
    <row r="28" spans="2:12" x14ac:dyDescent="0.2">
      <c r="B28" s="34"/>
      <c r="C28" s="91"/>
      <c r="D28" s="93"/>
      <c r="E28" s="117"/>
      <c r="F28" s="333"/>
      <c r="G28" s="333"/>
      <c r="H28" s="333"/>
      <c r="I28" s="333"/>
      <c r="J28" s="333"/>
      <c r="K28" s="98"/>
      <c r="L28" s="37"/>
    </row>
    <row r="29" spans="2:12" x14ac:dyDescent="0.2">
      <c r="B29" s="34"/>
      <c r="C29" s="105"/>
      <c r="D29" s="191" t="s">
        <v>362</v>
      </c>
      <c r="E29" s="116"/>
      <c r="F29" s="894">
        <f t="shared" ref="F29:J29" si="2">F19-F27</f>
        <v>0</v>
      </c>
      <c r="G29" s="894">
        <f t="shared" si="2"/>
        <v>491325.15776666673</v>
      </c>
      <c r="H29" s="894">
        <f t="shared" si="2"/>
        <v>450276.2675999999</v>
      </c>
      <c r="I29" s="894">
        <f t="shared" si="2"/>
        <v>450276.2675999999</v>
      </c>
      <c r="J29" s="894">
        <f t="shared" si="2"/>
        <v>450276.2675999999</v>
      </c>
      <c r="K29" s="275"/>
      <c r="L29" s="37"/>
    </row>
    <row r="30" spans="2:12" x14ac:dyDescent="0.2">
      <c r="B30" s="34"/>
      <c r="C30" s="300"/>
      <c r="D30" s="117"/>
      <c r="E30" s="117"/>
      <c r="F30" s="547"/>
      <c r="G30" s="547"/>
      <c r="H30" s="547"/>
      <c r="I30" s="547"/>
      <c r="J30" s="547"/>
      <c r="K30" s="308"/>
      <c r="L30" s="37"/>
    </row>
    <row r="31" spans="2:12" x14ac:dyDescent="0.2">
      <c r="B31" s="34"/>
      <c r="C31" s="35"/>
      <c r="D31" s="195"/>
      <c r="E31" s="35"/>
      <c r="F31" s="35"/>
      <c r="G31" s="35"/>
      <c r="H31" s="35"/>
      <c r="I31" s="453"/>
      <c r="J31" s="35"/>
      <c r="K31" s="391"/>
      <c r="L31" s="37"/>
    </row>
    <row r="32" spans="2:12" x14ac:dyDescent="0.2">
      <c r="B32" s="34"/>
      <c r="C32" s="91"/>
      <c r="D32" s="160"/>
      <c r="E32" s="117"/>
      <c r="F32" s="333"/>
      <c r="G32" s="333"/>
      <c r="H32" s="333"/>
      <c r="I32" s="333"/>
      <c r="J32" s="333"/>
      <c r="K32" s="98"/>
      <c r="L32" s="37"/>
    </row>
    <row r="33" spans="2:12" s="165" customFormat="1" x14ac:dyDescent="0.2">
      <c r="B33" s="210"/>
      <c r="C33" s="225"/>
      <c r="D33" s="797" t="s">
        <v>353</v>
      </c>
      <c r="E33" s="216"/>
      <c r="F33" s="558"/>
      <c r="G33" s="558"/>
      <c r="H33" s="558"/>
      <c r="I33" s="558"/>
      <c r="J33" s="558"/>
      <c r="K33" s="228"/>
      <c r="L33" s="212"/>
    </row>
    <row r="34" spans="2:12" x14ac:dyDescent="0.2">
      <c r="B34" s="34"/>
      <c r="C34" s="91"/>
      <c r="D34" s="108"/>
      <c r="E34" s="117"/>
      <c r="F34" s="333"/>
      <c r="G34" s="333"/>
      <c r="H34" s="333"/>
      <c r="I34" s="333"/>
      <c r="J34" s="333"/>
      <c r="K34" s="98"/>
      <c r="L34" s="37"/>
    </row>
    <row r="35" spans="2:12" x14ac:dyDescent="0.2">
      <c r="B35" s="34"/>
      <c r="C35" s="91"/>
      <c r="D35" s="160" t="s">
        <v>414</v>
      </c>
      <c r="E35" s="117"/>
      <c r="F35" s="552">
        <v>0</v>
      </c>
      <c r="G35" s="552">
        <v>0</v>
      </c>
      <c r="H35" s="552">
        <v>0</v>
      </c>
      <c r="I35" s="552">
        <v>0</v>
      </c>
      <c r="J35" s="552">
        <v>0</v>
      </c>
      <c r="K35" s="98"/>
      <c r="L35" s="37"/>
    </row>
    <row r="36" spans="2:12" x14ac:dyDescent="0.2">
      <c r="B36" s="34"/>
      <c r="C36" s="91"/>
      <c r="D36" s="160" t="s">
        <v>415</v>
      </c>
      <c r="E36" s="117"/>
      <c r="F36" s="552">
        <v>0</v>
      </c>
      <c r="G36" s="552">
        <v>0</v>
      </c>
      <c r="H36" s="552">
        <v>0</v>
      </c>
      <c r="I36" s="552">
        <v>0</v>
      </c>
      <c r="J36" s="552">
        <v>0</v>
      </c>
      <c r="K36" s="98"/>
      <c r="L36" s="37"/>
    </row>
    <row r="37" spans="2:12" x14ac:dyDescent="0.2">
      <c r="B37" s="34"/>
      <c r="C37" s="91"/>
      <c r="D37" s="93"/>
      <c r="E37" s="117"/>
      <c r="F37" s="333"/>
      <c r="G37" s="333"/>
      <c r="H37" s="333"/>
      <c r="I37" s="333"/>
      <c r="J37" s="333"/>
      <c r="K37" s="98"/>
      <c r="L37" s="37"/>
    </row>
    <row r="38" spans="2:12" x14ac:dyDescent="0.2">
      <c r="B38" s="34"/>
      <c r="C38" s="91"/>
      <c r="D38" s="191" t="s">
        <v>26</v>
      </c>
      <c r="E38" s="92"/>
      <c r="F38" s="894">
        <f t="shared" ref="F38:J38" si="3">F35-F36</f>
        <v>0</v>
      </c>
      <c r="G38" s="894">
        <f t="shared" si="3"/>
        <v>0</v>
      </c>
      <c r="H38" s="894">
        <f t="shared" si="3"/>
        <v>0</v>
      </c>
      <c r="I38" s="894">
        <f t="shared" si="3"/>
        <v>0</v>
      </c>
      <c r="J38" s="894">
        <f t="shared" si="3"/>
        <v>0</v>
      </c>
      <c r="K38" s="98"/>
      <c r="L38" s="37"/>
    </row>
    <row r="39" spans="2:12" x14ac:dyDescent="0.2">
      <c r="B39" s="34"/>
      <c r="C39" s="91"/>
      <c r="D39" s="93"/>
      <c r="E39" s="117"/>
      <c r="F39" s="333"/>
      <c r="G39" s="333"/>
      <c r="H39" s="333"/>
      <c r="I39" s="333"/>
      <c r="J39" s="333"/>
      <c r="K39" s="98"/>
      <c r="L39" s="37"/>
    </row>
    <row r="40" spans="2:12" x14ac:dyDescent="0.2">
      <c r="B40" s="34"/>
      <c r="C40" s="35"/>
      <c r="D40" s="195"/>
      <c r="E40" s="35"/>
      <c r="F40" s="35"/>
      <c r="G40" s="35"/>
      <c r="H40" s="35"/>
      <c r="I40" s="453"/>
      <c r="J40" s="35"/>
      <c r="K40" s="391"/>
      <c r="L40" s="37"/>
    </row>
    <row r="41" spans="2:12" x14ac:dyDescent="0.2">
      <c r="B41" s="34"/>
      <c r="C41" s="91"/>
      <c r="D41" s="93"/>
      <c r="E41" s="117"/>
      <c r="F41" s="333"/>
      <c r="G41" s="333"/>
      <c r="H41" s="333"/>
      <c r="I41" s="333"/>
      <c r="J41" s="333"/>
      <c r="K41" s="98"/>
      <c r="L41" s="37"/>
    </row>
    <row r="42" spans="2:12" s="19" customFormat="1" ht="12" customHeight="1" x14ac:dyDescent="0.2">
      <c r="B42" s="58"/>
      <c r="C42" s="105"/>
      <c r="D42" s="797" t="s">
        <v>361</v>
      </c>
      <c r="E42" s="116"/>
      <c r="F42" s="894">
        <f t="shared" ref="F42:J42" si="4">F29+F38</f>
        <v>0</v>
      </c>
      <c r="G42" s="894">
        <f t="shared" si="4"/>
        <v>491325.15776666673</v>
      </c>
      <c r="H42" s="894">
        <f t="shared" si="4"/>
        <v>450276.2675999999</v>
      </c>
      <c r="I42" s="894">
        <f t="shared" si="4"/>
        <v>450276.2675999999</v>
      </c>
      <c r="J42" s="894">
        <f t="shared" si="4"/>
        <v>450276.2675999999</v>
      </c>
      <c r="K42" s="275"/>
      <c r="L42" s="178"/>
    </row>
    <row r="43" spans="2:12" x14ac:dyDescent="0.2">
      <c r="B43" s="34"/>
      <c r="C43" s="300"/>
      <c r="D43" s="117"/>
      <c r="E43" s="117"/>
      <c r="F43" s="547"/>
      <c r="G43" s="547"/>
      <c r="H43" s="547"/>
      <c r="I43" s="547"/>
      <c r="J43" s="547"/>
      <c r="K43" s="308"/>
      <c r="L43" s="37"/>
    </row>
    <row r="44" spans="2:12" x14ac:dyDescent="0.2">
      <c r="B44" s="34"/>
      <c r="C44" s="35"/>
      <c r="D44" s="195"/>
      <c r="E44" s="35"/>
      <c r="F44" s="35"/>
      <c r="G44" s="35"/>
      <c r="H44" s="35"/>
      <c r="I44" s="453"/>
      <c r="J44" s="35"/>
      <c r="K44" s="391"/>
      <c r="L44" s="37"/>
    </row>
    <row r="45" spans="2:12" x14ac:dyDescent="0.2">
      <c r="B45" s="34"/>
      <c r="C45" s="35"/>
      <c r="D45" s="195"/>
      <c r="E45" s="35"/>
      <c r="F45" s="35"/>
      <c r="G45" s="35"/>
      <c r="H45" s="35"/>
      <c r="I45" s="453"/>
      <c r="J45" s="35"/>
      <c r="K45" s="391"/>
      <c r="L45" s="37"/>
    </row>
    <row r="46" spans="2:12" x14ac:dyDescent="0.2">
      <c r="B46" s="34"/>
      <c r="C46" s="91"/>
      <c r="D46" s="205"/>
      <c r="E46" s="92"/>
      <c r="F46" s="514"/>
      <c r="G46" s="514"/>
      <c r="H46" s="514"/>
      <c r="I46" s="514"/>
      <c r="J46" s="514"/>
      <c r="K46" s="548"/>
      <c r="L46" s="37"/>
    </row>
    <row r="47" spans="2:12" s="165" customFormat="1" x14ac:dyDescent="0.2">
      <c r="B47" s="210"/>
      <c r="C47" s="225"/>
      <c r="D47" s="743" t="s">
        <v>70</v>
      </c>
      <c r="E47" s="142"/>
      <c r="F47" s="559"/>
      <c r="G47" s="559"/>
      <c r="H47" s="559"/>
      <c r="I47" s="559"/>
      <c r="J47" s="559"/>
      <c r="K47" s="560"/>
      <c r="L47" s="212"/>
    </row>
    <row r="48" spans="2:12" x14ac:dyDescent="0.2">
      <c r="B48" s="34"/>
      <c r="C48" s="91"/>
      <c r="D48" s="205"/>
      <c r="E48" s="92"/>
      <c r="F48" s="514"/>
      <c r="G48" s="514"/>
      <c r="H48" s="514"/>
      <c r="I48" s="514"/>
      <c r="J48" s="514"/>
      <c r="K48" s="548"/>
      <c r="L48" s="37"/>
    </row>
    <row r="49" spans="2:12" x14ac:dyDescent="0.2">
      <c r="B49" s="34"/>
      <c r="C49" s="91"/>
      <c r="D49" s="205" t="s">
        <v>270</v>
      </c>
      <c r="E49" s="92"/>
      <c r="F49" s="559"/>
      <c r="G49" s="888">
        <f>pers!I120</f>
        <v>0</v>
      </c>
      <c r="H49" s="888">
        <f>pers!J120</f>
        <v>0</v>
      </c>
      <c r="I49" s="888">
        <f>pers!K120</f>
        <v>0</v>
      </c>
      <c r="J49" s="888">
        <f>pers!L120</f>
        <v>0</v>
      </c>
      <c r="K49" s="548"/>
      <c r="L49" s="37"/>
    </row>
    <row r="50" spans="2:12" x14ac:dyDescent="0.2">
      <c r="B50" s="34"/>
      <c r="C50" s="91"/>
      <c r="D50" s="205" t="s">
        <v>49</v>
      </c>
      <c r="E50" s="92"/>
      <c r="F50" s="559"/>
      <c r="G50" s="888">
        <f>persbel!I118</f>
        <v>0</v>
      </c>
      <c r="H50" s="888">
        <f>persbel!J118</f>
        <v>0</v>
      </c>
      <c r="I50" s="888">
        <f>persbel!K118</f>
        <v>0</v>
      </c>
      <c r="J50" s="888">
        <f>persbel!L118</f>
        <v>0</v>
      </c>
      <c r="K50" s="548"/>
      <c r="L50" s="37"/>
    </row>
    <row r="51" spans="2:12" x14ac:dyDescent="0.2">
      <c r="B51" s="34"/>
      <c r="C51" s="91"/>
      <c r="D51" s="205" t="s">
        <v>271</v>
      </c>
      <c r="E51" s="92"/>
      <c r="F51" s="559"/>
      <c r="G51" s="888">
        <f>mat!I48</f>
        <v>0</v>
      </c>
      <c r="H51" s="888">
        <f>mat!J48</f>
        <v>0</v>
      </c>
      <c r="I51" s="888">
        <f>mat!K48</f>
        <v>0</v>
      </c>
      <c r="J51" s="888">
        <f>mat!L48</f>
        <v>0</v>
      </c>
      <c r="K51" s="548"/>
      <c r="L51" s="37"/>
    </row>
    <row r="52" spans="2:12" x14ac:dyDescent="0.2">
      <c r="B52" s="34"/>
      <c r="C52" s="91"/>
      <c r="D52" s="606"/>
      <c r="E52" s="92"/>
      <c r="F52" s="559"/>
      <c r="G52" s="894">
        <f>SUM(G49:G51)</f>
        <v>0</v>
      </c>
      <c r="H52" s="894">
        <f>SUM(H49:H51)</f>
        <v>0</v>
      </c>
      <c r="I52" s="894">
        <f>SUM(I49:I51)</f>
        <v>0</v>
      </c>
      <c r="J52" s="894">
        <f>SUM(J49:J51)</f>
        <v>0</v>
      </c>
      <c r="K52" s="548"/>
      <c r="L52" s="37"/>
    </row>
    <row r="53" spans="2:12" x14ac:dyDescent="0.2">
      <c r="B53" s="34"/>
      <c r="C53" s="124"/>
      <c r="D53" s="409"/>
      <c r="E53" s="125"/>
      <c r="F53" s="549"/>
      <c r="G53" s="549"/>
      <c r="H53" s="549"/>
      <c r="I53" s="549"/>
      <c r="J53" s="549"/>
      <c r="K53" s="550"/>
      <c r="L53" s="37"/>
    </row>
    <row r="54" spans="2:12" x14ac:dyDescent="0.2">
      <c r="B54" s="34"/>
      <c r="C54" s="35"/>
      <c r="D54" s="195"/>
      <c r="E54" s="35"/>
      <c r="F54" s="35"/>
      <c r="G54" s="35"/>
      <c r="H54" s="453"/>
      <c r="I54" s="35"/>
      <c r="J54" s="35"/>
      <c r="K54" s="35"/>
      <c r="L54" s="37"/>
    </row>
    <row r="55" spans="2:12" ht="15" x14ac:dyDescent="0.25">
      <c r="B55" s="68"/>
      <c r="C55" s="69"/>
      <c r="D55" s="200"/>
      <c r="E55" s="69"/>
      <c r="F55" s="69"/>
      <c r="G55" s="69"/>
      <c r="H55" s="454"/>
      <c r="I55" s="69"/>
      <c r="J55" s="69"/>
      <c r="K55" s="72" t="s">
        <v>388</v>
      </c>
      <c r="L55" s="85"/>
    </row>
    <row r="56" spans="2:12" x14ac:dyDescent="0.2">
      <c r="H56" s="541"/>
    </row>
    <row r="57" spans="2:12" x14ac:dyDescent="0.2">
      <c r="H57" s="541"/>
    </row>
    <row r="58" spans="2:12" x14ac:dyDescent="0.2">
      <c r="H58" s="541"/>
    </row>
    <row r="59" spans="2:12" x14ac:dyDescent="0.2">
      <c r="H59" s="541"/>
    </row>
    <row r="60" spans="2:12" x14ac:dyDescent="0.2">
      <c r="H60" s="541"/>
    </row>
    <row r="61" spans="2:12" x14ac:dyDescent="0.2">
      <c r="C61" s="953"/>
      <c r="D61" s="882"/>
      <c r="E61" s="811"/>
      <c r="F61" s="811" t="str">
        <f>tab!E2</f>
        <v>2016/17</v>
      </c>
      <c r="G61" s="811" t="str">
        <f>tab!F2</f>
        <v>2017/18</v>
      </c>
      <c r="H61" s="811" t="str">
        <f>tab!G2</f>
        <v>2018/19</v>
      </c>
      <c r="I61" s="811" t="str">
        <f>tab!H2</f>
        <v>2019/20</v>
      </c>
      <c r="J61" s="811" t="str">
        <f>tab!I2</f>
        <v>2020/21</v>
      </c>
    </row>
    <row r="62" spans="2:12" x14ac:dyDescent="0.2">
      <c r="C62" s="809" t="s">
        <v>87</v>
      </c>
      <c r="D62" s="851"/>
      <c r="E62" s="809"/>
      <c r="F62" s="883"/>
      <c r="G62" s="883"/>
      <c r="H62" s="883"/>
      <c r="I62" s="883"/>
      <c r="J62" s="749"/>
    </row>
    <row r="63" spans="2:12" x14ac:dyDescent="0.2">
      <c r="C63" s="884" t="s">
        <v>234</v>
      </c>
      <c r="D63" s="851"/>
      <c r="E63" s="809"/>
      <c r="F63" s="883">
        <f>pers!H56+persbel!H43+mat!H187</f>
        <v>587613.17693333339</v>
      </c>
      <c r="G63" s="883">
        <f>pers!I56+persbel!I43+mat!I187</f>
        <v>511276.2675999999</v>
      </c>
      <c r="H63" s="883">
        <f>pers!J56+persbel!J43+mat!J187</f>
        <v>511276.2675999999</v>
      </c>
      <c r="I63" s="883">
        <f>pers!K56+persbel!K43+mat!K187</f>
        <v>511276.2675999999</v>
      </c>
      <c r="J63" s="883">
        <f>pers!L56+persbel!L43+mat!L187</f>
        <v>511276.2675999999</v>
      </c>
    </row>
    <row r="64" spans="2:12" x14ac:dyDescent="0.2">
      <c r="C64" s="884" t="s">
        <v>356</v>
      </c>
      <c r="D64" s="851"/>
      <c r="E64" s="809"/>
      <c r="F64" s="883">
        <f>pers!H68+persbel!H53+mat!H188</f>
        <v>0</v>
      </c>
      <c r="G64" s="883">
        <f>pers!I68+persbel!I53+mat!I188</f>
        <v>0</v>
      </c>
      <c r="H64" s="883">
        <f>pers!J68+persbel!J53+mat!J188</f>
        <v>0</v>
      </c>
      <c r="I64" s="883">
        <f>pers!K68+persbel!K53+mat!K188</f>
        <v>0</v>
      </c>
      <c r="J64" s="883">
        <f>pers!L68+persbel!L53+mat!L188</f>
        <v>0</v>
      </c>
    </row>
    <row r="65" spans="3:10" x14ac:dyDescent="0.2">
      <c r="C65" s="884" t="s">
        <v>358</v>
      </c>
      <c r="D65" s="851"/>
      <c r="E65" s="809"/>
      <c r="F65" s="883">
        <f>pers!H74+persbel!H59+mat!H190</f>
        <v>0</v>
      </c>
      <c r="G65" s="883">
        <f>pers!I74+persbel!I59+mat!I190</f>
        <v>0</v>
      </c>
      <c r="H65" s="883">
        <f>pers!J74+persbel!J59+mat!J190</f>
        <v>0</v>
      </c>
      <c r="I65" s="883">
        <f>pers!K74+persbel!K59+mat!K190</f>
        <v>0</v>
      </c>
      <c r="J65" s="883">
        <f>pers!L74+persbel!L59+mat!L190</f>
        <v>0</v>
      </c>
    </row>
    <row r="66" spans="3:10" x14ac:dyDescent="0.2">
      <c r="C66" s="884" t="s">
        <v>235</v>
      </c>
      <c r="D66" s="851"/>
      <c r="E66" s="809"/>
      <c r="F66" s="883">
        <f>pers!H82-pers!H74+persbel!H65-persbel!H59+mat!H191</f>
        <v>0</v>
      </c>
      <c r="G66" s="883">
        <f>pers!I82-pers!I74+persbel!I65-persbel!I59+mat!I191</f>
        <v>0</v>
      </c>
      <c r="H66" s="883">
        <f>pers!J82-pers!J74+persbel!J65-persbel!J59+mat!J191</f>
        <v>0</v>
      </c>
      <c r="I66" s="883">
        <f>pers!K82-pers!K74+persbel!K65-persbel!K59+mat!K191</f>
        <v>0</v>
      </c>
      <c r="J66" s="883">
        <f>pers!L82-pers!L74+persbel!L65-persbel!L59+mat!L191</f>
        <v>0</v>
      </c>
    </row>
    <row r="67" spans="3:10" x14ac:dyDescent="0.2">
      <c r="C67" s="847" t="s">
        <v>145</v>
      </c>
      <c r="D67" s="851"/>
      <c r="E67" s="809"/>
      <c r="F67" s="885">
        <f>SUM(F63:F66)</f>
        <v>587613.17693333339</v>
      </c>
      <c r="G67" s="885">
        <f>SUM(G63:G66)</f>
        <v>511276.2675999999</v>
      </c>
      <c r="H67" s="885">
        <f>SUM(H63:H66)</f>
        <v>511276.2675999999</v>
      </c>
      <c r="I67" s="885">
        <f>SUM(I63:I66)</f>
        <v>511276.2675999999</v>
      </c>
      <c r="J67" s="885">
        <f>SUM(J63:J66)</f>
        <v>511276.2675999999</v>
      </c>
    </row>
    <row r="68" spans="3:10" x14ac:dyDescent="0.2">
      <c r="C68" s="886"/>
      <c r="D68" s="851"/>
      <c r="E68" s="809"/>
      <c r="F68" s="883"/>
      <c r="G68" s="883"/>
      <c r="H68" s="883"/>
      <c r="I68" s="883"/>
      <c r="J68" s="749"/>
    </row>
    <row r="69" spans="3:10" x14ac:dyDescent="0.2">
      <c r="C69" s="809" t="s">
        <v>360</v>
      </c>
      <c r="D69" s="851"/>
      <c r="E69" s="809"/>
      <c r="F69" s="883"/>
      <c r="G69" s="883"/>
      <c r="H69" s="883"/>
      <c r="I69" s="883"/>
      <c r="J69" s="749"/>
    </row>
    <row r="70" spans="3:10" x14ac:dyDescent="0.2">
      <c r="C70" s="749" t="s">
        <v>498</v>
      </c>
      <c r="D70" s="851"/>
      <c r="E70" s="809"/>
      <c r="F70" s="883">
        <f>pers!H98+persbel!H96</f>
        <v>61000</v>
      </c>
      <c r="G70" s="883">
        <f>pers!I98+persbel!I96</f>
        <v>61000</v>
      </c>
      <c r="H70" s="883">
        <f>pers!J98+persbel!J96</f>
        <v>61000</v>
      </c>
      <c r="I70" s="883">
        <f>pers!K98+persbel!K96</f>
        <v>61000</v>
      </c>
      <c r="J70" s="883">
        <f>pers!L98+persbel!L96</f>
        <v>61000</v>
      </c>
    </row>
    <row r="71" spans="3:10" x14ac:dyDescent="0.2">
      <c r="C71" s="749" t="s">
        <v>141</v>
      </c>
      <c r="D71" s="851"/>
      <c r="E71" s="809"/>
      <c r="F71" s="883">
        <f>mat!H194</f>
        <v>0</v>
      </c>
      <c r="G71" s="883">
        <f>mat!I194</f>
        <v>0</v>
      </c>
      <c r="H71" s="883">
        <f>mat!J194</f>
        <v>0</v>
      </c>
      <c r="I71" s="883">
        <f>mat!K194</f>
        <v>0</v>
      </c>
      <c r="J71" s="883">
        <f>mat!L194</f>
        <v>0</v>
      </c>
    </row>
    <row r="72" spans="3:10" x14ac:dyDescent="0.2">
      <c r="C72" s="749" t="s">
        <v>161</v>
      </c>
      <c r="D72" s="851"/>
      <c r="E72" s="809"/>
      <c r="F72" s="883">
        <f>mat!H195</f>
        <v>0</v>
      </c>
      <c r="G72" s="883">
        <f>mat!I195</f>
        <v>0</v>
      </c>
      <c r="H72" s="883">
        <f>mat!J195</f>
        <v>0</v>
      </c>
      <c r="I72" s="883">
        <f>mat!K195</f>
        <v>0</v>
      </c>
      <c r="J72" s="883">
        <f>mat!L195</f>
        <v>0</v>
      </c>
    </row>
    <row r="73" spans="3:10" x14ac:dyDescent="0.2">
      <c r="C73" s="749" t="s">
        <v>88</v>
      </c>
      <c r="D73" s="851"/>
      <c r="E73" s="809"/>
      <c r="F73" s="883">
        <f>mat!H196</f>
        <v>0</v>
      </c>
      <c r="G73" s="883">
        <f>mat!I196</f>
        <v>0</v>
      </c>
      <c r="H73" s="883">
        <f>mat!J196</f>
        <v>0</v>
      </c>
      <c r="I73" s="883">
        <f>mat!K196</f>
        <v>0</v>
      </c>
      <c r="J73" s="883">
        <f>mat!L196</f>
        <v>0</v>
      </c>
    </row>
    <row r="74" spans="3:10" x14ac:dyDescent="0.2">
      <c r="C74" s="847" t="s">
        <v>145</v>
      </c>
      <c r="D74" s="851"/>
      <c r="E74" s="809"/>
      <c r="F74" s="885">
        <f>SUM(F71:F73)</f>
        <v>0</v>
      </c>
      <c r="G74" s="885">
        <f>SUM(G71:G73)</f>
        <v>0</v>
      </c>
      <c r="H74" s="885">
        <f>SUM(H71:H73)</f>
        <v>0</v>
      </c>
      <c r="I74" s="885">
        <f>SUM(I71:I73)</f>
        <v>0</v>
      </c>
      <c r="J74" s="885">
        <f>SUM(J71:J73)</f>
        <v>0</v>
      </c>
    </row>
    <row r="75" spans="3:10" x14ac:dyDescent="0.2">
      <c r="C75" s="887"/>
      <c r="D75" s="851"/>
      <c r="E75" s="809"/>
      <c r="F75" s="883"/>
      <c r="G75" s="883"/>
      <c r="H75" s="883"/>
      <c r="I75" s="883"/>
      <c r="J75" s="749"/>
    </row>
    <row r="76" spans="3:10" x14ac:dyDescent="0.2">
      <c r="C76" s="847" t="s">
        <v>89</v>
      </c>
      <c r="D76" s="851"/>
      <c r="E76" s="809"/>
      <c r="F76" s="885">
        <f>+F67-F74</f>
        <v>587613.17693333339</v>
      </c>
      <c r="G76" s="885">
        <f>+G67-G74</f>
        <v>511276.2675999999</v>
      </c>
      <c r="H76" s="885">
        <f>+H67-H74</f>
        <v>511276.2675999999</v>
      </c>
      <c r="I76" s="885">
        <f>+I67-I74</f>
        <v>511276.2675999999</v>
      </c>
      <c r="J76" s="885">
        <f>+J67-J74</f>
        <v>511276.2675999999</v>
      </c>
    </row>
  </sheetData>
  <sheetProtection algorithmName="SHA-512" hashValue="dYpyjXgkGw5QsvU+orA712S2UpTl0ZgHPr52AP4i1lV6RDYvkXpYzzs5tVixymtfG9r3PBeNtUIzAGb1tAvyPA==" saltValue="470gyq5exD1WudzuL2H9aw=="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verticalDpi="300" r:id="rId1"/>
  <headerFooter alignWithMargins="0">
    <oddHeader>&amp;L&amp;"Arial,Vet"&amp;F&amp;R&amp;"Arial,Vet"&amp;A</oddHeader>
    <oddFooter>&amp;L&amp;"Arial,Vet"PO-Raad&amp;C&amp;"Arial,Vet"&amp;D&amp;R&amp;"Arial,Vet"pagina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R91"/>
  <sheetViews>
    <sheetView zoomScale="85" zoomScaleNormal="85" workbookViewId="0">
      <pane ySplit="9" topLeftCell="A10" activePane="bottomLeft" state="frozen"/>
      <selection activeCell="B2" sqref="B2"/>
      <selection pane="bottomLeft" activeCell="D25" sqref="D25"/>
    </sheetView>
  </sheetViews>
  <sheetFormatPr defaultColWidth="9.140625" defaultRowHeight="12.75" x14ac:dyDescent="0.2"/>
  <cols>
    <col min="1" max="1" width="3.7109375" style="5" customWidth="1"/>
    <col min="2" max="3" width="2.7109375" style="5" customWidth="1"/>
    <col min="4" max="4" width="45.7109375" style="900" customWidth="1"/>
    <col min="5" max="5" width="2.7109375" style="5" customWidth="1"/>
    <col min="6" max="6" width="14.85546875" style="22" customWidth="1"/>
    <col min="7" max="9" width="14.85546875" style="234" customWidth="1"/>
    <col min="10" max="10" width="2.7109375" style="465" customWidth="1"/>
    <col min="11" max="11" width="2.7109375" style="5" customWidth="1"/>
    <col min="12" max="13" width="14.7109375" style="5" customWidth="1"/>
    <col min="14" max="16384" width="9.140625" style="5"/>
  </cols>
  <sheetData>
    <row r="1" spans="2:11" ht="12.75" customHeight="1" x14ac:dyDescent="0.2"/>
    <row r="2" spans="2:11" x14ac:dyDescent="0.2">
      <c r="B2" s="30"/>
      <c r="C2" s="31"/>
      <c r="D2" s="901"/>
      <c r="E2" s="31"/>
      <c r="F2" s="76"/>
      <c r="G2" s="561"/>
      <c r="H2" s="561"/>
      <c r="I2" s="561"/>
      <c r="J2" s="562"/>
      <c r="K2" s="33"/>
    </row>
    <row r="3" spans="2:11" x14ac:dyDescent="0.2">
      <c r="B3" s="34"/>
      <c r="C3" s="35"/>
      <c r="D3" s="902"/>
      <c r="E3" s="35"/>
      <c r="F3" s="62"/>
      <c r="G3" s="243"/>
      <c r="H3" s="243"/>
      <c r="I3" s="243"/>
      <c r="J3" s="452"/>
      <c r="K3" s="37"/>
    </row>
    <row r="4" spans="2:11" s="436" customFormat="1" ht="18.75" x14ac:dyDescent="0.3">
      <c r="B4" s="365"/>
      <c r="C4" s="151" t="s">
        <v>32</v>
      </c>
      <c r="D4" s="917"/>
      <c r="E4" s="151"/>
      <c r="F4" s="213"/>
      <c r="G4" s="918"/>
      <c r="H4" s="918"/>
      <c r="I4" s="918"/>
      <c r="J4" s="919"/>
      <c r="K4" s="209"/>
    </row>
    <row r="5" spans="2:11" s="231" customFormat="1" ht="18.75" x14ac:dyDescent="0.3">
      <c r="B5" s="389"/>
      <c r="C5" s="173" t="str">
        <f>geg!G10</f>
        <v>Basisschool</v>
      </c>
      <c r="D5" s="563"/>
      <c r="E5" s="173"/>
      <c r="F5" s="328"/>
      <c r="G5" s="564"/>
      <c r="H5" s="564"/>
      <c r="I5" s="564"/>
      <c r="J5" s="565"/>
      <c r="K5" s="174"/>
    </row>
    <row r="6" spans="2:11" x14ac:dyDescent="0.2">
      <c r="B6" s="34"/>
      <c r="C6" s="35"/>
      <c r="D6" s="902"/>
      <c r="E6" s="35"/>
      <c r="F6" s="62"/>
      <c r="G6" s="243"/>
      <c r="H6" s="243"/>
      <c r="I6" s="243"/>
      <c r="J6" s="452"/>
      <c r="K6" s="37"/>
    </row>
    <row r="7" spans="2:11" x14ac:dyDescent="0.2">
      <c r="B7" s="34"/>
      <c r="C7" s="35"/>
      <c r="D7" s="902"/>
      <c r="E7" s="35"/>
      <c r="F7" s="62"/>
      <c r="G7" s="243"/>
      <c r="H7" s="243"/>
      <c r="I7" s="243"/>
      <c r="J7" s="452"/>
      <c r="K7" s="37"/>
    </row>
    <row r="8" spans="2:11" s="8" customFormat="1" x14ac:dyDescent="0.2">
      <c r="B8" s="175"/>
      <c r="C8" s="40"/>
      <c r="D8" s="732"/>
      <c r="E8" s="40"/>
      <c r="F8" s="742">
        <f>begr!G8</f>
        <v>2017</v>
      </c>
      <c r="G8" s="742">
        <f>begr!H8</f>
        <v>2018</v>
      </c>
      <c r="H8" s="742">
        <f>begr!I8</f>
        <v>2019</v>
      </c>
      <c r="I8" s="742">
        <f>begr!J8</f>
        <v>2020</v>
      </c>
      <c r="J8" s="577"/>
      <c r="K8" s="42"/>
    </row>
    <row r="9" spans="2:11" x14ac:dyDescent="0.2">
      <c r="B9" s="197"/>
      <c r="C9" s="43"/>
      <c r="D9" s="902"/>
      <c r="E9" s="35"/>
      <c r="F9" s="62"/>
      <c r="G9" s="62"/>
      <c r="H9" s="62"/>
      <c r="I9" s="62"/>
      <c r="J9" s="35"/>
      <c r="K9" s="37"/>
    </row>
    <row r="10" spans="2:11" x14ac:dyDescent="0.2">
      <c r="B10" s="197"/>
      <c r="C10" s="86"/>
      <c r="D10" s="765"/>
      <c r="E10" s="87"/>
      <c r="F10" s="144"/>
      <c r="G10" s="144"/>
      <c r="H10" s="144"/>
      <c r="I10" s="144"/>
      <c r="J10" s="128"/>
      <c r="K10" s="37"/>
    </row>
    <row r="11" spans="2:11" x14ac:dyDescent="0.2">
      <c r="B11" s="197"/>
      <c r="C11" s="86"/>
      <c r="D11" s="743" t="s">
        <v>443</v>
      </c>
      <c r="E11" s="87"/>
      <c r="F11" s="144"/>
      <c r="G11" s="144"/>
      <c r="H11" s="144"/>
      <c r="I11" s="144"/>
      <c r="J11" s="128"/>
      <c r="K11" s="37"/>
    </row>
    <row r="12" spans="2:11" x14ac:dyDescent="0.2">
      <c r="B12" s="197"/>
      <c r="C12" s="86"/>
      <c r="D12" s="765"/>
      <c r="E12" s="87"/>
      <c r="F12" s="144"/>
      <c r="G12" s="144"/>
      <c r="H12" s="144"/>
      <c r="I12" s="144"/>
      <c r="J12" s="128"/>
      <c r="K12" s="37"/>
    </row>
    <row r="13" spans="2:11" x14ac:dyDescent="0.2">
      <c r="B13" s="58"/>
      <c r="C13" s="91"/>
      <c r="D13" s="205" t="s">
        <v>518</v>
      </c>
      <c r="E13" s="205"/>
      <c r="F13" s="805">
        <f>(begr!G19+begr!G35)/ geg!H$24</f>
        <v>6136.9461974074084</v>
      </c>
      <c r="G13" s="805">
        <f>(begr!H19+begr!H35)/ geg!I$24</f>
        <v>5680.8474177777771</v>
      </c>
      <c r="H13" s="805">
        <f>(begr!I19+begr!I35)/ geg!J$24</f>
        <v>5680.8474177777771</v>
      </c>
      <c r="I13" s="805">
        <f>(begr!J19+begr!J35)/ geg!K$24</f>
        <v>5680.8474177777771</v>
      </c>
      <c r="J13" s="275"/>
      <c r="K13" s="37"/>
    </row>
    <row r="14" spans="2:11" x14ac:dyDescent="0.2">
      <c r="B14" s="58"/>
      <c r="C14" s="91"/>
      <c r="D14" s="205" t="s">
        <v>519</v>
      </c>
      <c r="E14" s="205"/>
      <c r="F14" s="805">
        <f>(begr!G27+begr!G36)/geg!H$24</f>
        <v>677.77777777777783</v>
      </c>
      <c r="G14" s="805">
        <f>(begr!H27+begr!H36)/geg!I$24</f>
        <v>677.77777777777783</v>
      </c>
      <c r="H14" s="805">
        <f>(begr!I27+begr!I36)/geg!J$24</f>
        <v>677.77777777777783</v>
      </c>
      <c r="I14" s="805">
        <f>(begr!J27+begr!J36)/geg!K$24</f>
        <v>677.77777777777783</v>
      </c>
      <c r="J14" s="275"/>
      <c r="K14" s="37"/>
    </row>
    <row r="15" spans="2:11" x14ac:dyDescent="0.2">
      <c r="B15" s="197"/>
      <c r="C15" s="91"/>
      <c r="D15" s="205"/>
      <c r="E15" s="92"/>
      <c r="F15" s="115"/>
      <c r="G15" s="115"/>
      <c r="H15" s="115"/>
      <c r="I15" s="115"/>
      <c r="J15" s="98"/>
      <c r="K15" s="37"/>
    </row>
    <row r="16" spans="2:11" x14ac:dyDescent="0.2">
      <c r="B16" s="197"/>
      <c r="C16" s="91"/>
      <c r="D16" s="117" t="s">
        <v>166</v>
      </c>
      <c r="E16" s="92"/>
      <c r="F16" s="115"/>
      <c r="G16" s="115"/>
      <c r="H16" s="115"/>
      <c r="I16" s="115"/>
      <c r="J16" s="98"/>
      <c r="K16" s="37"/>
    </row>
    <row r="17" spans="2:11" x14ac:dyDescent="0.2">
      <c r="B17" s="197"/>
      <c r="C17" s="91"/>
      <c r="D17" s="205" t="s">
        <v>167</v>
      </c>
      <c r="E17" s="92"/>
      <c r="F17" s="804">
        <f>7/12*SUM(fiebouw!H13:H24)+5/12*SUM(fiebouw!L13:L24)</f>
        <v>0</v>
      </c>
      <c r="G17" s="804">
        <f>7/12*SUM(fiebouw!L13:L24)+5/12*SUM(fiebouw!P13:P24)</f>
        <v>0</v>
      </c>
      <c r="H17" s="804">
        <f>7/12*SUM(fiebouw!P13:P24)+5/12*SUM(fiebouw!T13:T24)</f>
        <v>0</v>
      </c>
      <c r="I17" s="804">
        <f>7/12*SUM(fiebouw!T13:T24)+5/12*SUM(fiebouw!X13:X24)</f>
        <v>0</v>
      </c>
      <c r="J17" s="98"/>
      <c r="K17" s="37"/>
    </row>
    <row r="18" spans="2:11" x14ac:dyDescent="0.2">
      <c r="B18" s="197"/>
      <c r="C18" s="91"/>
      <c r="D18" s="205" t="s">
        <v>168</v>
      </c>
      <c r="E18" s="92"/>
      <c r="F18" s="804">
        <f>7/12*(SUM(fiebouw!H25:H29)+SUM(fiebouw!H46:H47))+5/12*(SUM(fiebouw!L25:L29)+SUM(fiebouw!L46:L47))</f>
        <v>61000</v>
      </c>
      <c r="G18" s="804">
        <f>7/12*(SUM(fiebouw!L25:L29)+SUM(fiebouw!L46:L47))+5/12*(SUM(fiebouw!P25:P29)+SUM(fiebouw!P46:P47))</f>
        <v>61000</v>
      </c>
      <c r="H18" s="804">
        <f>7/12*(SUM(fiebouw!P25:P29)+SUM(fiebouw!P46:P47))+5/12*(SUM(fiebouw!T25:T29)+SUM(fiebouw!T46:T47))</f>
        <v>61000</v>
      </c>
      <c r="I18" s="804">
        <f>7/12*(SUM(fiebouw!T25:T29)+SUM(fiebouw!T46:T47))+5/12*(SUM(fiebouw!X25:X29)+SUM(fiebouw!X46:X47))</f>
        <v>61000</v>
      </c>
      <c r="J18" s="98"/>
      <c r="K18" s="37"/>
    </row>
    <row r="19" spans="2:11" x14ac:dyDescent="0.2">
      <c r="B19" s="197"/>
      <c r="C19" s="91"/>
      <c r="D19" s="205" t="s">
        <v>169</v>
      </c>
      <c r="E19" s="92"/>
      <c r="F19" s="804">
        <f>7/12*SUM(fiebouw!H30:H43)+5/12*SUM(fiebouw!L30:L43)</f>
        <v>0</v>
      </c>
      <c r="G19" s="804">
        <f>7/12*SUM(fiebouw!L30:L43)+5/12*SUM(fiebouw!P30:P43)</f>
        <v>0</v>
      </c>
      <c r="H19" s="804">
        <f>7/12*SUM(fiebouw!P30:P43)+5/12*SUM(fiebouw!T30:T43)</f>
        <v>0</v>
      </c>
      <c r="I19" s="804">
        <f>7/12*SUM(fiebouw!T30:T43)+5/12*SUM(fiebouw!X30:X43)</f>
        <v>0</v>
      </c>
      <c r="J19" s="98"/>
      <c r="K19" s="37"/>
    </row>
    <row r="20" spans="2:11" x14ac:dyDescent="0.2">
      <c r="B20" s="58"/>
      <c r="C20" s="91"/>
      <c r="D20" s="191" t="s">
        <v>145</v>
      </c>
      <c r="E20" s="116"/>
      <c r="F20" s="832">
        <f>SUM(F17:F19)</f>
        <v>61000</v>
      </c>
      <c r="G20" s="832">
        <f>SUM(G17:G19)</f>
        <v>61000</v>
      </c>
      <c r="H20" s="832">
        <f>SUM(H17:H19)</f>
        <v>61000</v>
      </c>
      <c r="I20" s="832">
        <f>SUM(I17:I19)</f>
        <v>61000</v>
      </c>
      <c r="J20" s="98"/>
      <c r="K20" s="37"/>
    </row>
    <row r="21" spans="2:11" s="229" customFormat="1" x14ac:dyDescent="0.2">
      <c r="B21" s="567"/>
      <c r="C21" s="572"/>
      <c r="D21" s="108" t="s">
        <v>165</v>
      </c>
      <c r="E21" s="573"/>
      <c r="F21" s="933">
        <f>F20/geg!H$24</f>
        <v>677.77777777777783</v>
      </c>
      <c r="G21" s="933">
        <f>G20/geg!I$24</f>
        <v>677.77777777777783</v>
      </c>
      <c r="H21" s="933">
        <f>H20/geg!J$24</f>
        <v>677.77777777777783</v>
      </c>
      <c r="I21" s="933">
        <f>I20/geg!K$24</f>
        <v>677.77777777777783</v>
      </c>
      <c r="J21" s="570"/>
      <c r="K21" s="571"/>
    </row>
    <row r="22" spans="2:11" x14ac:dyDescent="0.2">
      <c r="B22" s="197"/>
      <c r="C22" s="91"/>
      <c r="D22" s="205"/>
      <c r="E22" s="92"/>
      <c r="F22" s="286"/>
      <c r="G22" s="286"/>
      <c r="H22" s="286"/>
      <c r="I22" s="286"/>
      <c r="J22" s="98"/>
      <c r="K22" s="37"/>
    </row>
    <row r="23" spans="2:11" x14ac:dyDescent="0.2">
      <c r="B23" s="197"/>
      <c r="C23" s="91"/>
      <c r="D23" s="108" t="s">
        <v>154</v>
      </c>
      <c r="E23" s="92"/>
      <c r="F23" s="286"/>
      <c r="G23" s="286"/>
      <c r="H23" s="286"/>
      <c r="I23" s="286"/>
      <c r="J23" s="98"/>
      <c r="K23" s="37"/>
    </row>
    <row r="24" spans="2:11" x14ac:dyDescent="0.2">
      <c r="B24" s="197"/>
      <c r="C24" s="91"/>
      <c r="D24" s="160" t="s">
        <v>170</v>
      </c>
      <c r="E24" s="92"/>
      <c r="F24" s="255">
        <v>0</v>
      </c>
      <c r="G24" s="255">
        <v>0</v>
      </c>
      <c r="H24" s="255">
        <v>0</v>
      </c>
      <c r="I24" s="255">
        <v>0</v>
      </c>
      <c r="J24" s="98"/>
      <c r="K24" s="37"/>
    </row>
    <row r="25" spans="2:11" x14ac:dyDescent="0.2">
      <c r="B25" s="197"/>
      <c r="C25" s="91"/>
      <c r="D25" s="160" t="s">
        <v>363</v>
      </c>
      <c r="E25" s="92"/>
      <c r="F25" s="255">
        <v>0</v>
      </c>
      <c r="G25" s="255">
        <v>0</v>
      </c>
      <c r="H25" s="255">
        <v>0</v>
      </c>
      <c r="I25" s="255">
        <v>0</v>
      </c>
      <c r="J25" s="98"/>
      <c r="K25" s="37"/>
    </row>
    <row r="26" spans="2:11" x14ac:dyDescent="0.2">
      <c r="B26" s="197"/>
      <c r="C26" s="91"/>
      <c r="D26" s="160" t="s">
        <v>171</v>
      </c>
      <c r="E26" s="92"/>
      <c r="F26" s="255">
        <v>0</v>
      </c>
      <c r="G26" s="255">
        <v>0</v>
      </c>
      <c r="H26" s="255">
        <v>0</v>
      </c>
      <c r="I26" s="255">
        <v>0</v>
      </c>
      <c r="J26" s="98"/>
      <c r="K26" s="37"/>
    </row>
    <row r="27" spans="2:11" x14ac:dyDescent="0.2">
      <c r="B27" s="58"/>
      <c r="C27" s="91"/>
      <c r="D27" s="191" t="s">
        <v>145</v>
      </c>
      <c r="E27" s="116"/>
      <c r="F27" s="832">
        <f>SUM(F24:F26)</f>
        <v>0</v>
      </c>
      <c r="G27" s="832">
        <f>SUM(G24:G26)</f>
        <v>0</v>
      </c>
      <c r="H27" s="832">
        <f>SUM(H24:H26)</f>
        <v>0</v>
      </c>
      <c r="I27" s="832">
        <f>SUM(I24:I26)</f>
        <v>0</v>
      </c>
      <c r="J27" s="98"/>
      <c r="K27" s="37"/>
    </row>
    <row r="28" spans="2:11" s="229" customFormat="1" x14ac:dyDescent="0.2">
      <c r="B28" s="567"/>
      <c r="C28" s="572"/>
      <c r="D28" s="108" t="s">
        <v>165</v>
      </c>
      <c r="E28" s="573"/>
      <c r="F28" s="933">
        <f>F27/geg!H$24</f>
        <v>0</v>
      </c>
      <c r="G28" s="933">
        <f>G27/geg!I$24</f>
        <v>0</v>
      </c>
      <c r="H28" s="933">
        <f>H27/geg!J$24</f>
        <v>0</v>
      </c>
      <c r="I28" s="933">
        <f>I27/geg!K$24</f>
        <v>0</v>
      </c>
      <c r="J28" s="570"/>
      <c r="K28" s="571"/>
    </row>
    <row r="29" spans="2:11" x14ac:dyDescent="0.2">
      <c r="B29" s="197"/>
      <c r="C29" s="91"/>
      <c r="D29" s="160"/>
      <c r="E29" s="92"/>
      <c r="F29" s="286"/>
      <c r="G29" s="286"/>
      <c r="H29" s="286"/>
      <c r="I29" s="286"/>
      <c r="J29" s="98"/>
      <c r="K29" s="37"/>
    </row>
    <row r="30" spans="2:11" x14ac:dyDescent="0.2">
      <c r="B30" s="197"/>
      <c r="C30" s="91"/>
      <c r="D30" s="108" t="s">
        <v>155</v>
      </c>
      <c r="E30" s="92"/>
      <c r="F30" s="286"/>
      <c r="G30" s="286"/>
      <c r="H30" s="286"/>
      <c r="I30" s="286"/>
      <c r="J30" s="98"/>
      <c r="K30" s="37"/>
    </row>
    <row r="31" spans="2:11" x14ac:dyDescent="0.2">
      <c r="B31" s="197"/>
      <c r="C31" s="91"/>
      <c r="D31" s="160" t="s">
        <v>156</v>
      </c>
      <c r="E31" s="92"/>
      <c r="F31" s="255">
        <v>0</v>
      </c>
      <c r="G31" s="255">
        <v>0</v>
      </c>
      <c r="H31" s="255">
        <v>0</v>
      </c>
      <c r="I31" s="255">
        <v>0</v>
      </c>
      <c r="J31" s="98"/>
      <c r="K31" s="37"/>
    </row>
    <row r="32" spans="2:11" x14ac:dyDescent="0.2">
      <c r="B32" s="197"/>
      <c r="C32" s="91"/>
      <c r="D32" s="160" t="s">
        <v>364</v>
      </c>
      <c r="E32" s="92"/>
      <c r="F32" s="255">
        <v>0</v>
      </c>
      <c r="G32" s="255">
        <v>0</v>
      </c>
      <c r="H32" s="255">
        <v>0</v>
      </c>
      <c r="I32" s="255">
        <v>0</v>
      </c>
      <c r="J32" s="98"/>
      <c r="K32" s="37"/>
    </row>
    <row r="33" spans="2:11" x14ac:dyDescent="0.2">
      <c r="B33" s="197"/>
      <c r="C33" s="91"/>
      <c r="D33" s="160" t="s">
        <v>172</v>
      </c>
      <c r="E33" s="92"/>
      <c r="F33" s="255">
        <v>0</v>
      </c>
      <c r="G33" s="255">
        <v>0</v>
      </c>
      <c r="H33" s="255">
        <v>0</v>
      </c>
      <c r="I33" s="255">
        <v>0</v>
      </c>
      <c r="J33" s="98"/>
      <c r="K33" s="37"/>
    </row>
    <row r="34" spans="2:11" x14ac:dyDescent="0.2">
      <c r="B34" s="58"/>
      <c r="C34" s="91"/>
      <c r="D34" s="191" t="s">
        <v>145</v>
      </c>
      <c r="E34" s="116"/>
      <c r="F34" s="832">
        <f>SUM(F31:F33)</f>
        <v>0</v>
      </c>
      <c r="G34" s="832">
        <f>SUM(G31:G33)</f>
        <v>0</v>
      </c>
      <c r="H34" s="832">
        <f>SUM(H31:H33)</f>
        <v>0</v>
      </c>
      <c r="I34" s="832">
        <f>SUM(I31:I33)</f>
        <v>0</v>
      </c>
      <c r="J34" s="98"/>
      <c r="K34" s="37"/>
    </row>
    <row r="35" spans="2:11" s="229" customFormat="1" x14ac:dyDescent="0.2">
      <c r="B35" s="567"/>
      <c r="C35" s="568"/>
      <c r="D35" s="108" t="s">
        <v>165</v>
      </c>
      <c r="E35" s="576"/>
      <c r="F35" s="933">
        <f>F34/geg!H$24</f>
        <v>0</v>
      </c>
      <c r="G35" s="933">
        <f>G34/geg!I$24</f>
        <v>0</v>
      </c>
      <c r="H35" s="933">
        <f>H34/geg!J$24</f>
        <v>0</v>
      </c>
      <c r="I35" s="933">
        <f>I34/geg!K$24</f>
        <v>0</v>
      </c>
      <c r="J35" s="570"/>
      <c r="K35" s="571"/>
    </row>
    <row r="36" spans="2:11" x14ac:dyDescent="0.2">
      <c r="B36" s="197"/>
      <c r="C36" s="91"/>
      <c r="D36" s="160"/>
      <c r="E36" s="92"/>
      <c r="F36" s="286"/>
      <c r="G36" s="286"/>
      <c r="H36" s="286"/>
      <c r="I36" s="286"/>
      <c r="J36" s="98"/>
      <c r="K36" s="37"/>
    </row>
    <row r="37" spans="2:11" x14ac:dyDescent="0.2">
      <c r="B37" s="197"/>
      <c r="C37" s="91"/>
      <c r="D37" s="108" t="s">
        <v>135</v>
      </c>
      <c r="E37" s="92"/>
      <c r="F37" s="286"/>
      <c r="G37" s="286"/>
      <c r="H37" s="286"/>
      <c r="I37" s="286"/>
      <c r="J37" s="98"/>
      <c r="K37" s="37"/>
    </row>
    <row r="38" spans="2:11" x14ac:dyDescent="0.2">
      <c r="B38" s="197"/>
      <c r="C38" s="91"/>
      <c r="D38" s="160" t="s">
        <v>9</v>
      </c>
      <c r="E38" s="92"/>
      <c r="F38" s="804">
        <f>SUM(act!G35:G37)+SUM(act!G43:G45)</f>
        <v>0</v>
      </c>
      <c r="G38" s="804">
        <f>SUM(act!H35:H37)+SUM(act!H43:H45)</f>
        <v>0</v>
      </c>
      <c r="H38" s="804">
        <f>SUM(act!I35:I37)+SUM(act!I43:I45)</f>
        <v>0</v>
      </c>
      <c r="I38" s="804">
        <f>SUM(act!J35:J37)+SUM(act!J43:J45)</f>
        <v>0</v>
      </c>
      <c r="J38" s="98"/>
      <c r="K38" s="37"/>
    </row>
    <row r="39" spans="2:11" x14ac:dyDescent="0.2">
      <c r="B39" s="197"/>
      <c r="C39" s="91"/>
      <c r="D39" s="160" t="s">
        <v>10</v>
      </c>
      <c r="E39" s="92"/>
      <c r="F39" s="255">
        <v>0</v>
      </c>
      <c r="G39" s="255">
        <v>0</v>
      </c>
      <c r="H39" s="255">
        <v>0</v>
      </c>
      <c r="I39" s="255">
        <v>0</v>
      </c>
      <c r="J39" s="98"/>
      <c r="K39" s="37"/>
    </row>
    <row r="40" spans="2:11" x14ac:dyDescent="0.2">
      <c r="B40" s="58"/>
      <c r="C40" s="91"/>
      <c r="D40" s="191" t="s">
        <v>145</v>
      </c>
      <c r="E40" s="116"/>
      <c r="F40" s="832">
        <f>SUM(F38:F39)</f>
        <v>0</v>
      </c>
      <c r="G40" s="832">
        <f>SUM(G38:G39)</f>
        <v>0</v>
      </c>
      <c r="H40" s="832">
        <f>SUM(H38:H39)</f>
        <v>0</v>
      </c>
      <c r="I40" s="832">
        <f>SUM(I38:I39)</f>
        <v>0</v>
      </c>
      <c r="J40" s="98"/>
      <c r="K40" s="37"/>
    </row>
    <row r="41" spans="2:11" s="229" customFormat="1" x14ac:dyDescent="0.2">
      <c r="B41" s="567"/>
      <c r="C41" s="568"/>
      <c r="D41" s="108" t="s">
        <v>165</v>
      </c>
      <c r="E41" s="576"/>
      <c r="F41" s="933">
        <f>F40/geg!H$24</f>
        <v>0</v>
      </c>
      <c r="G41" s="933">
        <f>G40/geg!I$24</f>
        <v>0</v>
      </c>
      <c r="H41" s="933">
        <f>H40/geg!J$24</f>
        <v>0</v>
      </c>
      <c r="I41" s="933">
        <f>I40/geg!K$24</f>
        <v>0</v>
      </c>
      <c r="J41" s="570"/>
      <c r="K41" s="571"/>
    </row>
    <row r="42" spans="2:11" x14ac:dyDescent="0.2">
      <c r="B42" s="197"/>
      <c r="C42" s="91"/>
      <c r="D42" s="160"/>
      <c r="E42" s="92"/>
      <c r="F42" s="286"/>
      <c r="G42" s="286"/>
      <c r="H42" s="286"/>
      <c r="I42" s="286"/>
      <c r="J42" s="98"/>
      <c r="K42" s="37"/>
    </row>
    <row r="43" spans="2:11" x14ac:dyDescent="0.2">
      <c r="B43" s="197"/>
      <c r="C43" s="91"/>
      <c r="D43" s="108" t="s">
        <v>159</v>
      </c>
      <c r="E43" s="92"/>
      <c r="F43" s="286"/>
      <c r="G43" s="286"/>
      <c r="H43" s="286"/>
      <c r="I43" s="286"/>
      <c r="J43" s="98"/>
      <c r="K43" s="37"/>
    </row>
    <row r="44" spans="2:11" x14ac:dyDescent="0.2">
      <c r="B44" s="197"/>
      <c r="C44" s="91"/>
      <c r="D44" s="160" t="s">
        <v>11</v>
      </c>
      <c r="E44" s="92"/>
      <c r="F44" s="804">
        <f>act!G38+act!G46</f>
        <v>0</v>
      </c>
      <c r="G44" s="804">
        <f>act!H38+act!H46</f>
        <v>0</v>
      </c>
      <c r="H44" s="804">
        <f>act!I38+act!I46</f>
        <v>0</v>
      </c>
      <c r="I44" s="804">
        <f>act!J38+act!J46</f>
        <v>0</v>
      </c>
      <c r="J44" s="98"/>
      <c r="K44" s="37"/>
    </row>
    <row r="45" spans="2:11" x14ac:dyDescent="0.2">
      <c r="B45" s="197"/>
      <c r="C45" s="91"/>
      <c r="D45" s="160" t="s">
        <v>12</v>
      </c>
      <c r="E45" s="92"/>
      <c r="F45" s="255">
        <v>0</v>
      </c>
      <c r="G45" s="255">
        <v>0</v>
      </c>
      <c r="H45" s="255">
        <v>0</v>
      </c>
      <c r="I45" s="255">
        <v>0</v>
      </c>
      <c r="J45" s="98"/>
      <c r="K45" s="37"/>
    </row>
    <row r="46" spans="2:11" x14ac:dyDescent="0.2">
      <c r="B46" s="58"/>
      <c r="C46" s="91"/>
      <c r="D46" s="191" t="s">
        <v>145</v>
      </c>
      <c r="E46" s="116"/>
      <c r="F46" s="832">
        <f>SUM(F44:F45)</f>
        <v>0</v>
      </c>
      <c r="G46" s="832">
        <f>SUM(G44:G45)</f>
        <v>0</v>
      </c>
      <c r="H46" s="832">
        <f>SUM(H44:H45)</f>
        <v>0</v>
      </c>
      <c r="I46" s="832">
        <f>SUM(I44:I45)</f>
        <v>0</v>
      </c>
      <c r="J46" s="98"/>
      <c r="K46" s="37"/>
    </row>
    <row r="47" spans="2:11" s="229" customFormat="1" x14ac:dyDescent="0.2">
      <c r="B47" s="567"/>
      <c r="C47" s="568"/>
      <c r="D47" s="108" t="s">
        <v>165</v>
      </c>
      <c r="E47" s="576"/>
      <c r="F47" s="933">
        <f>F46/geg!H$24</f>
        <v>0</v>
      </c>
      <c r="G47" s="933">
        <f>G46/geg!I$24</f>
        <v>0</v>
      </c>
      <c r="H47" s="933">
        <f>H46/geg!J$24</f>
        <v>0</v>
      </c>
      <c r="I47" s="933">
        <f>I46/geg!K$24</f>
        <v>0</v>
      </c>
      <c r="J47" s="570"/>
      <c r="K47" s="571"/>
    </row>
    <row r="48" spans="2:11" x14ac:dyDescent="0.2">
      <c r="B48" s="197"/>
      <c r="C48" s="91"/>
      <c r="D48" s="160"/>
      <c r="E48" s="92"/>
      <c r="F48" s="286"/>
      <c r="G48" s="286"/>
      <c r="H48" s="286"/>
      <c r="I48" s="286"/>
      <c r="J48" s="98"/>
      <c r="K48" s="37"/>
    </row>
    <row r="49" spans="2:252" x14ac:dyDescent="0.2">
      <c r="B49" s="197"/>
      <c r="C49" s="91"/>
      <c r="D49" s="108" t="s">
        <v>173</v>
      </c>
      <c r="E49" s="92"/>
      <c r="F49" s="286"/>
      <c r="G49" s="286"/>
      <c r="H49" s="286"/>
      <c r="I49" s="286"/>
      <c r="J49" s="98"/>
      <c r="K49" s="37"/>
    </row>
    <row r="50" spans="2:252" x14ac:dyDescent="0.2">
      <c r="B50" s="197"/>
      <c r="C50" s="91"/>
      <c r="D50" s="160" t="s">
        <v>330</v>
      </c>
      <c r="E50" s="92"/>
      <c r="F50" s="255">
        <v>0</v>
      </c>
      <c r="G50" s="255">
        <v>0</v>
      </c>
      <c r="H50" s="255">
        <v>0</v>
      </c>
      <c r="I50" s="255">
        <v>0</v>
      </c>
      <c r="J50" s="98"/>
      <c r="K50" s="37"/>
    </row>
    <row r="51" spans="2:252" x14ac:dyDescent="0.2">
      <c r="B51" s="197"/>
      <c r="C51" s="91"/>
      <c r="D51" s="160" t="s">
        <v>174</v>
      </c>
      <c r="E51" s="92"/>
      <c r="F51" s="255">
        <v>0</v>
      </c>
      <c r="G51" s="255">
        <v>0</v>
      </c>
      <c r="H51" s="255">
        <v>0</v>
      </c>
      <c r="I51" s="255">
        <v>0</v>
      </c>
      <c r="J51" s="98"/>
      <c r="K51" s="37"/>
    </row>
    <row r="52" spans="2:252" x14ac:dyDescent="0.2">
      <c r="B52" s="197"/>
      <c r="C52" s="91"/>
      <c r="D52" s="160" t="s">
        <v>175</v>
      </c>
      <c r="E52" s="92"/>
      <c r="F52" s="804">
        <f>act!G34+act!G42</f>
        <v>0</v>
      </c>
      <c r="G52" s="804">
        <f>act!H34+act!H42</f>
        <v>0</v>
      </c>
      <c r="H52" s="804">
        <f>act!I34+act!I42</f>
        <v>0</v>
      </c>
      <c r="I52" s="804">
        <f>act!J34+act!J42</f>
        <v>0</v>
      </c>
      <c r="J52" s="98"/>
      <c r="K52" s="37"/>
    </row>
    <row r="53" spans="2:252" x14ac:dyDescent="0.2">
      <c r="B53" s="197"/>
      <c r="C53" s="91"/>
      <c r="D53" s="160" t="s">
        <v>176</v>
      </c>
      <c r="E53" s="92"/>
      <c r="F53" s="804">
        <f>mop!G17</f>
        <v>0</v>
      </c>
      <c r="G53" s="804">
        <f>mop!H17</f>
        <v>0</v>
      </c>
      <c r="H53" s="804">
        <f>mop!I17</f>
        <v>0</v>
      </c>
      <c r="I53" s="804">
        <f>mop!J17</f>
        <v>0</v>
      </c>
      <c r="J53" s="98"/>
      <c r="K53" s="37"/>
    </row>
    <row r="54" spans="2:252" x14ac:dyDescent="0.2">
      <c r="B54" s="197"/>
      <c r="C54" s="91"/>
      <c r="D54" s="160" t="s">
        <v>177</v>
      </c>
      <c r="E54" s="92"/>
      <c r="F54" s="255">
        <v>0</v>
      </c>
      <c r="G54" s="255">
        <v>0</v>
      </c>
      <c r="H54" s="255">
        <v>0</v>
      </c>
      <c r="I54" s="255">
        <v>0</v>
      </c>
      <c r="J54" s="98"/>
      <c r="K54" s="37"/>
    </row>
    <row r="55" spans="2:252" x14ac:dyDescent="0.2">
      <c r="B55" s="197"/>
      <c r="C55" s="91"/>
      <c r="D55" s="160" t="s">
        <v>157</v>
      </c>
      <c r="E55" s="92"/>
      <c r="F55" s="255">
        <v>0</v>
      </c>
      <c r="G55" s="255">
        <v>0</v>
      </c>
      <c r="H55" s="255">
        <v>0</v>
      </c>
      <c r="I55" s="255">
        <v>0</v>
      </c>
      <c r="J55" s="98"/>
      <c r="K55" s="37"/>
    </row>
    <row r="56" spans="2:252" x14ac:dyDescent="0.2">
      <c r="B56" s="58"/>
      <c r="C56" s="91"/>
      <c r="D56" s="191" t="s">
        <v>145</v>
      </c>
      <c r="E56" s="116"/>
      <c r="F56" s="832">
        <f>SUM(F50:F55)</f>
        <v>0</v>
      </c>
      <c r="G56" s="832">
        <f>SUM(G50:G55)</f>
        <v>0</v>
      </c>
      <c r="H56" s="832">
        <f>SUM(H50:H55)</f>
        <v>0</v>
      </c>
      <c r="I56" s="832">
        <f>SUM(I50:I55)</f>
        <v>0</v>
      </c>
      <c r="J56" s="98"/>
      <c r="K56" s="37"/>
    </row>
    <row r="57" spans="2:252" s="229" customFormat="1" x14ac:dyDescent="0.2">
      <c r="B57" s="567"/>
      <c r="C57" s="568"/>
      <c r="D57" s="108" t="s">
        <v>165</v>
      </c>
      <c r="E57" s="576"/>
      <c r="F57" s="933">
        <f>F56/geg!H$24</f>
        <v>0</v>
      </c>
      <c r="G57" s="933">
        <f>G56/geg!I$24</f>
        <v>0</v>
      </c>
      <c r="H57" s="933">
        <f>H56/geg!J$24</f>
        <v>0</v>
      </c>
      <c r="I57" s="933">
        <f>I56/geg!K$24</f>
        <v>0</v>
      </c>
      <c r="J57" s="570"/>
      <c r="K57" s="571"/>
    </row>
    <row r="58" spans="2:252" x14ac:dyDescent="0.2">
      <c r="B58" s="197"/>
      <c r="C58" s="91"/>
      <c r="D58" s="160"/>
      <c r="E58" s="92"/>
      <c r="F58" s="286"/>
      <c r="G58" s="286"/>
      <c r="H58" s="286"/>
      <c r="I58" s="286"/>
      <c r="J58" s="98"/>
      <c r="K58" s="37"/>
    </row>
    <row r="59" spans="2:252" x14ac:dyDescent="0.2">
      <c r="B59" s="197"/>
      <c r="C59" s="91"/>
      <c r="D59" s="108" t="s">
        <v>31</v>
      </c>
      <c r="E59" s="92"/>
      <c r="F59" s="666">
        <v>0</v>
      </c>
      <c r="G59" s="666">
        <v>0</v>
      </c>
      <c r="H59" s="666">
        <v>0</v>
      </c>
      <c r="I59" s="666">
        <v>0</v>
      </c>
      <c r="J59" s="275"/>
      <c r="K59" s="37"/>
      <c r="IR59" s="465"/>
    </row>
    <row r="60" spans="2:252" s="229" customFormat="1" x14ac:dyDescent="0.2">
      <c r="B60" s="567"/>
      <c r="C60" s="572"/>
      <c r="D60" s="108" t="s">
        <v>165</v>
      </c>
      <c r="E60" s="573"/>
      <c r="F60" s="933">
        <f>F59/geg!H$24</f>
        <v>0</v>
      </c>
      <c r="G60" s="933">
        <f>G59/geg!I$24</f>
        <v>0</v>
      </c>
      <c r="H60" s="933">
        <f>H59/geg!J$24</f>
        <v>0</v>
      </c>
      <c r="I60" s="933">
        <f>I59/geg!K$24</f>
        <v>0</v>
      </c>
      <c r="J60" s="570"/>
      <c r="K60" s="571"/>
    </row>
    <row r="61" spans="2:252" x14ac:dyDescent="0.2">
      <c r="B61" s="197"/>
      <c r="C61" s="91"/>
      <c r="D61" s="205"/>
      <c r="E61" s="92"/>
      <c r="F61" s="115"/>
      <c r="G61" s="115"/>
      <c r="H61" s="115"/>
      <c r="I61" s="115"/>
      <c r="J61" s="98"/>
      <c r="K61" s="37"/>
    </row>
    <row r="62" spans="2:252" x14ac:dyDescent="0.2">
      <c r="B62" s="197"/>
      <c r="C62" s="91"/>
      <c r="D62" s="108" t="s">
        <v>30</v>
      </c>
      <c r="E62" s="92"/>
      <c r="F62" s="115"/>
      <c r="G62" s="115"/>
      <c r="H62" s="115"/>
      <c r="I62" s="115"/>
      <c r="J62" s="275"/>
      <c r="K62" s="37"/>
    </row>
    <row r="63" spans="2:252" x14ac:dyDescent="0.2">
      <c r="B63" s="197"/>
      <c r="C63" s="91"/>
      <c r="D63" s="160" t="s">
        <v>178</v>
      </c>
      <c r="E63" s="92"/>
      <c r="F63" s="255">
        <v>0</v>
      </c>
      <c r="G63" s="255">
        <v>0</v>
      </c>
      <c r="H63" s="255">
        <v>0</v>
      </c>
      <c r="I63" s="255">
        <v>0</v>
      </c>
      <c r="J63" s="275"/>
      <c r="K63" s="37"/>
    </row>
    <row r="64" spans="2:252" x14ac:dyDescent="0.2">
      <c r="B64" s="197"/>
      <c r="C64" s="91"/>
      <c r="D64" s="160" t="s">
        <v>160</v>
      </c>
      <c r="E64" s="92"/>
      <c r="F64" s="804">
        <f>+mat!I104</f>
        <v>0</v>
      </c>
      <c r="G64" s="804">
        <f>+mat!J104</f>
        <v>0</v>
      </c>
      <c r="H64" s="804">
        <f>+mat!K104</f>
        <v>0</v>
      </c>
      <c r="I64" s="804">
        <f>+mat!L104</f>
        <v>0</v>
      </c>
      <c r="J64" s="275"/>
      <c r="K64" s="37"/>
    </row>
    <row r="65" spans="2:11" x14ac:dyDescent="0.2">
      <c r="B65" s="197"/>
      <c r="C65" s="91"/>
      <c r="D65" s="160" t="s">
        <v>280</v>
      </c>
      <c r="E65" s="92"/>
      <c r="F65" s="255">
        <v>0</v>
      </c>
      <c r="G65" s="255">
        <v>0</v>
      </c>
      <c r="H65" s="255">
        <v>0</v>
      </c>
      <c r="I65" s="255">
        <v>0</v>
      </c>
      <c r="J65" s="275"/>
      <c r="K65" s="37"/>
    </row>
    <row r="66" spans="2:11" x14ac:dyDescent="0.2">
      <c r="B66" s="197"/>
      <c r="C66" s="91"/>
      <c r="D66" s="160" t="s">
        <v>179</v>
      </c>
      <c r="E66" s="92"/>
      <c r="F66" s="255">
        <v>0</v>
      </c>
      <c r="G66" s="255">
        <v>0</v>
      </c>
      <c r="H66" s="255">
        <v>0</v>
      </c>
      <c r="I66" s="255">
        <v>0</v>
      </c>
      <c r="J66" s="275"/>
      <c r="K66" s="37"/>
    </row>
    <row r="67" spans="2:11" x14ac:dyDescent="0.2">
      <c r="B67" s="197"/>
      <c r="C67" s="91"/>
      <c r="D67" s="160" t="s">
        <v>158</v>
      </c>
      <c r="E67" s="92"/>
      <c r="F67" s="255">
        <v>0</v>
      </c>
      <c r="G67" s="255">
        <v>0</v>
      </c>
      <c r="H67" s="255">
        <v>0</v>
      </c>
      <c r="I67" s="255">
        <v>0</v>
      </c>
      <c r="J67" s="275"/>
      <c r="K67" s="37"/>
    </row>
    <row r="68" spans="2:11" x14ac:dyDescent="0.2">
      <c r="B68" s="58"/>
      <c r="C68" s="91"/>
      <c r="D68" s="191" t="s">
        <v>145</v>
      </c>
      <c r="E68" s="116"/>
      <c r="F68" s="832">
        <f>SUM(F63:F67)</f>
        <v>0</v>
      </c>
      <c r="G68" s="832">
        <f>SUM(G63:G67)</f>
        <v>0</v>
      </c>
      <c r="H68" s="832">
        <f>SUM(H63:H67)</f>
        <v>0</v>
      </c>
      <c r="I68" s="832">
        <f>SUM(I63:I67)</f>
        <v>0</v>
      </c>
      <c r="J68" s="275"/>
      <c r="K68" s="37"/>
    </row>
    <row r="69" spans="2:11" s="229" customFormat="1" x14ac:dyDescent="0.2">
      <c r="B69" s="567"/>
      <c r="C69" s="572"/>
      <c r="D69" s="108" t="s">
        <v>165</v>
      </c>
      <c r="E69" s="573"/>
      <c r="F69" s="933">
        <f>F68/geg!H$24</f>
        <v>0</v>
      </c>
      <c r="G69" s="933">
        <f>G68/geg!I$24</f>
        <v>0</v>
      </c>
      <c r="H69" s="933">
        <f>H68/geg!J$24</f>
        <v>0</v>
      </c>
      <c r="I69" s="933">
        <f>I68/geg!K$24</f>
        <v>0</v>
      </c>
      <c r="J69" s="570"/>
      <c r="K69" s="571"/>
    </row>
    <row r="70" spans="2:11" x14ac:dyDescent="0.2">
      <c r="B70" s="197"/>
      <c r="C70" s="91"/>
      <c r="D70" s="205"/>
      <c r="E70" s="92"/>
      <c r="F70" s="115"/>
      <c r="G70" s="115"/>
      <c r="H70" s="115"/>
      <c r="I70" s="115"/>
      <c r="J70" s="98"/>
      <c r="K70" s="37"/>
    </row>
    <row r="71" spans="2:11" x14ac:dyDescent="0.2">
      <c r="B71" s="197"/>
      <c r="C71" s="91"/>
      <c r="D71" s="117" t="s">
        <v>102</v>
      </c>
      <c r="E71" s="92"/>
      <c r="F71" s="832">
        <f>+(7/12*pers!H17+5/12*pers!I17)+(7/12*pers!H18+5/12*pers!I18)+mat!I17</f>
        <v>0</v>
      </c>
      <c r="G71" s="832">
        <f>+(7/12*pers!I17+5/12*pers!J17)+(7/12*pers!I18+5/12*pers!J18)+mat!J17</f>
        <v>0</v>
      </c>
      <c r="H71" s="832">
        <f>+(7/12*pers!J17+5/12*pers!K17)+(7/12*pers!J18+5/12*pers!K18)+mat!K17</f>
        <v>0</v>
      </c>
      <c r="I71" s="832">
        <f>+(7/12*pers!K17+5/12*pers!L17)+(7/12*pers!K18+5/12*pers!L18)+mat!L17</f>
        <v>0</v>
      </c>
      <c r="J71" s="98"/>
      <c r="K71" s="37"/>
    </row>
    <row r="72" spans="2:11" s="24" customFormat="1" x14ac:dyDescent="0.2">
      <c r="B72" s="197"/>
      <c r="C72" s="300"/>
      <c r="D72" s="117" t="s">
        <v>103</v>
      </c>
      <c r="E72" s="117"/>
      <c r="F72" s="804">
        <f>(7/12*geg!G28*tab!E13+5/12*geg!H28*tab!$F13)*geg!H39</f>
        <v>0</v>
      </c>
      <c r="G72" s="804">
        <f>((7/12*geg!H28+5/12*geg!I28)*tab!$F13)*geg!$H$39</f>
        <v>0</v>
      </c>
      <c r="H72" s="804">
        <f>((7/12*geg!I28+5/12*geg!J28)*tab!$F13)*geg!$H$39</f>
        <v>0</v>
      </c>
      <c r="I72" s="804">
        <f>((7/12*geg!J28+5/12*geg!K28)*tab!$F13)*geg!$H$39</f>
        <v>0</v>
      </c>
      <c r="J72" s="308"/>
      <c r="K72" s="180"/>
    </row>
    <row r="73" spans="2:11" s="537" customFormat="1" x14ac:dyDescent="0.2">
      <c r="B73" s="567"/>
      <c r="C73" s="572"/>
      <c r="D73" s="108" t="s">
        <v>165</v>
      </c>
      <c r="E73" s="573"/>
      <c r="F73" s="933">
        <f>F71/geg!H$24</f>
        <v>0</v>
      </c>
      <c r="G73" s="933">
        <f>G71/geg!I$24</f>
        <v>0</v>
      </c>
      <c r="H73" s="933">
        <f>H71/geg!J$24</f>
        <v>0</v>
      </c>
      <c r="I73" s="933">
        <f>I71/geg!K$24</f>
        <v>0</v>
      </c>
      <c r="J73" s="574"/>
      <c r="K73" s="575"/>
    </row>
    <row r="74" spans="2:11" x14ac:dyDescent="0.2">
      <c r="B74" s="197"/>
      <c r="C74" s="91"/>
      <c r="D74" s="606"/>
      <c r="E74" s="92"/>
      <c r="F74" s="286"/>
      <c r="G74" s="286"/>
      <c r="H74" s="286"/>
      <c r="I74" s="286"/>
      <c r="J74" s="98"/>
      <c r="K74" s="37"/>
    </row>
    <row r="75" spans="2:11" x14ac:dyDescent="0.2">
      <c r="B75" s="197"/>
      <c r="C75" s="91"/>
      <c r="D75" s="117" t="s">
        <v>493</v>
      </c>
      <c r="E75" s="92"/>
      <c r="F75" s="832">
        <f>pers!I122+mat!I32</f>
        <v>0</v>
      </c>
      <c r="G75" s="832">
        <f>pers!J122+mat!J32</f>
        <v>0</v>
      </c>
      <c r="H75" s="832">
        <f>pers!K122+mat!K32</f>
        <v>0</v>
      </c>
      <c r="I75" s="832">
        <f>pers!L122+mat!L32</f>
        <v>0</v>
      </c>
      <c r="J75" s="98"/>
      <c r="K75" s="37"/>
    </row>
    <row r="76" spans="2:11" s="229" customFormat="1" x14ac:dyDescent="0.2">
      <c r="B76" s="567"/>
      <c r="C76" s="568"/>
      <c r="D76" s="108" t="s">
        <v>165</v>
      </c>
      <c r="E76" s="569"/>
      <c r="F76" s="933">
        <f>F75/geg!H$24</f>
        <v>0</v>
      </c>
      <c r="G76" s="933">
        <f>G75/geg!I$24</f>
        <v>0</v>
      </c>
      <c r="H76" s="933">
        <f>H75/geg!J$24</f>
        <v>0</v>
      </c>
      <c r="I76" s="933">
        <f>I75/geg!K$24</f>
        <v>0</v>
      </c>
      <c r="J76" s="570"/>
      <c r="K76" s="571"/>
    </row>
    <row r="77" spans="2:11" x14ac:dyDescent="0.2">
      <c r="B77" s="197"/>
      <c r="C77" s="124"/>
      <c r="D77" s="397"/>
      <c r="E77" s="125"/>
      <c r="F77" s="309"/>
      <c r="G77" s="309"/>
      <c r="H77" s="309"/>
      <c r="I77" s="309"/>
      <c r="J77" s="126"/>
      <c r="K77" s="37"/>
    </row>
    <row r="78" spans="2:11" x14ac:dyDescent="0.2">
      <c r="B78" s="197"/>
      <c r="C78" s="43"/>
      <c r="D78" s="902"/>
      <c r="E78" s="35"/>
      <c r="F78" s="62"/>
      <c r="G78" s="62"/>
      <c r="H78" s="62"/>
      <c r="I78" s="62"/>
      <c r="J78" s="35"/>
      <c r="K78" s="37"/>
    </row>
    <row r="79" spans="2:11" ht="15" x14ac:dyDescent="0.25">
      <c r="B79" s="566"/>
      <c r="C79" s="69"/>
      <c r="D79" s="200"/>
      <c r="E79" s="69"/>
      <c r="F79" s="189"/>
      <c r="G79" s="189"/>
      <c r="H79" s="189"/>
      <c r="I79" s="189"/>
      <c r="J79" s="72" t="s">
        <v>388</v>
      </c>
      <c r="K79" s="85"/>
    </row>
    <row r="80" spans="2:11" x14ac:dyDescent="0.2">
      <c r="G80" s="22"/>
      <c r="H80" s="22"/>
      <c r="I80" s="22"/>
    </row>
    <row r="81" spans="7:9" x14ac:dyDescent="0.2">
      <c r="G81" s="22"/>
      <c r="H81" s="22"/>
      <c r="I81" s="22"/>
    </row>
    <row r="82" spans="7:9" x14ac:dyDescent="0.2">
      <c r="G82" s="22"/>
      <c r="H82" s="22"/>
      <c r="I82" s="22"/>
    </row>
    <row r="83" spans="7:9" x14ac:dyDescent="0.2">
      <c r="G83" s="22"/>
      <c r="H83" s="22"/>
      <c r="I83" s="22"/>
    </row>
    <row r="84" spans="7:9" x14ac:dyDescent="0.2">
      <c r="G84" s="22"/>
      <c r="H84" s="22"/>
      <c r="I84" s="22"/>
    </row>
    <row r="85" spans="7:9" x14ac:dyDescent="0.2">
      <c r="G85" s="22"/>
      <c r="H85" s="22"/>
      <c r="I85" s="22"/>
    </row>
    <row r="87" spans="7:9" x14ac:dyDescent="0.2">
      <c r="G87" s="22"/>
      <c r="H87" s="22"/>
      <c r="I87" s="22"/>
    </row>
    <row r="88" spans="7:9" x14ac:dyDescent="0.2">
      <c r="G88" s="22"/>
      <c r="H88" s="22"/>
      <c r="I88" s="22"/>
    </row>
    <row r="89" spans="7:9" x14ac:dyDescent="0.2">
      <c r="G89" s="22"/>
      <c r="H89" s="22"/>
      <c r="I89" s="22"/>
    </row>
    <row r="90" spans="7:9" x14ac:dyDescent="0.2">
      <c r="G90" s="22"/>
      <c r="H90" s="22"/>
      <c r="I90" s="22"/>
    </row>
    <row r="91" spans="7:9" x14ac:dyDescent="0.2">
      <c r="G91" s="22"/>
      <c r="H91" s="22"/>
      <c r="I91" s="22"/>
    </row>
  </sheetData>
  <phoneticPr fontId="0" type="noConversion"/>
  <pageMargins left="0.78740157480314965" right="0.78740157480314965" top="0.98425196850393704" bottom="0.98425196850393704" header="0.51181102362204722" footer="0.51181102362204722"/>
  <pageSetup paperSize="9" scale="58" orientation="portrait" r:id="rId1"/>
  <headerFooter alignWithMargins="0">
    <oddHeader>&amp;L&amp;"Arial,Vet"&amp;F&amp;R&amp;"Arial,Vet"&amp;A</oddHeader>
    <oddFooter>&amp;L&amp;"Arial,Vet"PO-Raad&amp;C&amp;"Arial,Vet"&amp;D&amp;R&amp;"Arial,Vet"pagina &amp;P</oddFooter>
  </headerFooter>
  <rowBreaks count="1" manualBreakCount="1">
    <brk id="79" min="1"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B2:X1646"/>
  <sheetViews>
    <sheetView showGridLines="0" zoomScale="85" zoomScaleNormal="85" zoomScaleSheetLayoutView="70" workbookViewId="0">
      <selection activeCell="B2" sqref="B2"/>
    </sheetView>
  </sheetViews>
  <sheetFormatPr defaultColWidth="9.140625" defaultRowHeight="12.75" x14ac:dyDescent="0.2"/>
  <cols>
    <col min="1" max="1" width="3.7109375" style="5" customWidth="1"/>
    <col min="2" max="3" width="2.7109375" style="5" customWidth="1"/>
    <col min="4" max="4" width="45.7109375" style="5" customWidth="1"/>
    <col min="5" max="5" width="2.7109375" style="5" customWidth="1"/>
    <col min="6" max="9" width="16.85546875" style="6" customWidth="1"/>
    <col min="10" max="10" width="2.7109375" style="5" customWidth="1"/>
    <col min="11" max="11" width="2.5703125" style="5" customWidth="1"/>
    <col min="12" max="12" width="2.7109375" style="5" customWidth="1"/>
    <col min="13" max="13" width="1.7109375" style="5" customWidth="1"/>
    <col min="14" max="14" width="8.5703125" style="5" customWidth="1"/>
    <col min="15" max="15" width="0.7109375" style="5" customWidth="1"/>
    <col min="16" max="16" width="40.7109375" style="5" customWidth="1"/>
    <col min="17" max="17" width="2.42578125" style="5" customWidth="1"/>
    <col min="18" max="22" width="14.7109375" style="6" customWidth="1"/>
    <col min="23" max="23" width="1.7109375" style="5" customWidth="1"/>
    <col min="24" max="24" width="2.5703125" style="5" customWidth="1"/>
    <col min="25" max="28" width="12.28515625" style="5" customWidth="1"/>
    <col min="29" max="37" width="11.7109375" style="5" customWidth="1"/>
    <col min="38" max="16384" width="9.140625" style="5"/>
  </cols>
  <sheetData>
    <row r="2" spans="2:24" x14ac:dyDescent="0.2">
      <c r="B2" s="30"/>
      <c r="C2" s="31"/>
      <c r="D2" s="31"/>
      <c r="E2" s="31"/>
      <c r="F2" s="32"/>
      <c r="G2" s="32"/>
      <c r="H2" s="32"/>
      <c r="I2" s="32"/>
      <c r="J2" s="31"/>
      <c r="K2" s="33"/>
    </row>
    <row r="3" spans="2:24" x14ac:dyDescent="0.2">
      <c r="B3" s="34"/>
      <c r="C3" s="35"/>
      <c r="D3" s="35"/>
      <c r="E3" s="35"/>
      <c r="F3" s="36"/>
      <c r="G3" s="36"/>
      <c r="H3" s="36"/>
      <c r="I3" s="36"/>
      <c r="J3" s="35"/>
      <c r="K3" s="37"/>
    </row>
    <row r="4" spans="2:24" s="165" customFormat="1" ht="18.75" x14ac:dyDescent="0.3">
      <c r="B4" s="365"/>
      <c r="C4" s="151" t="s">
        <v>326</v>
      </c>
      <c r="D4" s="153"/>
      <c r="E4" s="153"/>
      <c r="F4" s="366"/>
      <c r="G4" s="366"/>
      <c r="H4" s="366"/>
      <c r="I4" s="366"/>
      <c r="J4" s="153"/>
      <c r="K4" s="212"/>
      <c r="L4" s="426"/>
      <c r="M4" s="426"/>
      <c r="R4" s="916"/>
      <c r="S4" s="916"/>
      <c r="T4" s="916"/>
      <c r="U4" s="916"/>
      <c r="V4" s="916"/>
    </row>
    <row r="5" spans="2:24" ht="18.75" x14ac:dyDescent="0.3">
      <c r="B5" s="389"/>
      <c r="C5" s="173" t="str">
        <f>geg!G10</f>
        <v>Basisschool</v>
      </c>
      <c r="D5" s="751"/>
      <c r="E5" s="751"/>
      <c r="F5" s="921"/>
      <c r="G5" s="921"/>
      <c r="H5" s="921"/>
      <c r="I5" s="921"/>
      <c r="J5" s="35"/>
      <c r="K5" s="37"/>
      <c r="L5" s="424"/>
      <c r="M5" s="424"/>
    </row>
    <row r="6" spans="2:24" s="381" customFormat="1" x14ac:dyDescent="0.2">
      <c r="B6" s="194"/>
      <c r="C6" s="195"/>
      <c r="D6" s="751"/>
      <c r="E6" s="751"/>
      <c r="F6" s="751"/>
      <c r="G6" s="751"/>
      <c r="H6" s="751"/>
      <c r="I6" s="751"/>
      <c r="J6" s="195"/>
      <c r="K6" s="196"/>
    </row>
    <row r="7" spans="2:24" s="381" customFormat="1" x14ac:dyDescent="0.2">
      <c r="B7" s="194"/>
      <c r="C7" s="195"/>
      <c r="D7" s="751"/>
      <c r="E7" s="751"/>
      <c r="F7" s="751"/>
      <c r="G7" s="751"/>
      <c r="H7" s="751"/>
      <c r="I7" s="751"/>
      <c r="J7" s="195"/>
      <c r="K7" s="196"/>
    </row>
    <row r="8" spans="2:24" s="381" customFormat="1" x14ac:dyDescent="0.2">
      <c r="B8" s="194"/>
      <c r="C8" s="195"/>
      <c r="D8" s="739" t="s">
        <v>238</v>
      </c>
      <c r="E8" s="751"/>
      <c r="F8" s="751"/>
      <c r="G8" s="751"/>
      <c r="H8" s="751"/>
      <c r="I8" s="751"/>
      <c r="J8" s="195"/>
      <c r="K8" s="196"/>
    </row>
    <row r="9" spans="2:24" s="381" customFormat="1" x14ac:dyDescent="0.2">
      <c r="B9" s="194"/>
      <c r="C9" s="195"/>
      <c r="D9" s="922" t="s">
        <v>386</v>
      </c>
      <c r="E9" s="751"/>
      <c r="F9" s="1005"/>
      <c r="G9" s="1005"/>
      <c r="H9" s="1005"/>
      <c r="I9" s="845"/>
      <c r="J9" s="195"/>
      <c r="K9" s="196"/>
    </row>
    <row r="10" spans="2:24" s="381" customFormat="1" x14ac:dyDescent="0.2">
      <c r="B10" s="194"/>
      <c r="C10" s="195"/>
      <c r="D10" s="922" t="s">
        <v>398</v>
      </c>
      <c r="E10" s="751"/>
      <c r="F10" s="738"/>
      <c r="G10" s="738"/>
      <c r="H10" s="738"/>
      <c r="I10" s="845"/>
      <c r="J10" s="195"/>
      <c r="K10" s="196"/>
    </row>
    <row r="11" spans="2:24" s="381" customFormat="1" x14ac:dyDescent="0.2">
      <c r="B11" s="194"/>
      <c r="C11" s="195"/>
      <c r="D11" s="923" t="s">
        <v>399</v>
      </c>
      <c r="E11" s="751"/>
      <c r="F11" s="738"/>
      <c r="G11" s="738"/>
      <c r="H11" s="738"/>
      <c r="I11" s="845"/>
      <c r="J11" s="195"/>
      <c r="K11" s="196"/>
    </row>
    <row r="12" spans="2:24" s="381" customFormat="1" x14ac:dyDescent="0.2">
      <c r="B12" s="194"/>
      <c r="C12" s="195"/>
      <c r="D12" s="923" t="s">
        <v>239</v>
      </c>
      <c r="E12" s="751"/>
      <c r="F12" s="738"/>
      <c r="G12" s="738"/>
      <c r="H12" s="738"/>
      <c r="I12" s="845"/>
      <c r="J12" s="195"/>
      <c r="K12" s="196"/>
    </row>
    <row r="13" spans="2:24" s="381" customFormat="1" x14ac:dyDescent="0.2">
      <c r="B13" s="194"/>
      <c r="C13" s="195"/>
      <c r="D13" s="923" t="s">
        <v>400</v>
      </c>
      <c r="E13" s="751"/>
      <c r="F13" s="738"/>
      <c r="G13" s="738"/>
      <c r="H13" s="738"/>
      <c r="I13" s="845"/>
      <c r="J13" s="195"/>
      <c r="K13" s="196"/>
    </row>
    <row r="14" spans="2:24" ht="12.75" customHeight="1" x14ac:dyDescent="0.2">
      <c r="B14" s="34"/>
      <c r="C14" s="35"/>
      <c r="D14" s="751"/>
      <c r="E14" s="924"/>
      <c r="F14" s="925"/>
      <c r="G14" s="758"/>
      <c r="H14" s="758"/>
      <c r="I14" s="758"/>
      <c r="J14" s="62"/>
      <c r="K14" s="63"/>
      <c r="R14" s="5"/>
      <c r="S14" s="5"/>
      <c r="T14" s="5"/>
      <c r="U14" s="5"/>
      <c r="V14" s="5"/>
      <c r="X14" s="22"/>
    </row>
    <row r="15" spans="2:24" ht="12.75" customHeight="1" x14ac:dyDescent="0.2">
      <c r="B15" s="34"/>
      <c r="C15" s="35"/>
      <c r="D15" s="751"/>
      <c r="E15" s="924"/>
      <c r="F15" s="925"/>
      <c r="G15" s="758"/>
      <c r="H15" s="758"/>
      <c r="I15" s="758"/>
      <c r="J15" s="62"/>
      <c r="K15" s="63"/>
      <c r="R15" s="5"/>
      <c r="S15" s="5"/>
      <c r="T15" s="5"/>
      <c r="U15" s="5"/>
      <c r="V15" s="5"/>
      <c r="X15" s="22"/>
    </row>
    <row r="16" spans="2:24" s="8" customFormat="1" ht="12.75" customHeight="1" x14ac:dyDescent="0.2">
      <c r="B16" s="175"/>
      <c r="C16" s="40"/>
      <c r="D16" s="751"/>
      <c r="E16" s="924"/>
      <c r="F16" s="742">
        <f>begr!G8</f>
        <v>2017</v>
      </c>
      <c r="G16" s="742">
        <f>begr!H8</f>
        <v>2018</v>
      </c>
      <c r="H16" s="742">
        <f>begr!I8</f>
        <v>2019</v>
      </c>
      <c r="I16" s="742">
        <f>begr!J8</f>
        <v>2020</v>
      </c>
      <c r="J16" s="170"/>
      <c r="K16" s="463"/>
      <c r="X16" s="232"/>
    </row>
    <row r="17" spans="2:24" ht="12.75" customHeight="1" x14ac:dyDescent="0.2">
      <c r="B17" s="34"/>
      <c r="C17" s="35"/>
      <c r="D17" s="833"/>
      <c r="E17" s="833"/>
      <c r="F17" s="926"/>
      <c r="G17" s="926"/>
      <c r="H17" s="926"/>
      <c r="I17" s="926"/>
      <c r="J17" s="62"/>
      <c r="K17" s="63"/>
      <c r="R17" s="5"/>
      <c r="S17" s="5"/>
      <c r="T17" s="5"/>
      <c r="U17" s="5"/>
      <c r="V17" s="5"/>
      <c r="X17" s="22"/>
    </row>
    <row r="18" spans="2:24" ht="12.75" customHeight="1" x14ac:dyDescent="0.2">
      <c r="B18" s="34"/>
      <c r="C18" s="86"/>
      <c r="D18" s="338"/>
      <c r="E18" s="338"/>
      <c r="F18" s="148"/>
      <c r="G18" s="148"/>
      <c r="H18" s="148"/>
      <c r="I18" s="148"/>
      <c r="J18" s="149"/>
      <c r="K18" s="63"/>
      <c r="R18" s="5"/>
      <c r="S18" s="5"/>
      <c r="T18" s="5"/>
      <c r="U18" s="5"/>
      <c r="V18" s="5"/>
      <c r="X18" s="22"/>
    </row>
    <row r="19" spans="2:24" ht="12.75" customHeight="1" x14ac:dyDescent="0.2">
      <c r="B19" s="34"/>
      <c r="C19" s="91"/>
      <c r="D19" s="103" t="s">
        <v>23</v>
      </c>
      <c r="E19" s="103"/>
      <c r="F19" s="927" t="str">
        <f>geg!G10</f>
        <v>Basisschool</v>
      </c>
      <c r="G19" s="928"/>
      <c r="H19" s="928"/>
      <c r="I19" s="928"/>
      <c r="J19" s="110"/>
      <c r="K19" s="63"/>
      <c r="R19" s="5"/>
      <c r="S19" s="5"/>
      <c r="T19" s="5"/>
      <c r="U19" s="5"/>
      <c r="V19" s="5"/>
      <c r="X19" s="22"/>
    </row>
    <row r="20" spans="2:24" ht="12.75" customHeight="1" x14ac:dyDescent="0.2">
      <c r="B20" s="34"/>
      <c r="C20" s="91"/>
      <c r="D20" s="103" t="s">
        <v>258</v>
      </c>
      <c r="E20" s="103"/>
      <c r="F20" s="927" t="str">
        <f>geg!G11</f>
        <v>11AA</v>
      </c>
      <c r="G20" s="928"/>
      <c r="H20" s="928"/>
      <c r="I20" s="928"/>
      <c r="J20" s="110"/>
      <c r="K20" s="63"/>
      <c r="R20" s="5"/>
      <c r="S20" s="5"/>
      <c r="T20" s="5"/>
      <c r="U20" s="5"/>
      <c r="V20" s="5"/>
      <c r="X20" s="22"/>
    </row>
    <row r="21" spans="2:24" ht="12.75" customHeight="1" x14ac:dyDescent="0.2">
      <c r="B21" s="34"/>
      <c r="C21" s="91"/>
      <c r="D21" s="103" t="s">
        <v>277</v>
      </c>
      <c r="E21" s="103"/>
      <c r="F21" s="929">
        <f ca="1">TODAY()</f>
        <v>42653</v>
      </c>
      <c r="G21" s="928"/>
      <c r="H21" s="928"/>
      <c r="I21" s="928"/>
      <c r="J21" s="110"/>
      <c r="K21" s="63"/>
      <c r="R21" s="5"/>
      <c r="S21" s="5"/>
      <c r="T21" s="5"/>
      <c r="U21" s="5"/>
      <c r="V21" s="5"/>
      <c r="X21" s="22"/>
    </row>
    <row r="22" spans="2:24" ht="12.75" customHeight="1" x14ac:dyDescent="0.2">
      <c r="B22" s="34"/>
      <c r="C22" s="91"/>
      <c r="D22" s="92" t="s">
        <v>111</v>
      </c>
      <c r="E22" s="92"/>
      <c r="F22" s="930">
        <f>geg!H22</f>
        <v>45</v>
      </c>
      <c r="G22" s="930">
        <f>geg!I22</f>
        <v>45</v>
      </c>
      <c r="H22" s="930">
        <f>geg!J22</f>
        <v>45</v>
      </c>
      <c r="I22" s="930">
        <f>geg!K22</f>
        <v>45</v>
      </c>
      <c r="J22" s="110"/>
      <c r="K22" s="63"/>
      <c r="R22" s="5"/>
      <c r="S22" s="5"/>
      <c r="T22" s="5"/>
      <c r="U22" s="5"/>
      <c r="V22" s="5"/>
      <c r="X22" s="22"/>
    </row>
    <row r="23" spans="2:24" ht="12.75" customHeight="1" x14ac:dyDescent="0.2">
      <c r="B23" s="34"/>
      <c r="C23" s="91"/>
      <c r="D23" s="92" t="s">
        <v>112</v>
      </c>
      <c r="E23" s="92"/>
      <c r="F23" s="930">
        <f>geg!H23</f>
        <v>45</v>
      </c>
      <c r="G23" s="930">
        <f>geg!I23</f>
        <v>45</v>
      </c>
      <c r="H23" s="930">
        <f>geg!J23</f>
        <v>45</v>
      </c>
      <c r="I23" s="930">
        <f>geg!K23</f>
        <v>45</v>
      </c>
      <c r="J23" s="110"/>
      <c r="K23" s="63"/>
      <c r="R23" s="5"/>
      <c r="S23" s="5"/>
      <c r="T23" s="5"/>
      <c r="U23" s="5"/>
      <c r="V23" s="5"/>
      <c r="X23" s="22"/>
    </row>
    <row r="24" spans="2:24" ht="12.75" customHeight="1" x14ac:dyDescent="0.2">
      <c r="B24" s="34"/>
      <c r="C24" s="91"/>
      <c r="D24" s="103" t="s">
        <v>252</v>
      </c>
      <c r="E24" s="115"/>
      <c r="F24" s="928">
        <f>geg!H28</f>
        <v>0</v>
      </c>
      <c r="G24" s="928">
        <f>geg!I28</f>
        <v>0</v>
      </c>
      <c r="H24" s="928">
        <f>geg!J28</f>
        <v>0</v>
      </c>
      <c r="I24" s="928">
        <f>geg!K28</f>
        <v>0</v>
      </c>
      <c r="J24" s="110"/>
      <c r="K24" s="63"/>
      <c r="R24" s="5"/>
      <c r="S24" s="5"/>
      <c r="T24" s="5"/>
      <c r="U24" s="5"/>
      <c r="V24" s="5"/>
      <c r="X24" s="22"/>
    </row>
    <row r="25" spans="2:24" ht="12.75" customHeight="1" x14ac:dyDescent="0.2">
      <c r="B25" s="34"/>
      <c r="C25" s="91"/>
      <c r="D25" s="103" t="s">
        <v>278</v>
      </c>
      <c r="E25" s="92"/>
      <c r="F25" s="930">
        <f>geg!H24</f>
        <v>90</v>
      </c>
      <c r="G25" s="930">
        <f>geg!I24</f>
        <v>90</v>
      </c>
      <c r="H25" s="930">
        <f>geg!J24</f>
        <v>90</v>
      </c>
      <c r="I25" s="930">
        <f>geg!K24</f>
        <v>90</v>
      </c>
      <c r="J25" s="110"/>
      <c r="K25" s="63"/>
      <c r="R25" s="5"/>
      <c r="S25" s="5"/>
      <c r="T25" s="5"/>
      <c r="U25" s="5"/>
      <c r="V25" s="5"/>
      <c r="X25" s="22"/>
    </row>
    <row r="26" spans="2:24" ht="12.75" customHeight="1" x14ac:dyDescent="0.2">
      <c r="B26" s="34"/>
      <c r="C26" s="91"/>
      <c r="D26" s="103" t="s">
        <v>279</v>
      </c>
      <c r="E26" s="92"/>
      <c r="F26" s="930"/>
      <c r="G26" s="930"/>
      <c r="H26" s="930"/>
      <c r="I26" s="930"/>
      <c r="J26" s="110"/>
      <c r="K26" s="63"/>
      <c r="R26" s="5"/>
      <c r="S26" s="5"/>
      <c r="T26" s="5"/>
      <c r="U26" s="5"/>
      <c r="V26" s="5"/>
      <c r="X26" s="22"/>
    </row>
    <row r="27" spans="2:24" ht="12.75" customHeight="1" x14ac:dyDescent="0.2">
      <c r="B27" s="34"/>
      <c r="C27" s="91"/>
      <c r="D27" s="103" t="s">
        <v>395</v>
      </c>
      <c r="E27" s="92"/>
      <c r="F27" s="930"/>
      <c r="G27" s="930"/>
      <c r="H27" s="930"/>
      <c r="I27" s="930"/>
      <c r="J27" s="110"/>
      <c r="K27" s="63"/>
      <c r="R27" s="5"/>
      <c r="S27" s="5"/>
      <c r="T27" s="5"/>
      <c r="U27" s="5"/>
      <c r="V27" s="5"/>
      <c r="X27" s="22"/>
    </row>
    <row r="28" spans="2:24" ht="12.75" customHeight="1" x14ac:dyDescent="0.2">
      <c r="B28" s="34"/>
      <c r="C28" s="91"/>
      <c r="D28" s="92" t="s">
        <v>281</v>
      </c>
      <c r="E28" s="115"/>
      <c r="F28" s="931">
        <f>pers!I123</f>
        <v>6.2675000000000001</v>
      </c>
      <c r="G28" s="931">
        <f>pers!J123</f>
        <v>5.6900000000000013</v>
      </c>
      <c r="H28" s="931">
        <f>pers!K123</f>
        <v>5.6900000000000013</v>
      </c>
      <c r="I28" s="931">
        <f>pers!L123</f>
        <v>5.6900000000000013</v>
      </c>
      <c r="J28" s="110"/>
      <c r="K28" s="63"/>
      <c r="R28" s="5"/>
      <c r="S28" s="5"/>
      <c r="T28" s="5"/>
      <c r="U28" s="5"/>
      <c r="V28" s="5"/>
      <c r="X28" s="22"/>
    </row>
    <row r="29" spans="2:24" ht="12.75" customHeight="1" x14ac:dyDescent="0.2">
      <c r="B29" s="34"/>
      <c r="C29" s="91"/>
      <c r="D29" s="92" t="s">
        <v>282</v>
      </c>
      <c r="E29" s="115"/>
      <c r="F29" s="931">
        <f>pers!I124</f>
        <v>1</v>
      </c>
      <c r="G29" s="931">
        <f>pers!J124</f>
        <v>1</v>
      </c>
      <c r="H29" s="931">
        <f>pers!K124</f>
        <v>1</v>
      </c>
      <c r="I29" s="931">
        <f>pers!L124</f>
        <v>1</v>
      </c>
      <c r="J29" s="110"/>
      <c r="K29" s="63"/>
      <c r="R29" s="5"/>
      <c r="S29" s="5"/>
      <c r="T29" s="5"/>
      <c r="U29" s="5"/>
      <c r="V29" s="5"/>
      <c r="X29" s="22"/>
    </row>
    <row r="30" spans="2:24" ht="12.75" customHeight="1" x14ac:dyDescent="0.2">
      <c r="B30" s="34"/>
      <c r="C30" s="91"/>
      <c r="D30" s="92" t="s">
        <v>283</v>
      </c>
      <c r="E30" s="115"/>
      <c r="F30" s="931">
        <f>F28-F29</f>
        <v>5.2675000000000001</v>
      </c>
      <c r="G30" s="931">
        <f>G28-G29</f>
        <v>4.6900000000000013</v>
      </c>
      <c r="H30" s="931">
        <f>H28-H29</f>
        <v>4.6900000000000013</v>
      </c>
      <c r="I30" s="931">
        <f>I28-I29</f>
        <v>4.6900000000000013</v>
      </c>
      <c r="J30" s="110"/>
      <c r="K30" s="63"/>
      <c r="R30" s="5"/>
      <c r="S30" s="5"/>
      <c r="T30" s="5"/>
      <c r="U30" s="5"/>
      <c r="V30" s="5"/>
      <c r="X30" s="22"/>
    </row>
    <row r="31" spans="2:24" ht="12.75" customHeight="1" x14ac:dyDescent="0.2">
      <c r="B31" s="34"/>
      <c r="C31" s="91"/>
      <c r="D31" s="92" t="s">
        <v>284</v>
      </c>
      <c r="E31" s="115"/>
      <c r="F31" s="931"/>
      <c r="G31" s="931"/>
      <c r="H31" s="931"/>
      <c r="I31" s="931"/>
      <c r="J31" s="110"/>
      <c r="K31" s="63"/>
      <c r="R31" s="5"/>
      <c r="S31" s="5"/>
      <c r="T31" s="5"/>
      <c r="U31" s="5"/>
      <c r="V31" s="5"/>
      <c r="X31" s="22"/>
    </row>
    <row r="32" spans="2:24" ht="12.75" customHeight="1" x14ac:dyDescent="0.2">
      <c r="B32" s="34"/>
      <c r="C32" s="91"/>
      <c r="D32" s="92" t="s">
        <v>285</v>
      </c>
      <c r="E32" s="115"/>
      <c r="F32" s="931"/>
      <c r="G32" s="931"/>
      <c r="H32" s="931"/>
      <c r="I32" s="931"/>
      <c r="J32" s="110"/>
      <c r="K32" s="63"/>
      <c r="R32" s="5"/>
      <c r="S32" s="5"/>
      <c r="T32" s="5"/>
      <c r="U32" s="5"/>
      <c r="V32" s="5"/>
      <c r="X32" s="22"/>
    </row>
    <row r="33" spans="2:24" ht="12.75" customHeight="1" x14ac:dyDescent="0.2">
      <c r="B33" s="34"/>
      <c r="C33" s="91"/>
      <c r="D33" s="92" t="s">
        <v>286</v>
      </c>
      <c r="E33" s="115"/>
      <c r="F33" s="931"/>
      <c r="G33" s="931"/>
      <c r="H33" s="931"/>
      <c r="I33" s="931"/>
      <c r="J33" s="110"/>
      <c r="K33" s="63"/>
      <c r="R33" s="5"/>
      <c r="S33" s="5"/>
      <c r="T33" s="5"/>
      <c r="U33" s="5"/>
      <c r="V33" s="5"/>
      <c r="X33" s="22"/>
    </row>
    <row r="34" spans="2:24" ht="12.75" customHeight="1" x14ac:dyDescent="0.2">
      <c r="B34" s="34"/>
      <c r="C34" s="91"/>
      <c r="D34" s="103" t="s">
        <v>190</v>
      </c>
      <c r="E34" s="103"/>
      <c r="F34" s="807">
        <f>fiebouw!F13</f>
        <v>0</v>
      </c>
      <c r="G34" s="807">
        <f>fiebouw!J13</f>
        <v>0</v>
      </c>
      <c r="H34" s="807">
        <f>fiebouw!N13</f>
        <v>0</v>
      </c>
      <c r="I34" s="807">
        <f>fiebouw!R13</f>
        <v>0</v>
      </c>
      <c r="J34" s="110"/>
      <c r="K34" s="63"/>
      <c r="R34" s="5"/>
      <c r="S34" s="5"/>
      <c r="T34" s="5"/>
      <c r="U34" s="5"/>
      <c r="V34" s="5"/>
      <c r="X34" s="22"/>
    </row>
    <row r="35" spans="2:24" ht="12.75" customHeight="1" x14ac:dyDescent="0.2">
      <c r="B35" s="34"/>
      <c r="C35" s="91"/>
      <c r="D35" s="103" t="s">
        <v>191</v>
      </c>
      <c r="E35" s="103"/>
      <c r="F35" s="807">
        <f>fiebouw!F14</f>
        <v>0</v>
      </c>
      <c r="G35" s="807">
        <f>fiebouw!J14</f>
        <v>0</v>
      </c>
      <c r="H35" s="807">
        <f>fiebouw!N14</f>
        <v>0</v>
      </c>
      <c r="I35" s="807">
        <f>fiebouw!R14</f>
        <v>0</v>
      </c>
      <c r="J35" s="110"/>
      <c r="K35" s="63"/>
      <c r="R35" s="5"/>
      <c r="S35" s="5"/>
      <c r="T35" s="5"/>
      <c r="U35" s="5"/>
      <c r="V35" s="5"/>
      <c r="X35" s="22"/>
    </row>
    <row r="36" spans="2:24" ht="12.75" customHeight="1" x14ac:dyDescent="0.2">
      <c r="B36" s="34"/>
      <c r="C36" s="91"/>
      <c r="D36" s="103" t="s">
        <v>192</v>
      </c>
      <c r="E36" s="103"/>
      <c r="F36" s="807">
        <f>fiebouw!F15</f>
        <v>0</v>
      </c>
      <c r="G36" s="807">
        <f>fiebouw!J15</f>
        <v>0</v>
      </c>
      <c r="H36" s="807">
        <f>fiebouw!N15</f>
        <v>0</v>
      </c>
      <c r="I36" s="807">
        <f>fiebouw!R15</f>
        <v>0</v>
      </c>
      <c r="J36" s="110"/>
      <c r="K36" s="63"/>
      <c r="R36" s="5"/>
      <c r="S36" s="5"/>
      <c r="T36" s="5"/>
      <c r="U36" s="5"/>
      <c r="V36" s="5"/>
      <c r="X36" s="22"/>
    </row>
    <row r="37" spans="2:24" ht="12.75" customHeight="1" x14ac:dyDescent="0.2">
      <c r="B37" s="34"/>
      <c r="C37" s="91"/>
      <c r="D37" s="103" t="s">
        <v>193</v>
      </c>
      <c r="E37" s="103"/>
      <c r="F37" s="807">
        <f>fiebouw!F16</f>
        <v>0</v>
      </c>
      <c r="G37" s="807">
        <f>fiebouw!J16</f>
        <v>0</v>
      </c>
      <c r="H37" s="807">
        <f>fiebouw!N16</f>
        <v>0</v>
      </c>
      <c r="I37" s="807">
        <f>fiebouw!R16</f>
        <v>0</v>
      </c>
      <c r="J37" s="110"/>
      <c r="K37" s="63"/>
      <c r="R37" s="5"/>
      <c r="S37" s="5"/>
      <c r="T37" s="5"/>
      <c r="U37" s="5"/>
      <c r="V37" s="5"/>
      <c r="X37" s="22"/>
    </row>
    <row r="38" spans="2:24" ht="12.75" customHeight="1" x14ac:dyDescent="0.2">
      <c r="B38" s="34"/>
      <c r="C38" s="91"/>
      <c r="D38" s="103" t="s">
        <v>194</v>
      </c>
      <c r="E38" s="103"/>
      <c r="F38" s="807">
        <f>fiebouw!F17</f>
        <v>0</v>
      </c>
      <c r="G38" s="807">
        <f>fiebouw!J17</f>
        <v>0</v>
      </c>
      <c r="H38" s="807">
        <f>fiebouw!N17</f>
        <v>0</v>
      </c>
      <c r="I38" s="807">
        <f>fiebouw!R17</f>
        <v>0</v>
      </c>
      <c r="J38" s="110"/>
      <c r="K38" s="63"/>
      <c r="R38" s="5"/>
      <c r="S38" s="5"/>
      <c r="T38" s="5"/>
      <c r="U38" s="5"/>
      <c r="V38" s="5"/>
      <c r="X38" s="22"/>
    </row>
    <row r="39" spans="2:24" ht="12.75" customHeight="1" x14ac:dyDescent="0.2">
      <c r="B39" s="34"/>
      <c r="C39" s="91"/>
      <c r="D39" s="103" t="s">
        <v>195</v>
      </c>
      <c r="E39" s="103"/>
      <c r="F39" s="807">
        <f>fiebouw!F18</f>
        <v>0</v>
      </c>
      <c r="G39" s="807">
        <f>fiebouw!J18</f>
        <v>0</v>
      </c>
      <c r="H39" s="807">
        <f>fiebouw!N18</f>
        <v>0</v>
      </c>
      <c r="I39" s="807">
        <f>fiebouw!R18</f>
        <v>0</v>
      </c>
      <c r="J39" s="110"/>
      <c r="K39" s="63"/>
      <c r="R39" s="5"/>
      <c r="S39" s="5"/>
      <c r="T39" s="5"/>
      <c r="U39" s="5"/>
      <c r="V39" s="5"/>
      <c r="X39" s="22"/>
    </row>
    <row r="40" spans="2:24" ht="12.75" customHeight="1" x14ac:dyDescent="0.2">
      <c r="B40" s="34"/>
      <c r="C40" s="91"/>
      <c r="D40" s="103" t="s">
        <v>196</v>
      </c>
      <c r="E40" s="103"/>
      <c r="F40" s="807">
        <f>fiebouw!F19</f>
        <v>0</v>
      </c>
      <c r="G40" s="807">
        <f>fiebouw!J19</f>
        <v>0</v>
      </c>
      <c r="H40" s="807">
        <f>fiebouw!N19</f>
        <v>0</v>
      </c>
      <c r="I40" s="807">
        <f>fiebouw!R19</f>
        <v>0</v>
      </c>
      <c r="J40" s="110"/>
      <c r="K40" s="63"/>
      <c r="R40" s="5"/>
      <c r="S40" s="5"/>
      <c r="T40" s="5"/>
      <c r="U40" s="5"/>
      <c r="V40" s="5"/>
      <c r="X40" s="22"/>
    </row>
    <row r="41" spans="2:24" ht="12.75" customHeight="1" x14ac:dyDescent="0.2">
      <c r="B41" s="34"/>
      <c r="C41" s="91"/>
      <c r="D41" s="103" t="s">
        <v>197</v>
      </c>
      <c r="E41" s="103"/>
      <c r="F41" s="807">
        <f>fiebouw!F20</f>
        <v>0</v>
      </c>
      <c r="G41" s="807">
        <f>fiebouw!J20</f>
        <v>0</v>
      </c>
      <c r="H41" s="807">
        <f>fiebouw!N20</f>
        <v>0</v>
      </c>
      <c r="I41" s="807">
        <f>fiebouw!R20</f>
        <v>0</v>
      </c>
      <c r="J41" s="110"/>
      <c r="K41" s="63"/>
      <c r="R41" s="5"/>
      <c r="S41" s="5"/>
      <c r="T41" s="5"/>
      <c r="U41" s="5"/>
      <c r="V41" s="5"/>
      <c r="X41" s="22"/>
    </row>
    <row r="42" spans="2:24" ht="12.75" customHeight="1" x14ac:dyDescent="0.2">
      <c r="B42" s="34"/>
      <c r="C42" s="91"/>
      <c r="D42" s="103" t="s">
        <v>198</v>
      </c>
      <c r="E42" s="103"/>
      <c r="F42" s="807">
        <f>fiebouw!F21</f>
        <v>0</v>
      </c>
      <c r="G42" s="807">
        <f>fiebouw!J21</f>
        <v>0</v>
      </c>
      <c r="H42" s="807">
        <f>fiebouw!N21</f>
        <v>0</v>
      </c>
      <c r="I42" s="807">
        <f>fiebouw!R21</f>
        <v>0</v>
      </c>
      <c r="J42" s="110"/>
      <c r="K42" s="63"/>
      <c r="R42" s="5"/>
      <c r="S42" s="5"/>
      <c r="T42" s="5"/>
      <c r="U42" s="5"/>
      <c r="V42" s="5"/>
      <c r="X42" s="22"/>
    </row>
    <row r="43" spans="2:24" ht="12.75" customHeight="1" x14ac:dyDescent="0.2">
      <c r="B43" s="34"/>
      <c r="C43" s="91"/>
      <c r="D43" s="103" t="s">
        <v>199</v>
      </c>
      <c r="E43" s="103"/>
      <c r="F43" s="807">
        <f>fiebouw!F22</f>
        <v>0</v>
      </c>
      <c r="G43" s="807">
        <f>fiebouw!J22</f>
        <v>0</v>
      </c>
      <c r="H43" s="807">
        <f>fiebouw!N22</f>
        <v>0</v>
      </c>
      <c r="I43" s="807">
        <f>fiebouw!R22</f>
        <v>0</v>
      </c>
      <c r="J43" s="110"/>
      <c r="K43" s="63"/>
      <c r="R43" s="5"/>
      <c r="S43" s="5"/>
      <c r="T43" s="5"/>
      <c r="U43" s="5"/>
      <c r="V43" s="5"/>
      <c r="X43" s="22"/>
    </row>
    <row r="44" spans="2:24" ht="12.75" customHeight="1" x14ac:dyDescent="0.2">
      <c r="B44" s="34"/>
      <c r="C44" s="91"/>
      <c r="D44" s="103" t="s">
        <v>200</v>
      </c>
      <c r="E44" s="103"/>
      <c r="F44" s="807">
        <f>fiebouw!F23</f>
        <v>0</v>
      </c>
      <c r="G44" s="807">
        <f>fiebouw!J23</f>
        <v>0</v>
      </c>
      <c r="H44" s="807">
        <f>fiebouw!N23</f>
        <v>0</v>
      </c>
      <c r="I44" s="807">
        <f>fiebouw!R23</f>
        <v>0</v>
      </c>
      <c r="J44" s="110"/>
      <c r="K44" s="63"/>
      <c r="R44" s="5"/>
      <c r="S44" s="5"/>
      <c r="T44" s="5"/>
      <c r="U44" s="5"/>
      <c r="V44" s="5"/>
      <c r="X44" s="22"/>
    </row>
    <row r="45" spans="2:24" ht="12.75" customHeight="1" x14ac:dyDescent="0.2">
      <c r="B45" s="34"/>
      <c r="C45" s="91"/>
      <c r="D45" s="103" t="s">
        <v>201</v>
      </c>
      <c r="E45" s="103"/>
      <c r="F45" s="807">
        <f>fiebouw!F24</f>
        <v>0</v>
      </c>
      <c r="G45" s="807">
        <f>fiebouw!J24</f>
        <v>0</v>
      </c>
      <c r="H45" s="807">
        <f>fiebouw!N24</f>
        <v>0</v>
      </c>
      <c r="I45" s="807">
        <f>fiebouw!R24</f>
        <v>0</v>
      </c>
      <c r="J45" s="110"/>
      <c r="K45" s="63"/>
      <c r="R45" s="5"/>
      <c r="S45" s="5"/>
      <c r="T45" s="5"/>
      <c r="U45" s="5"/>
      <c r="V45" s="5"/>
      <c r="X45" s="22"/>
    </row>
    <row r="46" spans="2:24" ht="12.75" customHeight="1" x14ac:dyDescent="0.2">
      <c r="B46" s="34"/>
      <c r="C46" s="91"/>
      <c r="D46" s="103" t="s">
        <v>202</v>
      </c>
      <c r="E46" s="103"/>
      <c r="F46" s="807">
        <f>fiebouw!F25</f>
        <v>1</v>
      </c>
      <c r="G46" s="807">
        <f>fiebouw!J25</f>
        <v>1</v>
      </c>
      <c r="H46" s="807">
        <f>fiebouw!N25</f>
        <v>1</v>
      </c>
      <c r="I46" s="807">
        <f>fiebouw!R25</f>
        <v>1</v>
      </c>
      <c r="J46" s="110"/>
      <c r="K46" s="63"/>
      <c r="R46" s="5"/>
      <c r="S46" s="5"/>
      <c r="T46" s="5"/>
      <c r="U46" s="5"/>
      <c r="V46" s="5"/>
      <c r="X46" s="22"/>
    </row>
    <row r="47" spans="2:24" ht="12.75" customHeight="1" x14ac:dyDescent="0.2">
      <c r="B47" s="34"/>
      <c r="C47" s="91"/>
      <c r="D47" s="103" t="s">
        <v>203</v>
      </c>
      <c r="E47" s="103"/>
      <c r="F47" s="807">
        <f>fiebouw!F26</f>
        <v>0</v>
      </c>
      <c r="G47" s="807">
        <f>fiebouw!J26</f>
        <v>0</v>
      </c>
      <c r="H47" s="807">
        <f>fiebouw!N26</f>
        <v>0</v>
      </c>
      <c r="I47" s="807">
        <f>fiebouw!R26</f>
        <v>0</v>
      </c>
      <c r="J47" s="110"/>
      <c r="K47" s="63"/>
      <c r="R47" s="5"/>
      <c r="S47" s="5"/>
      <c r="T47" s="5"/>
      <c r="U47" s="5"/>
      <c r="V47" s="5"/>
      <c r="X47" s="22"/>
    </row>
    <row r="48" spans="2:24" ht="12.75" customHeight="1" x14ac:dyDescent="0.2">
      <c r="B48" s="34"/>
      <c r="C48" s="91"/>
      <c r="D48" s="103" t="s">
        <v>204</v>
      </c>
      <c r="E48" s="103"/>
      <c r="F48" s="807">
        <f>fiebouw!F27</f>
        <v>0</v>
      </c>
      <c r="G48" s="807">
        <f>fiebouw!J27</f>
        <v>0</v>
      </c>
      <c r="H48" s="807">
        <f>fiebouw!N27</f>
        <v>0</v>
      </c>
      <c r="I48" s="807">
        <f>fiebouw!R27</f>
        <v>0</v>
      </c>
      <c r="J48" s="110"/>
      <c r="K48" s="63"/>
      <c r="R48" s="5"/>
      <c r="S48" s="5"/>
      <c r="T48" s="5"/>
      <c r="U48" s="5"/>
      <c r="V48" s="5"/>
      <c r="X48" s="22"/>
    </row>
    <row r="49" spans="2:24" ht="12.75" customHeight="1" x14ac:dyDescent="0.2">
      <c r="B49" s="34"/>
      <c r="C49" s="91"/>
      <c r="D49" s="103" t="s">
        <v>205</v>
      </c>
      <c r="E49" s="103"/>
      <c r="F49" s="807">
        <f>fiebouw!F28</f>
        <v>0</v>
      </c>
      <c r="G49" s="807">
        <f>fiebouw!J28</f>
        <v>0</v>
      </c>
      <c r="H49" s="807">
        <f>fiebouw!N28</f>
        <v>0</v>
      </c>
      <c r="I49" s="807">
        <f>fiebouw!R28</f>
        <v>0</v>
      </c>
      <c r="J49" s="110"/>
      <c r="K49" s="63"/>
      <c r="R49" s="5"/>
      <c r="S49" s="5"/>
      <c r="T49" s="5"/>
      <c r="U49" s="5"/>
      <c r="V49" s="5"/>
      <c r="X49" s="22"/>
    </row>
    <row r="50" spans="2:24" ht="12.75" customHeight="1" x14ac:dyDescent="0.2">
      <c r="B50" s="34"/>
      <c r="C50" s="91"/>
      <c r="D50" s="103" t="s">
        <v>206</v>
      </c>
      <c r="E50" s="103"/>
      <c r="F50" s="807">
        <f>fiebouw!F29</f>
        <v>0</v>
      </c>
      <c r="G50" s="807">
        <f>fiebouw!J29</f>
        <v>0</v>
      </c>
      <c r="H50" s="807">
        <f>fiebouw!N29</f>
        <v>0</v>
      </c>
      <c r="I50" s="807">
        <f>fiebouw!R29</f>
        <v>0</v>
      </c>
      <c r="J50" s="110"/>
      <c r="K50" s="63"/>
      <c r="R50" s="5"/>
      <c r="S50" s="5"/>
      <c r="T50" s="5"/>
      <c r="U50" s="5"/>
      <c r="V50" s="5"/>
      <c r="X50" s="22"/>
    </row>
    <row r="51" spans="2:24" ht="12.75" customHeight="1" x14ac:dyDescent="0.2">
      <c r="B51" s="34"/>
      <c r="C51" s="91"/>
      <c r="D51" s="103">
        <v>1</v>
      </c>
      <c r="E51" s="103"/>
      <c r="F51" s="807">
        <f>fiebouw!F30</f>
        <v>0</v>
      </c>
      <c r="G51" s="807">
        <f>fiebouw!J30</f>
        <v>0</v>
      </c>
      <c r="H51" s="807">
        <f>fiebouw!N30</f>
        <v>0</v>
      </c>
      <c r="I51" s="807">
        <f>fiebouw!R30</f>
        <v>0</v>
      </c>
      <c r="J51" s="110"/>
      <c r="K51" s="63"/>
      <c r="R51" s="5"/>
      <c r="S51" s="5"/>
      <c r="T51" s="5"/>
      <c r="U51" s="5"/>
      <c r="V51" s="5"/>
      <c r="X51" s="22"/>
    </row>
    <row r="52" spans="2:24" ht="12.75" customHeight="1" x14ac:dyDescent="0.2">
      <c r="B52" s="34"/>
      <c r="C52" s="91"/>
      <c r="D52" s="103">
        <v>2</v>
      </c>
      <c r="E52" s="103"/>
      <c r="F52" s="807">
        <f>fiebouw!F31</f>
        <v>0</v>
      </c>
      <c r="G52" s="807">
        <f>fiebouw!J31</f>
        <v>0</v>
      </c>
      <c r="H52" s="807">
        <f>fiebouw!N31</f>
        <v>0</v>
      </c>
      <c r="I52" s="807">
        <f>fiebouw!R31</f>
        <v>0</v>
      </c>
      <c r="J52" s="110"/>
      <c r="K52" s="63"/>
      <c r="R52" s="5"/>
      <c r="S52" s="5"/>
      <c r="T52" s="5"/>
      <c r="U52" s="5"/>
      <c r="V52" s="5"/>
      <c r="X52" s="22"/>
    </row>
    <row r="53" spans="2:24" ht="12.75" customHeight="1" x14ac:dyDescent="0.2">
      <c r="B53" s="34"/>
      <c r="C53" s="91"/>
      <c r="D53" s="103">
        <v>3</v>
      </c>
      <c r="E53" s="103"/>
      <c r="F53" s="807">
        <f>fiebouw!F32</f>
        <v>0</v>
      </c>
      <c r="G53" s="807">
        <f>fiebouw!J32</f>
        <v>0</v>
      </c>
      <c r="H53" s="807">
        <f>fiebouw!N32</f>
        <v>0</v>
      </c>
      <c r="I53" s="807">
        <f>fiebouw!R32</f>
        <v>0</v>
      </c>
      <c r="J53" s="110"/>
      <c r="K53" s="63"/>
      <c r="R53" s="5"/>
      <c r="S53" s="5"/>
      <c r="T53" s="5"/>
      <c r="U53" s="5"/>
      <c r="V53" s="5"/>
      <c r="X53" s="22"/>
    </row>
    <row r="54" spans="2:24" ht="12.75" customHeight="1" x14ac:dyDescent="0.2">
      <c r="B54" s="34"/>
      <c r="C54" s="91"/>
      <c r="D54" s="103">
        <v>4</v>
      </c>
      <c r="E54" s="103"/>
      <c r="F54" s="807">
        <f>fiebouw!F33</f>
        <v>0</v>
      </c>
      <c r="G54" s="807">
        <f>fiebouw!J33</f>
        <v>0</v>
      </c>
      <c r="H54" s="807">
        <f>fiebouw!N33</f>
        <v>0</v>
      </c>
      <c r="I54" s="807">
        <f>fiebouw!R33</f>
        <v>0</v>
      </c>
      <c r="J54" s="110"/>
      <c r="K54" s="63"/>
      <c r="R54" s="5"/>
      <c r="S54" s="5"/>
      <c r="T54" s="5"/>
      <c r="U54" s="5"/>
      <c r="V54" s="5"/>
      <c r="X54" s="22"/>
    </row>
    <row r="55" spans="2:24" ht="12.75" customHeight="1" x14ac:dyDescent="0.2">
      <c r="B55" s="34"/>
      <c r="C55" s="91"/>
      <c r="D55" s="103">
        <v>5</v>
      </c>
      <c r="E55" s="103"/>
      <c r="F55" s="807">
        <f>fiebouw!F34</f>
        <v>0</v>
      </c>
      <c r="G55" s="807">
        <f>fiebouw!J34</f>
        <v>0</v>
      </c>
      <c r="H55" s="807">
        <f>fiebouw!N34</f>
        <v>0</v>
      </c>
      <c r="I55" s="807">
        <f>fiebouw!R34</f>
        <v>0</v>
      </c>
      <c r="J55" s="110"/>
      <c r="K55" s="63"/>
      <c r="R55" s="5"/>
      <c r="S55" s="5"/>
      <c r="T55" s="5"/>
      <c r="U55" s="5"/>
      <c r="V55" s="5"/>
      <c r="X55" s="22"/>
    </row>
    <row r="56" spans="2:24" ht="12.75" customHeight="1" x14ac:dyDescent="0.2">
      <c r="B56" s="34"/>
      <c r="C56" s="91"/>
      <c r="D56" s="103">
        <v>6</v>
      </c>
      <c r="E56" s="103"/>
      <c r="F56" s="807">
        <f>fiebouw!F35</f>
        <v>0</v>
      </c>
      <c r="G56" s="807">
        <f>fiebouw!J35</f>
        <v>0</v>
      </c>
      <c r="H56" s="807">
        <f>fiebouw!N35</f>
        <v>0</v>
      </c>
      <c r="I56" s="807">
        <f>fiebouw!R35</f>
        <v>0</v>
      </c>
      <c r="J56" s="110"/>
      <c r="K56" s="63"/>
      <c r="R56" s="5"/>
      <c r="S56" s="5"/>
      <c r="T56" s="5"/>
      <c r="U56" s="5"/>
      <c r="V56" s="5"/>
      <c r="X56" s="22"/>
    </row>
    <row r="57" spans="2:24" ht="12.75" customHeight="1" x14ac:dyDescent="0.2">
      <c r="B57" s="34"/>
      <c r="C57" s="91"/>
      <c r="D57" s="103">
        <v>7</v>
      </c>
      <c r="E57" s="103"/>
      <c r="F57" s="807">
        <f>fiebouw!F36</f>
        <v>0</v>
      </c>
      <c r="G57" s="807">
        <f>fiebouw!J36</f>
        <v>0</v>
      </c>
      <c r="H57" s="807">
        <f>fiebouw!N36</f>
        <v>0</v>
      </c>
      <c r="I57" s="807">
        <f>fiebouw!R36</f>
        <v>0</v>
      </c>
      <c r="J57" s="110"/>
      <c r="K57" s="63"/>
      <c r="R57" s="5"/>
      <c r="S57" s="5"/>
      <c r="T57" s="5"/>
      <c r="U57" s="5"/>
      <c r="V57" s="5"/>
      <c r="X57" s="22"/>
    </row>
    <row r="58" spans="2:24" ht="12.75" customHeight="1" x14ac:dyDescent="0.2">
      <c r="B58" s="34"/>
      <c r="C58" s="91"/>
      <c r="D58" s="103">
        <v>8</v>
      </c>
      <c r="E58" s="103"/>
      <c r="F58" s="807">
        <f>fiebouw!F37</f>
        <v>0</v>
      </c>
      <c r="G58" s="807">
        <f>fiebouw!J37</f>
        <v>0</v>
      </c>
      <c r="H58" s="807">
        <f>fiebouw!N37</f>
        <v>0</v>
      </c>
      <c r="I58" s="807">
        <f>fiebouw!R37</f>
        <v>0</v>
      </c>
      <c r="J58" s="110"/>
      <c r="K58" s="63"/>
      <c r="R58" s="5"/>
      <c r="S58" s="5"/>
      <c r="T58" s="5"/>
      <c r="U58" s="5"/>
      <c r="V58" s="5"/>
      <c r="X58" s="22"/>
    </row>
    <row r="59" spans="2:24" ht="12.75" customHeight="1" x14ac:dyDescent="0.2">
      <c r="B59" s="34"/>
      <c r="C59" s="91"/>
      <c r="D59" s="103">
        <v>9</v>
      </c>
      <c r="E59" s="103"/>
      <c r="F59" s="807">
        <f>fiebouw!F38</f>
        <v>0</v>
      </c>
      <c r="G59" s="807">
        <f>fiebouw!J38</f>
        <v>0</v>
      </c>
      <c r="H59" s="807">
        <f>fiebouw!N38</f>
        <v>0</v>
      </c>
      <c r="I59" s="807">
        <f>fiebouw!R38</f>
        <v>0</v>
      </c>
      <c r="J59" s="110"/>
      <c r="K59" s="63"/>
      <c r="R59" s="5"/>
      <c r="S59" s="5"/>
      <c r="T59" s="5"/>
      <c r="U59" s="5"/>
      <c r="V59" s="5"/>
      <c r="X59" s="22"/>
    </row>
    <row r="60" spans="2:24" ht="12.75" customHeight="1" x14ac:dyDescent="0.2">
      <c r="B60" s="34"/>
      <c r="C60" s="91"/>
      <c r="D60" s="103">
        <v>10</v>
      </c>
      <c r="E60" s="103"/>
      <c r="F60" s="807">
        <f>fiebouw!F39</f>
        <v>0</v>
      </c>
      <c r="G60" s="807">
        <f>fiebouw!J39</f>
        <v>0</v>
      </c>
      <c r="H60" s="807">
        <f>fiebouw!N39</f>
        <v>0</v>
      </c>
      <c r="I60" s="807">
        <f>fiebouw!R39</f>
        <v>0</v>
      </c>
      <c r="J60" s="110"/>
      <c r="K60" s="63"/>
      <c r="R60" s="5"/>
      <c r="S60" s="5"/>
      <c r="T60" s="5"/>
      <c r="U60" s="5"/>
      <c r="V60" s="5"/>
      <c r="X60" s="22"/>
    </row>
    <row r="61" spans="2:24" ht="12.75" customHeight="1" x14ac:dyDescent="0.2">
      <c r="B61" s="34"/>
      <c r="C61" s="91"/>
      <c r="D61" s="103">
        <v>11</v>
      </c>
      <c r="E61" s="103"/>
      <c r="F61" s="807">
        <f>fiebouw!F40</f>
        <v>0</v>
      </c>
      <c r="G61" s="807">
        <f>fiebouw!J40</f>
        <v>0</v>
      </c>
      <c r="H61" s="807">
        <f>fiebouw!N40</f>
        <v>0</v>
      </c>
      <c r="I61" s="807">
        <f>fiebouw!R40</f>
        <v>0</v>
      </c>
      <c r="J61" s="110"/>
      <c r="K61" s="63"/>
      <c r="R61" s="5"/>
      <c r="S61" s="5"/>
      <c r="T61" s="5"/>
      <c r="U61" s="5"/>
      <c r="V61" s="5"/>
      <c r="X61" s="22"/>
    </row>
    <row r="62" spans="2:24" ht="12.75" customHeight="1" x14ac:dyDescent="0.2">
      <c r="B62" s="34"/>
      <c r="C62" s="91"/>
      <c r="D62" s="103">
        <v>12</v>
      </c>
      <c r="E62" s="103"/>
      <c r="F62" s="807">
        <f>fiebouw!F41</f>
        <v>0</v>
      </c>
      <c r="G62" s="807">
        <f>fiebouw!J41</f>
        <v>0</v>
      </c>
      <c r="H62" s="807">
        <f>fiebouw!N41</f>
        <v>0</v>
      </c>
      <c r="I62" s="807">
        <f>fiebouw!R41</f>
        <v>0</v>
      </c>
      <c r="J62" s="110"/>
      <c r="K62" s="63"/>
      <c r="R62" s="5"/>
      <c r="S62" s="5"/>
      <c r="T62" s="5"/>
      <c r="U62" s="5"/>
      <c r="V62" s="5"/>
      <c r="X62" s="22"/>
    </row>
    <row r="63" spans="2:24" ht="12.75" customHeight="1" x14ac:dyDescent="0.2">
      <c r="B63" s="34"/>
      <c r="C63" s="91"/>
      <c r="D63" s="103">
        <v>13</v>
      </c>
      <c r="E63" s="103"/>
      <c r="F63" s="807">
        <f>fiebouw!F42</f>
        <v>0</v>
      </c>
      <c r="G63" s="807">
        <f>fiebouw!J42</f>
        <v>0</v>
      </c>
      <c r="H63" s="807">
        <f>fiebouw!N42</f>
        <v>0</v>
      </c>
      <c r="I63" s="807">
        <f>fiebouw!R42</f>
        <v>0</v>
      </c>
      <c r="J63" s="110"/>
      <c r="K63" s="63"/>
      <c r="R63" s="5"/>
      <c r="S63" s="5"/>
      <c r="T63" s="5"/>
      <c r="U63" s="5"/>
      <c r="V63" s="5"/>
      <c r="X63" s="22"/>
    </row>
    <row r="64" spans="2:24" ht="12.75" customHeight="1" x14ac:dyDescent="0.2">
      <c r="B64" s="34"/>
      <c r="C64" s="91"/>
      <c r="D64" s="103">
        <v>14</v>
      </c>
      <c r="E64" s="103"/>
      <c r="F64" s="807">
        <f>fiebouw!F43</f>
        <v>0</v>
      </c>
      <c r="G64" s="807">
        <f>fiebouw!J43</f>
        <v>0</v>
      </c>
      <c r="H64" s="807">
        <f>fiebouw!N43</f>
        <v>0</v>
      </c>
      <c r="I64" s="807">
        <f>fiebouw!R43</f>
        <v>0</v>
      </c>
      <c r="J64" s="110"/>
      <c r="K64" s="63"/>
      <c r="R64" s="5"/>
      <c r="S64" s="5"/>
      <c r="T64" s="5"/>
      <c r="U64" s="5"/>
      <c r="V64" s="5"/>
      <c r="X64" s="22"/>
    </row>
    <row r="65" spans="2:24" ht="12.75" customHeight="1" x14ac:dyDescent="0.2">
      <c r="B65" s="34"/>
      <c r="C65" s="91"/>
      <c r="D65" s="103">
        <v>15</v>
      </c>
      <c r="E65" s="103"/>
      <c r="F65" s="807">
        <f>fiebouw!F44</f>
        <v>0</v>
      </c>
      <c r="G65" s="807">
        <f>fiebouw!J44</f>
        <v>0</v>
      </c>
      <c r="H65" s="807">
        <f>fiebouw!N44</f>
        <v>0</v>
      </c>
      <c r="I65" s="807">
        <f>fiebouw!R44</f>
        <v>0</v>
      </c>
      <c r="J65" s="110"/>
      <c r="K65" s="63"/>
      <c r="R65" s="5"/>
      <c r="S65" s="5"/>
      <c r="T65" s="5"/>
      <c r="U65" s="5"/>
      <c r="V65" s="5"/>
      <c r="X65" s="22"/>
    </row>
    <row r="66" spans="2:24" ht="12.75" customHeight="1" x14ac:dyDescent="0.2">
      <c r="B66" s="34"/>
      <c r="C66" s="91"/>
      <c r="D66" s="103">
        <v>16</v>
      </c>
      <c r="E66" s="103"/>
      <c r="F66" s="807">
        <f>fiebouw!F45</f>
        <v>0</v>
      </c>
      <c r="G66" s="807">
        <f>fiebouw!J45</f>
        <v>0</v>
      </c>
      <c r="H66" s="807">
        <f>fiebouw!N45</f>
        <v>0</v>
      </c>
      <c r="I66" s="807">
        <f>fiebouw!R45</f>
        <v>0</v>
      </c>
      <c r="J66" s="110"/>
      <c r="K66" s="63"/>
      <c r="R66" s="5"/>
      <c r="S66" s="5"/>
      <c r="T66" s="5"/>
      <c r="U66" s="5"/>
      <c r="V66" s="5"/>
      <c r="X66" s="22"/>
    </row>
    <row r="67" spans="2:24" ht="12.75" customHeight="1" x14ac:dyDescent="0.2">
      <c r="B67" s="34"/>
      <c r="C67" s="91"/>
      <c r="D67" s="103" t="s">
        <v>207</v>
      </c>
      <c r="E67" s="103"/>
      <c r="F67" s="807">
        <f>fiebouw!F46</f>
        <v>0</v>
      </c>
      <c r="G67" s="807">
        <f>fiebouw!J46</f>
        <v>0</v>
      </c>
      <c r="H67" s="807">
        <f>fiebouw!N46</f>
        <v>0</v>
      </c>
      <c r="I67" s="807">
        <f>fiebouw!R46</f>
        <v>0</v>
      </c>
      <c r="J67" s="110"/>
      <c r="K67" s="63"/>
      <c r="R67" s="5"/>
      <c r="S67" s="5"/>
      <c r="T67" s="5"/>
      <c r="U67" s="5"/>
      <c r="V67" s="5"/>
      <c r="X67" s="22"/>
    </row>
    <row r="68" spans="2:24" ht="12.75" customHeight="1" x14ac:dyDescent="0.2">
      <c r="B68" s="34"/>
      <c r="C68" s="91"/>
      <c r="D68" s="103" t="s">
        <v>208</v>
      </c>
      <c r="E68" s="103"/>
      <c r="F68" s="807">
        <f>fiebouw!F47</f>
        <v>0</v>
      </c>
      <c r="G68" s="807">
        <f>fiebouw!J47</f>
        <v>0</v>
      </c>
      <c r="H68" s="807">
        <f>fiebouw!N47</f>
        <v>0</v>
      </c>
      <c r="I68" s="807">
        <f>fiebouw!R47</f>
        <v>0</v>
      </c>
      <c r="J68" s="110"/>
      <c r="K68" s="63"/>
      <c r="R68" s="5"/>
      <c r="S68" s="5"/>
      <c r="T68" s="5"/>
      <c r="U68" s="5"/>
      <c r="V68" s="5"/>
      <c r="X68" s="22"/>
    </row>
    <row r="69" spans="2:24" ht="12.75" customHeight="1" x14ac:dyDescent="0.2">
      <c r="B69" s="34"/>
      <c r="C69" s="91"/>
      <c r="D69" s="103" t="s">
        <v>22</v>
      </c>
      <c r="E69" s="103"/>
      <c r="F69" s="932">
        <f>begr!G14</f>
        <v>552325.15776666673</v>
      </c>
      <c r="G69" s="932">
        <f>begr!H14</f>
        <v>511276.2675999999</v>
      </c>
      <c r="H69" s="932">
        <f>begr!I14</f>
        <v>511276.2675999999</v>
      </c>
      <c r="I69" s="932">
        <f>begr!J14</f>
        <v>511276.2675999999</v>
      </c>
      <c r="J69" s="110"/>
      <c r="K69" s="63"/>
      <c r="R69" s="5"/>
      <c r="S69" s="5"/>
      <c r="T69" s="5"/>
      <c r="U69" s="5"/>
      <c r="V69" s="5"/>
      <c r="X69" s="22"/>
    </row>
    <row r="70" spans="2:24" ht="12.75" customHeight="1" x14ac:dyDescent="0.2">
      <c r="B70" s="34"/>
      <c r="C70" s="91"/>
      <c r="D70" s="103" t="s">
        <v>236</v>
      </c>
      <c r="E70" s="103"/>
      <c r="F70" s="932">
        <f>begr!G15</f>
        <v>0</v>
      </c>
      <c r="G70" s="932">
        <f>begr!H15</f>
        <v>0</v>
      </c>
      <c r="H70" s="932">
        <f>begr!I15</f>
        <v>0</v>
      </c>
      <c r="I70" s="932">
        <f>begr!J15</f>
        <v>0</v>
      </c>
      <c r="J70" s="114"/>
      <c r="K70" s="65"/>
      <c r="R70" s="5"/>
      <c r="S70" s="5"/>
      <c r="T70" s="5"/>
      <c r="U70" s="5"/>
      <c r="V70" s="5"/>
      <c r="X70" s="23"/>
    </row>
    <row r="71" spans="2:24" ht="12.75" customHeight="1" x14ac:dyDescent="0.2">
      <c r="B71" s="34"/>
      <c r="C71" s="91"/>
      <c r="D71" s="103" t="s">
        <v>42</v>
      </c>
      <c r="E71" s="103"/>
      <c r="F71" s="932">
        <f>begr!G16</f>
        <v>0</v>
      </c>
      <c r="G71" s="932">
        <f>begr!H16</f>
        <v>0</v>
      </c>
      <c r="H71" s="932">
        <f>begr!I16</f>
        <v>0</v>
      </c>
      <c r="I71" s="932">
        <f>begr!J16</f>
        <v>0</v>
      </c>
      <c r="J71" s="114"/>
      <c r="K71" s="65"/>
      <c r="R71" s="5"/>
      <c r="S71" s="5"/>
      <c r="T71" s="5"/>
      <c r="U71" s="5"/>
      <c r="V71" s="5"/>
      <c r="X71" s="23"/>
    </row>
    <row r="72" spans="2:24" ht="12.75" customHeight="1" x14ac:dyDescent="0.2">
      <c r="B72" s="34"/>
      <c r="C72" s="91"/>
      <c r="D72" s="103" t="s">
        <v>16</v>
      </c>
      <c r="E72" s="103"/>
      <c r="F72" s="932">
        <f>begr!G17</f>
        <v>0</v>
      </c>
      <c r="G72" s="932">
        <f>begr!H17</f>
        <v>0</v>
      </c>
      <c r="H72" s="932">
        <f>begr!I17</f>
        <v>0</v>
      </c>
      <c r="I72" s="932">
        <f>begr!J17</f>
        <v>0</v>
      </c>
      <c r="J72" s="114"/>
      <c r="K72" s="65"/>
      <c r="R72" s="5"/>
      <c r="S72" s="5"/>
      <c r="T72" s="5"/>
      <c r="U72" s="5"/>
      <c r="V72" s="5"/>
      <c r="X72" s="23"/>
    </row>
    <row r="73" spans="2:24" ht="12.75" customHeight="1" x14ac:dyDescent="0.2">
      <c r="B73" s="34"/>
      <c r="C73" s="91"/>
      <c r="D73" s="92" t="s">
        <v>265</v>
      </c>
      <c r="E73" s="92"/>
      <c r="F73" s="932">
        <f>begr!G18</f>
        <v>0</v>
      </c>
      <c r="G73" s="932">
        <f>begr!H18</f>
        <v>0</v>
      </c>
      <c r="H73" s="932">
        <f>begr!I18</f>
        <v>0</v>
      </c>
      <c r="I73" s="932">
        <f>begr!J18</f>
        <v>0</v>
      </c>
      <c r="J73" s="114"/>
      <c r="K73" s="65"/>
      <c r="R73" s="5"/>
      <c r="S73" s="5"/>
      <c r="T73" s="5"/>
      <c r="U73" s="5"/>
      <c r="V73" s="5"/>
      <c r="X73" s="23"/>
    </row>
    <row r="74" spans="2:24" ht="12.75" customHeight="1" x14ac:dyDescent="0.2">
      <c r="B74" s="34"/>
      <c r="C74" s="91"/>
      <c r="D74" s="92" t="s">
        <v>75</v>
      </c>
      <c r="E74" s="92"/>
      <c r="F74" s="932">
        <f>begr!G21</f>
        <v>61000</v>
      </c>
      <c r="G74" s="932">
        <f>begr!H21</f>
        <v>61000</v>
      </c>
      <c r="H74" s="932">
        <f>begr!I21</f>
        <v>61000</v>
      </c>
      <c r="I74" s="932">
        <f>begr!J21</f>
        <v>61000</v>
      </c>
      <c r="J74" s="114"/>
      <c r="K74" s="65"/>
      <c r="R74" s="5"/>
      <c r="S74" s="5"/>
      <c r="T74" s="5"/>
      <c r="U74" s="5"/>
      <c r="V74" s="5"/>
      <c r="X74" s="23"/>
    </row>
    <row r="75" spans="2:24" ht="12.75" customHeight="1" x14ac:dyDescent="0.2">
      <c r="B75" s="34"/>
      <c r="C75" s="91"/>
      <c r="D75" s="92" t="s">
        <v>21</v>
      </c>
      <c r="E75" s="92"/>
      <c r="F75" s="932">
        <f>begr!G22</f>
        <v>0</v>
      </c>
      <c r="G75" s="932">
        <f>begr!H22</f>
        <v>0</v>
      </c>
      <c r="H75" s="932">
        <f>begr!I22</f>
        <v>0</v>
      </c>
      <c r="I75" s="932">
        <f>begr!J22</f>
        <v>0</v>
      </c>
      <c r="J75" s="114"/>
      <c r="K75" s="65"/>
      <c r="R75" s="5"/>
      <c r="S75" s="5"/>
      <c r="T75" s="5"/>
      <c r="U75" s="5"/>
      <c r="V75" s="5"/>
      <c r="X75" s="23"/>
    </row>
    <row r="76" spans="2:24" ht="12.75" customHeight="1" x14ac:dyDescent="0.2">
      <c r="B76" s="34"/>
      <c r="C76" s="91"/>
      <c r="D76" s="92" t="s">
        <v>266</v>
      </c>
      <c r="E76" s="92"/>
      <c r="F76" s="804">
        <f>begr!G24</f>
        <v>0</v>
      </c>
      <c r="G76" s="804">
        <f>begr!H24</f>
        <v>0</v>
      </c>
      <c r="H76" s="804">
        <f>begr!I24</f>
        <v>0</v>
      </c>
      <c r="I76" s="804">
        <f>begr!J24</f>
        <v>0</v>
      </c>
      <c r="J76" s="114"/>
      <c r="K76" s="65"/>
      <c r="R76" s="5"/>
      <c r="S76" s="5"/>
      <c r="T76" s="5"/>
      <c r="U76" s="5"/>
      <c r="V76" s="5"/>
      <c r="X76" s="23"/>
    </row>
    <row r="77" spans="2:24" ht="12.75" customHeight="1" x14ac:dyDescent="0.2">
      <c r="B77" s="34"/>
      <c r="C77" s="91"/>
      <c r="D77" s="92" t="s">
        <v>267</v>
      </c>
      <c r="E77" s="92"/>
      <c r="F77" s="804">
        <f>begr!G25</f>
        <v>0</v>
      </c>
      <c r="G77" s="804">
        <f>begr!H25</f>
        <v>0</v>
      </c>
      <c r="H77" s="804">
        <f>begr!I25</f>
        <v>0</v>
      </c>
      <c r="I77" s="804">
        <f>begr!J25</f>
        <v>0</v>
      </c>
      <c r="J77" s="114"/>
      <c r="K77" s="65"/>
      <c r="R77" s="5"/>
      <c r="S77" s="5"/>
      <c r="T77" s="5"/>
      <c r="U77" s="5"/>
      <c r="V77" s="5"/>
      <c r="X77" s="23"/>
    </row>
    <row r="78" spans="2:24" ht="12.75" customHeight="1" x14ac:dyDescent="0.2">
      <c r="B78" s="34"/>
      <c r="C78" s="91"/>
      <c r="D78" s="92" t="s">
        <v>41</v>
      </c>
      <c r="E78" s="92"/>
      <c r="F78" s="804">
        <f>begr!G26</f>
        <v>0</v>
      </c>
      <c r="G78" s="804">
        <f>begr!H26</f>
        <v>0</v>
      </c>
      <c r="H78" s="804">
        <f>begr!I26</f>
        <v>0</v>
      </c>
      <c r="I78" s="804">
        <f>begr!J26</f>
        <v>0</v>
      </c>
      <c r="J78" s="114"/>
      <c r="K78" s="65"/>
      <c r="R78" s="5"/>
      <c r="S78" s="5"/>
      <c r="T78" s="5"/>
      <c r="U78" s="5"/>
      <c r="V78" s="5"/>
      <c r="X78" s="23"/>
    </row>
    <row r="79" spans="2:24" ht="12.75" customHeight="1" x14ac:dyDescent="0.2">
      <c r="B79" s="34"/>
      <c r="C79" s="91"/>
      <c r="D79" s="103" t="s">
        <v>268</v>
      </c>
      <c r="E79" s="103"/>
      <c r="F79" s="932">
        <f>begr!G35</f>
        <v>0</v>
      </c>
      <c r="G79" s="932">
        <f>begr!H35</f>
        <v>0</v>
      </c>
      <c r="H79" s="932">
        <f>begr!I35</f>
        <v>0</v>
      </c>
      <c r="I79" s="932">
        <f>begr!J35</f>
        <v>0</v>
      </c>
      <c r="J79" s="114"/>
      <c r="K79" s="65"/>
      <c r="R79" s="5"/>
      <c r="S79" s="5"/>
      <c r="T79" s="5"/>
      <c r="U79" s="5"/>
      <c r="V79" s="5"/>
      <c r="X79" s="23"/>
    </row>
    <row r="80" spans="2:24" ht="12.75" customHeight="1" x14ac:dyDescent="0.2">
      <c r="B80" s="34"/>
      <c r="C80" s="91"/>
      <c r="D80" s="103" t="s">
        <v>269</v>
      </c>
      <c r="E80" s="103"/>
      <c r="F80" s="932">
        <f>begr!G36</f>
        <v>0</v>
      </c>
      <c r="G80" s="932">
        <f>begr!H36</f>
        <v>0</v>
      </c>
      <c r="H80" s="932">
        <f>begr!I36</f>
        <v>0</v>
      </c>
      <c r="I80" s="932">
        <f>begr!J36</f>
        <v>0</v>
      </c>
      <c r="J80" s="114"/>
      <c r="K80" s="65"/>
      <c r="R80" s="5"/>
      <c r="S80" s="5"/>
      <c r="T80" s="5"/>
      <c r="U80" s="5"/>
      <c r="V80" s="5"/>
      <c r="X80" s="23"/>
    </row>
    <row r="81" spans="2:24" ht="12.75" customHeight="1" x14ac:dyDescent="0.2">
      <c r="B81" s="34"/>
      <c r="C81" s="91"/>
      <c r="D81" s="103" t="s">
        <v>274</v>
      </c>
      <c r="E81" s="103"/>
      <c r="F81" s="804">
        <f>act!G29</f>
        <v>0</v>
      </c>
      <c r="G81" s="804">
        <f>act!H29</f>
        <v>0</v>
      </c>
      <c r="H81" s="804">
        <f>act!I29</f>
        <v>0</v>
      </c>
      <c r="I81" s="804">
        <f>act!J29</f>
        <v>0</v>
      </c>
      <c r="J81" s="110"/>
      <c r="K81" s="63"/>
      <c r="R81" s="5"/>
      <c r="S81" s="5"/>
      <c r="T81" s="5"/>
      <c r="U81" s="5"/>
      <c r="V81" s="5"/>
      <c r="X81" s="22"/>
    </row>
    <row r="82" spans="2:24" ht="12.75" customHeight="1" x14ac:dyDescent="0.2">
      <c r="B82" s="34"/>
      <c r="C82" s="91"/>
      <c r="D82" s="103" t="s">
        <v>275</v>
      </c>
      <c r="E82" s="103"/>
      <c r="F82" s="804">
        <f>+mop!G17</f>
        <v>0</v>
      </c>
      <c r="G82" s="804">
        <f>+mop!H17</f>
        <v>0</v>
      </c>
      <c r="H82" s="804">
        <f>+mop!I17</f>
        <v>0</v>
      </c>
      <c r="I82" s="804">
        <f>+mop!J17</f>
        <v>0</v>
      </c>
      <c r="J82" s="110"/>
      <c r="K82" s="63"/>
      <c r="R82" s="5"/>
      <c r="S82" s="5"/>
      <c r="T82" s="5"/>
      <c r="U82" s="5"/>
      <c r="V82" s="5"/>
      <c r="X82" s="22"/>
    </row>
    <row r="83" spans="2:24" ht="12.75" customHeight="1" x14ac:dyDescent="0.2">
      <c r="B83" s="34"/>
      <c r="C83" s="91"/>
      <c r="D83" s="103" t="s">
        <v>272</v>
      </c>
      <c r="E83" s="103"/>
      <c r="F83" s="804">
        <f>begr!G49</f>
        <v>0</v>
      </c>
      <c r="G83" s="804">
        <f>begr!H49</f>
        <v>0</v>
      </c>
      <c r="H83" s="804">
        <f>begr!I49</f>
        <v>0</v>
      </c>
      <c r="I83" s="804">
        <f>begr!J49</f>
        <v>0</v>
      </c>
      <c r="J83" s="119"/>
      <c r="K83" s="63"/>
      <c r="R83" s="5"/>
      <c r="S83" s="5"/>
      <c r="T83" s="5"/>
      <c r="U83" s="5"/>
      <c r="V83" s="5"/>
      <c r="X83" s="22"/>
    </row>
    <row r="84" spans="2:24" ht="12.75" customHeight="1" x14ac:dyDescent="0.2">
      <c r="B84" s="34"/>
      <c r="C84" s="91"/>
      <c r="D84" s="103" t="s">
        <v>50</v>
      </c>
      <c r="E84" s="103"/>
      <c r="F84" s="804">
        <f>begr!G50</f>
        <v>0</v>
      </c>
      <c r="G84" s="804">
        <f>begr!H50</f>
        <v>0</v>
      </c>
      <c r="H84" s="804">
        <f>begr!I50</f>
        <v>0</v>
      </c>
      <c r="I84" s="804">
        <f>begr!J50</f>
        <v>0</v>
      </c>
      <c r="J84" s="119"/>
      <c r="K84" s="63"/>
      <c r="R84" s="5"/>
      <c r="S84" s="5"/>
      <c r="T84" s="5"/>
      <c r="U84" s="5"/>
      <c r="V84" s="5"/>
      <c r="X84" s="22"/>
    </row>
    <row r="85" spans="2:24" ht="12.75" customHeight="1" x14ac:dyDescent="0.2">
      <c r="B85" s="34"/>
      <c r="C85" s="91"/>
      <c r="D85" s="103" t="s">
        <v>273</v>
      </c>
      <c r="E85" s="103"/>
      <c r="F85" s="804">
        <f>begr!G51</f>
        <v>0</v>
      </c>
      <c r="G85" s="804">
        <f>begr!H51</f>
        <v>0</v>
      </c>
      <c r="H85" s="804">
        <f>begr!I51</f>
        <v>0</v>
      </c>
      <c r="I85" s="804">
        <f>begr!J51</f>
        <v>0</v>
      </c>
      <c r="J85" s="119"/>
      <c r="K85" s="63"/>
      <c r="R85" s="5"/>
      <c r="S85" s="5"/>
      <c r="T85" s="5"/>
      <c r="U85" s="5"/>
      <c r="V85" s="5"/>
      <c r="X85" s="22"/>
    </row>
    <row r="86" spans="2:24" ht="12.75" customHeight="1" x14ac:dyDescent="0.2">
      <c r="B86" s="34"/>
      <c r="C86" s="124"/>
      <c r="D86" s="143"/>
      <c r="E86" s="143"/>
      <c r="F86" s="464"/>
      <c r="G86" s="464"/>
      <c r="H86" s="464"/>
      <c r="I86" s="464"/>
      <c r="J86" s="147"/>
      <c r="K86" s="63"/>
      <c r="R86" s="5"/>
      <c r="S86" s="5"/>
      <c r="T86" s="5"/>
      <c r="U86" s="5"/>
      <c r="V86" s="5"/>
      <c r="X86" s="22"/>
    </row>
    <row r="87" spans="2:24" ht="12.75" customHeight="1" x14ac:dyDescent="0.2">
      <c r="B87" s="34"/>
      <c r="C87" s="35"/>
      <c r="D87" s="55"/>
      <c r="E87" s="55"/>
      <c r="F87" s="462"/>
      <c r="G87" s="462"/>
      <c r="H87" s="462"/>
      <c r="I87" s="462"/>
      <c r="J87" s="67"/>
      <c r="K87" s="63"/>
      <c r="R87" s="5"/>
      <c r="S87" s="5"/>
      <c r="T87" s="5"/>
      <c r="U87" s="5"/>
      <c r="V87" s="5"/>
      <c r="X87" s="22"/>
    </row>
    <row r="88" spans="2:24" ht="12.75" customHeight="1" x14ac:dyDescent="0.25">
      <c r="B88" s="68"/>
      <c r="C88" s="69"/>
      <c r="D88" s="69"/>
      <c r="E88" s="69"/>
      <c r="F88" s="70"/>
      <c r="G88" s="71"/>
      <c r="H88" s="71"/>
      <c r="I88" s="71"/>
      <c r="J88" s="72" t="s">
        <v>388</v>
      </c>
      <c r="K88" s="73"/>
      <c r="R88" s="5"/>
      <c r="S88" s="5"/>
      <c r="T88" s="5"/>
      <c r="U88" s="5"/>
      <c r="V88" s="5"/>
      <c r="X88" s="22"/>
    </row>
    <row r="89" spans="2:24" ht="12.75" customHeight="1" x14ac:dyDescent="0.2">
      <c r="F89" s="25"/>
      <c r="G89" s="18"/>
      <c r="H89" s="18"/>
      <c r="I89" s="18"/>
      <c r="J89" s="22"/>
      <c r="K89" s="22"/>
      <c r="R89" s="5"/>
      <c r="S89" s="5"/>
      <c r="T89" s="5"/>
      <c r="U89" s="5"/>
      <c r="V89" s="5"/>
      <c r="X89" s="22"/>
    </row>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sheetData>
  <sheetProtection algorithmName="SHA-512" hashValue="rBAGfVEqhfaRx4wDo6QHoPdtME2sWObgD22/n6u+UlFJ12/4hWYmMgkFpynznw/iDS0ehATljDEMdsrnoceI1w==" saltValue="JDFlpnF+CqoKFG9vPCQq4w==" spinCount="100000" sheet="1" objects="1" scenarios="1"/>
  <mergeCells count="1">
    <mergeCell ref="F9:H9"/>
  </mergeCells>
  <phoneticPr fontId="0" type="noConversion"/>
  <pageMargins left="0.78740157480314965" right="0.78740157480314965" top="0.98425196850393704" bottom="0.98425196850393704" header="0.51181102362204722" footer="0.51181102362204722"/>
  <pageSetup paperSize="9" scale="42" orientation="portrait" r:id="rId1"/>
  <headerFooter scaleWithDoc="0" alignWithMargins="0">
    <oddHeader>&amp;L&amp;"Arial,Vet"&amp;F&amp;R&amp;"Arial,Vet"&amp;A</oddHeader>
    <oddFooter>&amp;L&amp;"Arial,Vet"PO-Raad&amp;C&amp;"Arial,Vet"&amp;D&amp;R&amp;"Arial,Vet"pagina &amp;P</oddFooter>
  </headerFooter>
  <rowBreaks count="2" manualBreakCount="2">
    <brk id="93" min="1" max="12" man="1"/>
    <brk id="186" min="1" max="1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43"/>
  <sheetViews>
    <sheetView zoomScale="85" zoomScaleNormal="85" zoomScaleSheetLayoutView="100" workbookViewId="0">
      <pane ySplit="7" topLeftCell="A8" activePane="bottomLeft" state="frozen"/>
      <selection activeCell="C4" sqref="C4"/>
      <selection pane="bottomLeft" activeCell="A8" sqref="A8"/>
    </sheetView>
  </sheetViews>
  <sheetFormatPr defaultColWidth="9.140625" defaultRowHeight="12.75" x14ac:dyDescent="0.2"/>
  <cols>
    <col min="1" max="1" width="45.7109375" style="456" customWidth="1"/>
    <col min="2" max="2" width="2.7109375" style="456" customWidth="1"/>
    <col min="3" max="3" width="14.85546875" style="935" customWidth="1"/>
    <col min="4" max="27" width="14.7109375" style="456" customWidth="1"/>
    <col min="28" max="28" width="12.7109375" style="456" customWidth="1"/>
    <col min="29" max="52" width="10.85546875" style="456" customWidth="1"/>
    <col min="53" max="16384" width="9.140625" style="456"/>
  </cols>
  <sheetData>
    <row r="2" spans="1:10" s="4" customFormat="1" x14ac:dyDescent="0.2">
      <c r="A2" s="578" t="s">
        <v>114</v>
      </c>
      <c r="B2" s="578"/>
      <c r="C2" s="934"/>
      <c r="D2" s="134" t="s">
        <v>383</v>
      </c>
      <c r="E2" s="134" t="s">
        <v>396</v>
      </c>
      <c r="F2" s="134" t="s">
        <v>450</v>
      </c>
      <c r="G2" s="134" t="s">
        <v>488</v>
      </c>
      <c r="H2" s="134" t="s">
        <v>491</v>
      </c>
      <c r="I2" s="134" t="s">
        <v>514</v>
      </c>
      <c r="J2" s="134" t="s">
        <v>514</v>
      </c>
    </row>
    <row r="3" spans="1:10" s="4" customFormat="1" x14ac:dyDescent="0.2">
      <c r="A3" s="578" t="s">
        <v>131</v>
      </c>
      <c r="B3" s="578"/>
      <c r="C3" s="934"/>
      <c r="D3" s="579">
        <v>41913</v>
      </c>
      <c r="E3" s="579">
        <v>42278</v>
      </c>
      <c r="F3" s="579">
        <v>42644</v>
      </c>
      <c r="G3" s="579">
        <v>43009</v>
      </c>
      <c r="H3" s="579">
        <v>43374</v>
      </c>
      <c r="I3" s="579">
        <v>43739</v>
      </c>
      <c r="J3" s="579">
        <v>43739</v>
      </c>
    </row>
    <row r="4" spans="1:10" s="4" customFormat="1" x14ac:dyDescent="0.2">
      <c r="A4" s="578" t="s">
        <v>140</v>
      </c>
      <c r="B4" s="578"/>
      <c r="C4" s="934"/>
      <c r="D4" s="134">
        <v>2015</v>
      </c>
      <c r="E4" s="134">
        <f t="shared" ref="E4" si="0">D4+1</f>
        <v>2016</v>
      </c>
      <c r="F4" s="134">
        <f t="shared" ref="F4" si="1">E4+1</f>
        <v>2017</v>
      </c>
      <c r="G4" s="134">
        <f t="shared" ref="G4" si="2">F4+1</f>
        <v>2018</v>
      </c>
      <c r="H4" s="134">
        <f t="shared" ref="H4" si="3">G4+1</f>
        <v>2019</v>
      </c>
      <c r="I4" s="134">
        <f t="shared" ref="I4" si="4">H4+1</f>
        <v>2020</v>
      </c>
      <c r="J4" s="134">
        <f t="shared" ref="J4" si="5">I4+1</f>
        <v>2021</v>
      </c>
    </row>
    <row r="5" spans="1:10" s="4" customFormat="1" x14ac:dyDescent="0.2">
      <c r="A5" s="578" t="s">
        <v>341</v>
      </c>
      <c r="B5" s="578"/>
      <c r="C5" s="934"/>
      <c r="D5" s="579">
        <v>42217</v>
      </c>
      <c r="E5" s="579">
        <v>42583</v>
      </c>
      <c r="F5" s="579">
        <v>42948</v>
      </c>
      <c r="G5" s="134"/>
      <c r="H5" s="134"/>
      <c r="I5" s="134"/>
      <c r="J5" s="134"/>
    </row>
    <row r="6" spans="1:10" s="4" customFormat="1" x14ac:dyDescent="0.2">
      <c r="A6" s="578" t="s">
        <v>342</v>
      </c>
      <c r="B6" s="578"/>
      <c r="C6" s="934"/>
      <c r="D6" s="579">
        <v>42582</v>
      </c>
      <c r="E6" s="579">
        <v>42947</v>
      </c>
      <c r="F6" s="579">
        <v>43312</v>
      </c>
      <c r="G6" s="134"/>
      <c r="H6" s="134"/>
      <c r="I6" s="134"/>
      <c r="J6" s="134"/>
    </row>
    <row r="9" spans="1:10" s="4" customFormat="1" x14ac:dyDescent="0.2">
      <c r="A9" s="938" t="s">
        <v>19</v>
      </c>
      <c r="B9" s="580"/>
      <c r="C9" s="934"/>
    </row>
    <row r="10" spans="1:10" s="4" customFormat="1" x14ac:dyDescent="0.2">
      <c r="A10" s="578" t="s">
        <v>211</v>
      </c>
      <c r="B10" s="578"/>
      <c r="C10" s="934"/>
      <c r="D10" s="722">
        <v>5.9499999999999997E-2</v>
      </c>
      <c r="E10" s="580">
        <v>5.9499999999999997E-2</v>
      </c>
      <c r="F10" s="580">
        <v>5.9499999999999997E-2</v>
      </c>
      <c r="G10" s="578"/>
      <c r="H10" s="578"/>
      <c r="I10" s="578"/>
    </row>
    <row r="11" spans="1:10" s="4" customFormat="1" x14ac:dyDescent="0.2">
      <c r="A11" s="578" t="s">
        <v>215</v>
      </c>
      <c r="B11" s="578"/>
      <c r="C11" s="934"/>
      <c r="D11" s="722">
        <v>4.1399999999999999E-2</v>
      </c>
      <c r="E11" s="580">
        <v>4.1399999999999999E-2</v>
      </c>
      <c r="F11" s="580">
        <v>4.1399999999999999E-2</v>
      </c>
      <c r="G11" s="578"/>
      <c r="H11" s="578"/>
      <c r="I11" s="578"/>
    </row>
    <row r="12" spans="1:10" s="4" customFormat="1" x14ac:dyDescent="0.2">
      <c r="A12" s="578" t="s">
        <v>217</v>
      </c>
      <c r="B12" s="578"/>
      <c r="C12" s="934"/>
      <c r="D12" s="723">
        <v>5.0299999999999997E-2</v>
      </c>
      <c r="E12" s="578">
        <v>5.0299999999999997E-2</v>
      </c>
      <c r="F12" s="578">
        <v>5.0299999999999997E-2</v>
      </c>
      <c r="G12" s="578"/>
      <c r="H12" s="578"/>
      <c r="I12" s="578"/>
    </row>
    <row r="13" spans="1:10" s="2" customFormat="1" x14ac:dyDescent="0.2">
      <c r="A13" s="1" t="s">
        <v>101</v>
      </c>
      <c r="B13" s="1"/>
      <c r="C13" s="934"/>
      <c r="D13" s="724">
        <v>9.4000000000000004E-3</v>
      </c>
      <c r="E13" s="1">
        <v>9.4000000000000004E-3</v>
      </c>
      <c r="F13" s="1">
        <v>9.4000000000000004E-3</v>
      </c>
      <c r="G13" s="1"/>
      <c r="H13" s="1"/>
      <c r="I13" s="1"/>
    </row>
    <row r="14" spans="1:10" s="4" customFormat="1" x14ac:dyDescent="0.2">
      <c r="A14" s="578" t="s">
        <v>347</v>
      </c>
      <c r="B14" s="578"/>
      <c r="C14" s="934"/>
      <c r="D14" s="723">
        <v>2.1507999999999998</v>
      </c>
      <c r="E14" s="578">
        <v>2.1507999999999998</v>
      </c>
      <c r="F14" s="578">
        <v>2.1507999999999998</v>
      </c>
      <c r="G14" s="578"/>
      <c r="H14" s="578"/>
      <c r="I14" s="578"/>
    </row>
    <row r="15" spans="1:10" s="4" customFormat="1" x14ac:dyDescent="0.2">
      <c r="A15" s="578" t="s">
        <v>348</v>
      </c>
      <c r="B15" s="578"/>
      <c r="C15" s="934"/>
      <c r="D15" s="723">
        <v>1.49E-2</v>
      </c>
      <c r="E15" s="578">
        <v>1.49E-2</v>
      </c>
      <c r="F15" s="578">
        <v>1.49E-2</v>
      </c>
      <c r="G15" s="578"/>
      <c r="H15" s="578"/>
      <c r="I15" s="578"/>
    </row>
    <row r="16" spans="1:10" s="4" customFormat="1" x14ac:dyDescent="0.2">
      <c r="A16" s="578" t="s">
        <v>351</v>
      </c>
      <c r="B16" s="578"/>
      <c r="C16" s="934"/>
      <c r="D16" s="723">
        <v>6.54E-2</v>
      </c>
      <c r="E16" s="578">
        <v>6.54E-2</v>
      </c>
      <c r="F16" s="578">
        <v>6.54E-2</v>
      </c>
      <c r="G16" s="578"/>
      <c r="H16" s="578"/>
      <c r="I16" s="578"/>
    </row>
    <row r="17" spans="1:10" s="4" customFormat="1" x14ac:dyDescent="0.2">
      <c r="A17" s="578" t="s">
        <v>0</v>
      </c>
      <c r="B17" s="578"/>
      <c r="C17" s="934"/>
      <c r="D17" s="723">
        <v>2.6926999999999999</v>
      </c>
      <c r="E17" s="578">
        <v>2.6926999999999999</v>
      </c>
      <c r="F17" s="578">
        <v>2.6926999999999999</v>
      </c>
      <c r="G17" s="578"/>
      <c r="H17" s="578"/>
      <c r="I17" s="578"/>
    </row>
    <row r="18" spans="1:10" x14ac:dyDescent="0.2">
      <c r="C18" s="935" t="s">
        <v>496</v>
      </c>
      <c r="D18" s="725"/>
    </row>
    <row r="19" spans="1:10" x14ac:dyDescent="0.2">
      <c r="A19" s="578" t="s">
        <v>228</v>
      </c>
      <c r="B19" s="455"/>
      <c r="D19" s="725"/>
      <c r="E19" s="968">
        <v>40.4</v>
      </c>
      <c r="F19" s="715">
        <f t="shared" ref="F19:F25" si="6">E19</f>
        <v>40.4</v>
      </c>
      <c r="H19" s="717"/>
      <c r="I19" s="668"/>
      <c r="J19" s="458"/>
    </row>
    <row r="20" spans="1:10" x14ac:dyDescent="0.2">
      <c r="A20" s="578" t="s">
        <v>321</v>
      </c>
      <c r="B20" s="455"/>
      <c r="C20" s="934"/>
      <c r="D20" s="725"/>
      <c r="E20" s="969">
        <v>61214.67</v>
      </c>
      <c r="F20" s="669">
        <f t="shared" si="6"/>
        <v>61214.67</v>
      </c>
    </row>
    <row r="21" spans="1:10" x14ac:dyDescent="0.2">
      <c r="A21" s="578" t="s">
        <v>225</v>
      </c>
      <c r="B21" s="455"/>
      <c r="D21" s="725"/>
      <c r="E21" s="969">
        <v>77930.960000000006</v>
      </c>
      <c r="F21" s="669">
        <f t="shared" si="6"/>
        <v>77930.960000000006</v>
      </c>
      <c r="G21" s="455"/>
    </row>
    <row r="22" spans="1:10" x14ac:dyDescent="0.2">
      <c r="A22" s="578" t="s">
        <v>226</v>
      </c>
      <c r="B22" s="455"/>
      <c r="D22" s="725"/>
      <c r="E22" s="969">
        <v>29286.65</v>
      </c>
      <c r="F22" s="669">
        <f t="shared" si="6"/>
        <v>29286.65</v>
      </c>
      <c r="G22" s="455"/>
      <c r="J22" s="458"/>
    </row>
    <row r="23" spans="1:10" x14ac:dyDescent="0.2">
      <c r="A23" s="578" t="s">
        <v>227</v>
      </c>
      <c r="B23" s="455"/>
      <c r="D23" s="725"/>
      <c r="E23" s="969">
        <v>790.3</v>
      </c>
      <c r="F23" s="669">
        <f t="shared" si="6"/>
        <v>790.3</v>
      </c>
      <c r="G23" s="455"/>
      <c r="J23" s="458"/>
    </row>
    <row r="24" spans="1:10" x14ac:dyDescent="0.2">
      <c r="A24" s="3" t="s">
        <v>377</v>
      </c>
      <c r="B24" s="459"/>
      <c r="C24" s="936"/>
      <c r="D24" s="725"/>
      <c r="E24" s="970">
        <v>19382.29</v>
      </c>
      <c r="F24" s="669">
        <f t="shared" si="6"/>
        <v>19382.29</v>
      </c>
      <c r="J24" s="455"/>
    </row>
    <row r="25" spans="1:10" x14ac:dyDescent="0.2">
      <c r="A25" s="3" t="s">
        <v>378</v>
      </c>
      <c r="B25" s="459"/>
      <c r="C25" s="936"/>
      <c r="D25" s="725"/>
      <c r="E25" s="969">
        <v>36098.58</v>
      </c>
      <c r="F25" s="669">
        <f t="shared" si="6"/>
        <v>36098.58</v>
      </c>
      <c r="J25" s="455"/>
    </row>
    <row r="26" spans="1:10" x14ac:dyDescent="0.2">
      <c r="A26" s="578" t="s">
        <v>182</v>
      </c>
      <c r="C26" s="936"/>
      <c r="D26" s="725"/>
      <c r="E26" s="971">
        <v>0.06</v>
      </c>
      <c r="F26" s="716">
        <v>0.06</v>
      </c>
      <c r="J26" s="455"/>
    </row>
    <row r="27" spans="1:10" x14ac:dyDescent="0.2">
      <c r="A27" s="578" t="s">
        <v>63</v>
      </c>
      <c r="B27" s="459"/>
      <c r="C27" s="936"/>
      <c r="D27" s="725"/>
      <c r="E27" s="969">
        <v>1788</v>
      </c>
      <c r="F27" s="669">
        <f>E27</f>
        <v>1788</v>
      </c>
    </row>
    <row r="28" spans="1:10" x14ac:dyDescent="0.2">
      <c r="D28" s="725"/>
    </row>
    <row r="29" spans="1:10" x14ac:dyDescent="0.2">
      <c r="A29" s="626" t="s">
        <v>416</v>
      </c>
      <c r="B29" s="625"/>
      <c r="C29" s="937"/>
      <c r="D29" s="725"/>
      <c r="E29" s="628">
        <f>ROUND(E22*E10,2)</f>
        <v>1742.56</v>
      </c>
      <c r="F29" s="628">
        <f>ROUND(F22*F10,2)</f>
        <v>1742.56</v>
      </c>
      <c r="G29" s="633"/>
      <c r="H29" s="633"/>
    </row>
    <row r="30" spans="1:10" x14ac:dyDescent="0.2">
      <c r="A30" s="626" t="s">
        <v>417</v>
      </c>
      <c r="B30" s="625"/>
      <c r="C30" s="937"/>
      <c r="D30" s="725"/>
      <c r="E30" s="628">
        <f>ROUND(E10*E23,2)</f>
        <v>47.02</v>
      </c>
      <c r="F30" s="628">
        <f>ROUND(F10*F23,2)</f>
        <v>47.02</v>
      </c>
      <c r="G30" s="633"/>
      <c r="H30" s="633"/>
    </row>
    <row r="31" spans="1:10" x14ac:dyDescent="0.2">
      <c r="A31" s="626" t="s">
        <v>418</v>
      </c>
      <c r="B31" s="625"/>
      <c r="C31" s="937"/>
      <c r="D31" s="725"/>
      <c r="E31" s="628">
        <f>ROUND(E22*E11,2)</f>
        <v>1212.47</v>
      </c>
      <c r="F31" s="628">
        <f>ROUND(F22*F11,2)</f>
        <v>1212.47</v>
      </c>
      <c r="G31" s="633"/>
      <c r="H31" s="633"/>
    </row>
    <row r="32" spans="1:10" x14ac:dyDescent="0.2">
      <c r="A32" s="626" t="s">
        <v>419</v>
      </c>
      <c r="B32" s="625"/>
      <c r="C32" s="937"/>
      <c r="D32" s="725"/>
      <c r="E32" s="628">
        <f>ROUND(E11*E23,2)</f>
        <v>32.72</v>
      </c>
      <c r="F32" s="628">
        <f>ROUND(F11*F23,2)</f>
        <v>32.72</v>
      </c>
      <c r="G32" s="633"/>
      <c r="H32" s="633"/>
    </row>
    <row r="33" spans="1:9" x14ac:dyDescent="0.2">
      <c r="A33" s="626" t="s">
        <v>420</v>
      </c>
      <c r="B33" s="627"/>
      <c r="C33" s="937"/>
      <c r="D33" s="725"/>
      <c r="E33" s="628">
        <f>ROUND(E22*E12,2)</f>
        <v>1473.12</v>
      </c>
      <c r="F33" s="628">
        <f>ROUND(F22*F12,2)</f>
        <v>1473.12</v>
      </c>
      <c r="G33" s="633"/>
      <c r="H33" s="633"/>
    </row>
    <row r="34" spans="1:9" x14ac:dyDescent="0.2">
      <c r="A34" s="626" t="s">
        <v>421</v>
      </c>
      <c r="B34" s="627"/>
      <c r="C34" s="937"/>
      <c r="D34" s="725"/>
      <c r="E34" s="628">
        <f>ROUND(E12*E23,2)</f>
        <v>39.75</v>
      </c>
      <c r="F34" s="628">
        <f>ROUND(F12*F23,2)</f>
        <v>39.75</v>
      </c>
      <c r="G34" s="633"/>
      <c r="H34" s="633"/>
    </row>
    <row r="35" spans="1:9" x14ac:dyDescent="0.2">
      <c r="A35" s="629" t="s">
        <v>422</v>
      </c>
      <c r="B35" s="627"/>
      <c r="C35" s="937"/>
      <c r="D35" s="725"/>
      <c r="E35" s="630">
        <f>ROUND(E13*E22,2)</f>
        <v>275.29000000000002</v>
      </c>
      <c r="F35" s="630">
        <f>ROUND(F13*F22,2)</f>
        <v>275.29000000000002</v>
      </c>
      <c r="G35" s="633"/>
      <c r="H35" s="633"/>
    </row>
    <row r="36" spans="1:9" x14ac:dyDescent="0.2">
      <c r="A36" s="629" t="s">
        <v>423</v>
      </c>
      <c r="B36" s="627"/>
      <c r="C36" s="937"/>
      <c r="D36" s="725"/>
      <c r="E36" s="630">
        <f>ROUND(E13*E23,2)</f>
        <v>7.43</v>
      </c>
      <c r="F36" s="630">
        <f>ROUND(F13*F23,2)</f>
        <v>7.43</v>
      </c>
      <c r="G36" s="633"/>
      <c r="H36" s="633"/>
    </row>
    <row r="37" spans="1:9" x14ac:dyDescent="0.2">
      <c r="A37" s="626" t="s">
        <v>424</v>
      </c>
      <c r="B37" s="627"/>
      <c r="C37" s="937"/>
      <c r="D37" s="725"/>
      <c r="E37" s="628">
        <f>ROUND(E22*E14,2)</f>
        <v>62989.73</v>
      </c>
      <c r="F37" s="628">
        <f>ROUND(F22*F14,2)</f>
        <v>62989.73</v>
      </c>
      <c r="G37" s="633"/>
      <c r="H37" s="633"/>
    </row>
    <row r="38" spans="1:9" x14ac:dyDescent="0.2">
      <c r="A38" s="626" t="s">
        <v>425</v>
      </c>
      <c r="B38" s="627"/>
      <c r="C38" s="937"/>
      <c r="D38" s="725"/>
      <c r="E38" s="628">
        <f>ROUND(E14*E23,2)</f>
        <v>1699.78</v>
      </c>
      <c r="F38" s="628">
        <f>ROUND(F14*F23,2)</f>
        <v>1699.78</v>
      </c>
      <c r="G38" s="633"/>
      <c r="H38" s="633"/>
    </row>
    <row r="39" spans="1:9" x14ac:dyDescent="0.2">
      <c r="A39" s="626" t="s">
        <v>426</v>
      </c>
      <c r="B39" s="627"/>
      <c r="C39" s="937"/>
      <c r="D39" s="725"/>
      <c r="E39" s="628">
        <f>ROUND(E22*E15,2)</f>
        <v>436.37</v>
      </c>
      <c r="F39" s="628">
        <f>ROUND(F22*F15,2)</f>
        <v>436.37</v>
      </c>
      <c r="G39" s="633"/>
      <c r="H39" s="633"/>
    </row>
    <row r="40" spans="1:9" x14ac:dyDescent="0.2">
      <c r="A40" s="626" t="s">
        <v>427</v>
      </c>
      <c r="B40" s="625"/>
      <c r="C40" s="937"/>
      <c r="D40" s="725"/>
      <c r="E40" s="628">
        <f>ROUND(E15*E23,2)</f>
        <v>11.78</v>
      </c>
      <c r="F40" s="628">
        <f>ROUND(F15*F23,2)</f>
        <v>11.78</v>
      </c>
      <c r="G40" s="633"/>
      <c r="H40" s="633"/>
    </row>
    <row r="41" spans="1:9" x14ac:dyDescent="0.2">
      <c r="A41" s="626" t="s">
        <v>428</v>
      </c>
      <c r="B41" s="627"/>
      <c r="C41" s="937"/>
      <c r="D41" s="725"/>
      <c r="E41" s="628">
        <f>ROUND(E22*E17+E24,2)</f>
        <v>98242.45</v>
      </c>
      <c r="F41" s="628">
        <f>ROUND(F22*F17+F24,2)</f>
        <v>98242.45</v>
      </c>
      <c r="G41" s="633"/>
      <c r="H41" s="633"/>
    </row>
    <row r="42" spans="1:9" x14ac:dyDescent="0.2">
      <c r="A42" s="626" t="s">
        <v>429</v>
      </c>
      <c r="B42" s="627"/>
      <c r="C42" s="937"/>
      <c r="D42" s="725"/>
      <c r="E42" s="628">
        <f>ROUND(E23*E17,2)</f>
        <v>2128.04</v>
      </c>
      <c r="F42" s="628">
        <f>ROUND(F23*F17,2)</f>
        <v>2128.04</v>
      </c>
      <c r="G42" s="633"/>
      <c r="H42" s="633"/>
    </row>
    <row r="43" spans="1:9" x14ac:dyDescent="0.2">
      <c r="A43" s="626" t="s">
        <v>430</v>
      </c>
      <c r="B43" s="627"/>
      <c r="C43" s="937"/>
      <c r="D43" s="725"/>
      <c r="E43" s="631">
        <v>98</v>
      </c>
      <c r="F43" s="631">
        <v>98</v>
      </c>
      <c r="G43" s="633"/>
      <c r="H43" s="633"/>
    </row>
    <row r="44" spans="1:9" x14ac:dyDescent="0.2">
      <c r="A44" s="626" t="s">
        <v>431</v>
      </c>
      <c r="B44" s="627"/>
      <c r="C44" s="937"/>
      <c r="D44" s="725"/>
      <c r="E44" s="632">
        <f>E24</f>
        <v>19382.29</v>
      </c>
      <c r="F44" s="632">
        <f>F24</f>
        <v>19382.29</v>
      </c>
      <c r="G44" s="633"/>
      <c r="H44" s="633"/>
    </row>
    <row r="45" spans="1:9" x14ac:dyDescent="0.2">
      <c r="D45" s="725"/>
    </row>
    <row r="46" spans="1:9" s="4" customFormat="1" x14ac:dyDescent="0.2">
      <c r="A46" s="941" t="s">
        <v>447</v>
      </c>
      <c r="B46" s="668"/>
      <c r="C46" s="935"/>
      <c r="D46" s="725"/>
      <c r="E46" s="718"/>
    </row>
    <row r="47" spans="1:9" s="4" customFormat="1" x14ac:dyDescent="0.2">
      <c r="A47" s="668" t="s">
        <v>448</v>
      </c>
      <c r="B47" s="719"/>
      <c r="C47" s="938"/>
      <c r="D47" s="726"/>
      <c r="E47" s="972">
        <v>128.79</v>
      </c>
      <c r="F47" s="669">
        <f t="shared" ref="F47:F48" si="7">E47</f>
        <v>128.79</v>
      </c>
      <c r="G47" s="604"/>
      <c r="H47" s="604"/>
      <c r="I47" s="604"/>
    </row>
    <row r="48" spans="1:9" s="4" customFormat="1" x14ac:dyDescent="0.2">
      <c r="A48" s="578" t="s">
        <v>449</v>
      </c>
      <c r="B48" s="720"/>
      <c r="C48" s="939"/>
      <c r="D48" s="726"/>
      <c r="E48" s="686">
        <v>0</v>
      </c>
      <c r="F48" s="669">
        <f t="shared" si="7"/>
        <v>0</v>
      </c>
      <c r="G48" s="604"/>
      <c r="H48" s="604"/>
      <c r="I48" s="604"/>
    </row>
    <row r="50" spans="1:7" x14ac:dyDescent="0.2">
      <c r="A50" s="942" t="s">
        <v>210</v>
      </c>
      <c r="B50" s="457"/>
      <c r="C50" s="934"/>
      <c r="D50" s="1" t="s">
        <v>209</v>
      </c>
      <c r="E50" s="2"/>
      <c r="F50" s="1" t="s">
        <v>352</v>
      </c>
      <c r="G50" s="4"/>
    </row>
    <row r="51" spans="1:7" x14ac:dyDescent="0.2">
      <c r="A51" s="578" t="s">
        <v>212</v>
      </c>
      <c r="B51" s="455"/>
      <c r="D51" s="578" t="s">
        <v>213</v>
      </c>
      <c r="E51" s="658" t="s">
        <v>214</v>
      </c>
      <c r="F51" s="578" t="s">
        <v>213</v>
      </c>
      <c r="G51" s="658" t="s">
        <v>214</v>
      </c>
    </row>
    <row r="52" spans="1:7" x14ac:dyDescent="0.2">
      <c r="A52" s="578">
        <v>10</v>
      </c>
      <c r="B52" s="455"/>
      <c r="D52" s="578" t="s">
        <v>216</v>
      </c>
      <c r="E52" s="659">
        <v>1.1299999999999999</v>
      </c>
      <c r="F52" s="578" t="s">
        <v>216</v>
      </c>
      <c r="G52" s="659">
        <v>1.03</v>
      </c>
    </row>
    <row r="53" spans="1:7" x14ac:dyDescent="0.2">
      <c r="A53" s="578">
        <v>13</v>
      </c>
      <c r="B53" s="455"/>
      <c r="D53" s="578" t="s">
        <v>218</v>
      </c>
      <c r="E53" s="659">
        <v>1.19</v>
      </c>
      <c r="F53" s="578" t="s">
        <v>218</v>
      </c>
      <c r="G53" s="659">
        <v>1.0900000000000001</v>
      </c>
    </row>
    <row r="54" spans="1:7" x14ac:dyDescent="0.2">
      <c r="A54" s="578">
        <v>15</v>
      </c>
      <c r="B54" s="455"/>
      <c r="D54" s="578" t="s">
        <v>219</v>
      </c>
      <c r="E54" s="659">
        <v>1.35</v>
      </c>
      <c r="F54" s="578" t="s">
        <v>219</v>
      </c>
      <c r="G54" s="659">
        <v>1.22</v>
      </c>
    </row>
    <row r="55" spans="1:7" x14ac:dyDescent="0.2">
      <c r="A55" s="578">
        <v>17</v>
      </c>
      <c r="B55" s="455"/>
      <c r="D55" s="578" t="s">
        <v>220</v>
      </c>
      <c r="E55" s="659">
        <v>1.4</v>
      </c>
      <c r="F55" s="578" t="s">
        <v>220</v>
      </c>
      <c r="G55" s="659">
        <v>1.28</v>
      </c>
    </row>
    <row r="56" spans="1:7" x14ac:dyDescent="0.2">
      <c r="A56" s="578">
        <v>10</v>
      </c>
      <c r="B56" s="455"/>
      <c r="D56" s="578" t="s">
        <v>221</v>
      </c>
      <c r="E56" s="659">
        <v>1.19</v>
      </c>
      <c r="F56" s="578" t="s">
        <v>221</v>
      </c>
      <c r="G56" s="659">
        <v>1.0900000000000001</v>
      </c>
    </row>
    <row r="57" spans="1:7" x14ac:dyDescent="0.2">
      <c r="A57" s="578">
        <v>11</v>
      </c>
      <c r="B57" s="455"/>
      <c r="D57" s="578" t="s">
        <v>222</v>
      </c>
      <c r="E57" s="659">
        <v>1.22</v>
      </c>
      <c r="F57" s="578" t="s">
        <v>222</v>
      </c>
      <c r="G57" s="659">
        <v>1.1200000000000001</v>
      </c>
    </row>
    <row r="58" spans="1:7" x14ac:dyDescent="0.2">
      <c r="A58" s="581">
        <v>13</v>
      </c>
      <c r="B58" s="460"/>
      <c r="D58" s="578" t="s">
        <v>223</v>
      </c>
      <c r="E58" s="659">
        <v>1.4</v>
      </c>
      <c r="F58" s="578" t="s">
        <v>223</v>
      </c>
      <c r="G58" s="659">
        <v>1.28</v>
      </c>
    </row>
    <row r="59" spans="1:7" x14ac:dyDescent="0.2">
      <c r="A59" s="581">
        <v>15</v>
      </c>
      <c r="B59" s="460"/>
      <c r="D59" s="578" t="s">
        <v>224</v>
      </c>
      <c r="E59" s="659">
        <v>1.46</v>
      </c>
      <c r="F59" s="578" t="s">
        <v>224</v>
      </c>
      <c r="G59" s="659">
        <v>1.33</v>
      </c>
    </row>
    <row r="60" spans="1:7" x14ac:dyDescent="0.2">
      <c r="A60" s="578">
        <v>13</v>
      </c>
      <c r="B60" s="455"/>
      <c r="D60" s="578" t="s">
        <v>190</v>
      </c>
      <c r="E60" s="659">
        <v>1.23</v>
      </c>
      <c r="F60" s="578" t="s">
        <v>190</v>
      </c>
      <c r="G60" s="659">
        <v>1.1100000000000001</v>
      </c>
    </row>
    <row r="61" spans="1:7" x14ac:dyDescent="0.2">
      <c r="A61" s="578">
        <v>15</v>
      </c>
      <c r="B61" s="455"/>
      <c r="D61" s="578" t="s">
        <v>191</v>
      </c>
      <c r="E61" s="659">
        <v>1.37</v>
      </c>
      <c r="F61" s="578" t="s">
        <v>191</v>
      </c>
      <c r="G61" s="659">
        <v>1.25</v>
      </c>
    </row>
    <row r="62" spans="1:7" x14ac:dyDescent="0.2">
      <c r="A62" s="578">
        <v>17</v>
      </c>
      <c r="B62" s="455"/>
      <c r="D62" s="578" t="s">
        <v>192</v>
      </c>
      <c r="E62" s="659">
        <v>1.46</v>
      </c>
      <c r="F62" s="578" t="s">
        <v>192</v>
      </c>
      <c r="G62" s="659">
        <v>1.32</v>
      </c>
    </row>
    <row r="63" spans="1:7" x14ac:dyDescent="0.2">
      <c r="A63" s="578">
        <v>16</v>
      </c>
      <c r="B63" s="455"/>
      <c r="D63" s="578" t="s">
        <v>193</v>
      </c>
      <c r="E63" s="659">
        <v>1.53</v>
      </c>
      <c r="F63" s="578" t="s">
        <v>193</v>
      </c>
      <c r="G63" s="659">
        <v>1.39</v>
      </c>
    </row>
    <row r="64" spans="1:7" x14ac:dyDescent="0.2">
      <c r="A64" s="578">
        <v>18</v>
      </c>
      <c r="B64" s="455"/>
      <c r="D64" s="578" t="s">
        <v>194</v>
      </c>
      <c r="E64" s="659">
        <v>1.61</v>
      </c>
      <c r="F64" s="578" t="s">
        <v>194</v>
      </c>
      <c r="G64" s="659">
        <v>1.46</v>
      </c>
    </row>
    <row r="65" spans="1:7" x14ac:dyDescent="0.2">
      <c r="A65" s="578">
        <v>18</v>
      </c>
      <c r="B65" s="455"/>
      <c r="D65" s="578" t="s">
        <v>195</v>
      </c>
      <c r="E65" s="659">
        <v>1.56</v>
      </c>
      <c r="F65" s="578" t="s">
        <v>195</v>
      </c>
      <c r="G65" s="659">
        <v>1.42</v>
      </c>
    </row>
    <row r="66" spans="1:7" x14ac:dyDescent="0.2">
      <c r="A66" s="578">
        <v>18</v>
      </c>
      <c r="B66" s="455"/>
      <c r="D66" s="578" t="s">
        <v>196</v>
      </c>
      <c r="E66" s="659">
        <v>1.71</v>
      </c>
      <c r="F66" s="578" t="s">
        <v>196</v>
      </c>
      <c r="G66" s="659">
        <v>1.56</v>
      </c>
    </row>
    <row r="67" spans="1:7" x14ac:dyDescent="0.2">
      <c r="A67" s="578">
        <v>11</v>
      </c>
      <c r="B67" s="455"/>
      <c r="D67" s="578" t="s">
        <v>197</v>
      </c>
      <c r="E67" s="659">
        <v>1.04</v>
      </c>
      <c r="F67" s="578" t="s">
        <v>197</v>
      </c>
      <c r="G67" s="659">
        <v>0.94</v>
      </c>
    </row>
    <row r="68" spans="1:7" x14ac:dyDescent="0.2">
      <c r="A68" s="578">
        <v>13</v>
      </c>
      <c r="B68" s="455"/>
      <c r="D68" s="578" t="s">
        <v>198</v>
      </c>
      <c r="E68" s="659">
        <v>1.1200000000000001</v>
      </c>
      <c r="F68" s="578" t="s">
        <v>198</v>
      </c>
      <c r="G68" s="659">
        <v>1.02</v>
      </c>
    </row>
    <row r="69" spans="1:7" x14ac:dyDescent="0.2">
      <c r="A69" s="578">
        <v>18</v>
      </c>
      <c r="B69" s="455"/>
      <c r="D69" s="578" t="s">
        <v>199</v>
      </c>
      <c r="E69" s="659">
        <v>1.29</v>
      </c>
      <c r="F69" s="578" t="s">
        <v>199</v>
      </c>
      <c r="G69" s="659">
        <v>1.1599999999999999</v>
      </c>
    </row>
    <row r="70" spans="1:7" x14ac:dyDescent="0.2">
      <c r="A70" s="578">
        <v>20</v>
      </c>
      <c r="B70" s="455"/>
      <c r="D70" s="578" t="s">
        <v>200</v>
      </c>
      <c r="E70" s="659">
        <v>1.45</v>
      </c>
      <c r="F70" s="578" t="s">
        <v>200</v>
      </c>
      <c r="G70" s="659">
        <v>1.32</v>
      </c>
    </row>
    <row r="71" spans="1:7" x14ac:dyDescent="0.2">
      <c r="A71" s="578">
        <v>19</v>
      </c>
      <c r="B71" s="455"/>
      <c r="D71" s="578" t="s">
        <v>201</v>
      </c>
      <c r="E71" s="659">
        <v>1.58</v>
      </c>
      <c r="F71" s="578" t="s">
        <v>201</v>
      </c>
      <c r="G71" s="659">
        <v>1.43</v>
      </c>
    </row>
    <row r="72" spans="1:7" x14ac:dyDescent="0.2">
      <c r="A72" s="578">
        <v>15</v>
      </c>
      <c r="B72" s="455"/>
      <c r="D72" s="580" t="s">
        <v>202</v>
      </c>
      <c r="E72" s="660">
        <v>1</v>
      </c>
      <c r="F72" s="578" t="s">
        <v>202</v>
      </c>
      <c r="G72" s="659">
        <v>0.91</v>
      </c>
    </row>
    <row r="73" spans="1:7" x14ac:dyDescent="0.2">
      <c r="A73" s="578">
        <v>15</v>
      </c>
      <c r="B73" s="455"/>
      <c r="D73" s="578" t="s">
        <v>203</v>
      </c>
      <c r="E73" s="659">
        <v>1.1000000000000001</v>
      </c>
      <c r="F73" s="580" t="s">
        <v>203</v>
      </c>
      <c r="G73" s="660">
        <v>1</v>
      </c>
    </row>
    <row r="74" spans="1:7" x14ac:dyDescent="0.2">
      <c r="A74" s="578">
        <v>15</v>
      </c>
      <c r="B74" s="455"/>
      <c r="D74" s="578" t="s">
        <v>204</v>
      </c>
      <c r="E74" s="659">
        <v>1.28</v>
      </c>
      <c r="F74" s="578" t="s">
        <v>204</v>
      </c>
      <c r="G74" s="659">
        <v>1.1599999999999999</v>
      </c>
    </row>
    <row r="75" spans="1:7" x14ac:dyDescent="0.2">
      <c r="A75" s="578">
        <v>15</v>
      </c>
      <c r="B75" s="455"/>
      <c r="D75" s="578" t="s">
        <v>205</v>
      </c>
      <c r="E75" s="659">
        <v>1.46</v>
      </c>
      <c r="F75" s="578" t="s">
        <v>205</v>
      </c>
      <c r="G75" s="659">
        <v>1.32</v>
      </c>
    </row>
    <row r="76" spans="1:7" x14ac:dyDescent="0.2">
      <c r="A76" s="578">
        <v>15</v>
      </c>
      <c r="B76" s="455"/>
      <c r="D76" s="578" t="s">
        <v>206</v>
      </c>
      <c r="E76" s="659">
        <v>1.58</v>
      </c>
      <c r="F76" s="578" t="s">
        <v>206</v>
      </c>
      <c r="G76" s="659">
        <v>1.43</v>
      </c>
    </row>
    <row r="77" spans="1:7" x14ac:dyDescent="0.2">
      <c r="A77" s="578">
        <v>7</v>
      </c>
      <c r="B77" s="455"/>
      <c r="D77" s="578">
        <v>1</v>
      </c>
      <c r="E77" s="659">
        <v>0.5</v>
      </c>
      <c r="F77" s="578">
        <v>1</v>
      </c>
      <c r="G77" s="659">
        <v>0.46</v>
      </c>
    </row>
    <row r="78" spans="1:7" x14ac:dyDescent="0.2">
      <c r="A78" s="578">
        <v>8</v>
      </c>
      <c r="B78" s="455"/>
      <c r="D78" s="578">
        <v>2</v>
      </c>
      <c r="E78" s="659">
        <v>0.55000000000000004</v>
      </c>
      <c r="F78" s="578">
        <v>2</v>
      </c>
      <c r="G78" s="659">
        <v>0.5</v>
      </c>
    </row>
    <row r="79" spans="1:7" x14ac:dyDescent="0.2">
      <c r="A79" s="578">
        <v>9</v>
      </c>
      <c r="B79" s="455"/>
      <c r="D79" s="578">
        <v>3</v>
      </c>
      <c r="E79" s="659">
        <v>0.6</v>
      </c>
      <c r="F79" s="578">
        <v>3</v>
      </c>
      <c r="G79" s="659">
        <v>0.55000000000000004</v>
      </c>
    </row>
    <row r="80" spans="1:7" x14ac:dyDescent="0.2">
      <c r="A80" s="578">
        <v>11</v>
      </c>
      <c r="B80" s="455"/>
      <c r="D80" s="578">
        <v>4</v>
      </c>
      <c r="E80" s="659">
        <v>0.63</v>
      </c>
      <c r="F80" s="578">
        <v>4</v>
      </c>
      <c r="G80" s="659">
        <v>0.57999999999999996</v>
      </c>
    </row>
    <row r="81" spans="1:7" x14ac:dyDescent="0.2">
      <c r="A81" s="578">
        <v>12</v>
      </c>
      <c r="B81" s="455"/>
      <c r="D81" s="578">
        <v>5</v>
      </c>
      <c r="E81" s="659">
        <v>0.67</v>
      </c>
      <c r="F81" s="578">
        <v>5</v>
      </c>
      <c r="G81" s="659">
        <v>0.61</v>
      </c>
    </row>
    <row r="82" spans="1:7" x14ac:dyDescent="0.2">
      <c r="A82" s="578">
        <v>11</v>
      </c>
      <c r="B82" s="455"/>
      <c r="D82" s="578">
        <v>6</v>
      </c>
      <c r="E82" s="659">
        <v>0.7</v>
      </c>
      <c r="F82" s="578">
        <v>6</v>
      </c>
      <c r="G82" s="659">
        <v>0.64</v>
      </c>
    </row>
    <row r="83" spans="1:7" x14ac:dyDescent="0.2">
      <c r="A83" s="578">
        <v>12</v>
      </c>
      <c r="B83" s="455"/>
      <c r="D83" s="578">
        <v>7</v>
      </c>
      <c r="E83" s="659">
        <v>0.77</v>
      </c>
      <c r="F83" s="578">
        <v>7</v>
      </c>
      <c r="G83" s="659">
        <v>0.69</v>
      </c>
    </row>
    <row r="84" spans="1:7" x14ac:dyDescent="0.2">
      <c r="A84" s="578">
        <v>13</v>
      </c>
      <c r="B84" s="455"/>
      <c r="D84" s="578">
        <v>8</v>
      </c>
      <c r="E84" s="659">
        <v>0.86</v>
      </c>
      <c r="F84" s="578">
        <v>8</v>
      </c>
      <c r="G84" s="659">
        <v>0.79</v>
      </c>
    </row>
    <row r="85" spans="1:7" x14ac:dyDescent="0.2">
      <c r="A85" s="578">
        <v>10</v>
      </c>
      <c r="B85" s="455"/>
      <c r="D85" s="578">
        <v>9</v>
      </c>
      <c r="E85" s="659">
        <v>0.99</v>
      </c>
      <c r="F85" s="578">
        <v>9</v>
      </c>
      <c r="G85" s="659">
        <v>0.9</v>
      </c>
    </row>
    <row r="86" spans="1:7" x14ac:dyDescent="0.2">
      <c r="A86" s="578">
        <v>13</v>
      </c>
      <c r="B86" s="455"/>
      <c r="D86" s="578">
        <v>10</v>
      </c>
      <c r="E86" s="659">
        <v>1.0900000000000001</v>
      </c>
      <c r="F86" s="578">
        <v>10</v>
      </c>
      <c r="G86" s="659">
        <v>0.99</v>
      </c>
    </row>
    <row r="87" spans="1:7" x14ac:dyDescent="0.2">
      <c r="A87" s="578">
        <v>18</v>
      </c>
      <c r="B87" s="455"/>
      <c r="D87" s="578">
        <v>11</v>
      </c>
      <c r="E87" s="659">
        <v>1.27</v>
      </c>
      <c r="F87" s="578">
        <v>11</v>
      </c>
      <c r="G87" s="659">
        <v>1.1499999999999999</v>
      </c>
    </row>
    <row r="88" spans="1:7" x14ac:dyDescent="0.2">
      <c r="A88" s="578">
        <v>16</v>
      </c>
      <c r="B88" s="455"/>
      <c r="D88" s="578">
        <v>12</v>
      </c>
      <c r="E88" s="659">
        <v>1.44</v>
      </c>
      <c r="F88" s="578">
        <v>12</v>
      </c>
      <c r="G88" s="659">
        <v>1.31</v>
      </c>
    </row>
    <row r="89" spans="1:7" x14ac:dyDescent="0.2">
      <c r="A89" s="578">
        <v>13</v>
      </c>
      <c r="B89" s="455"/>
      <c r="D89" s="578">
        <v>13</v>
      </c>
      <c r="E89" s="659">
        <v>1.57</v>
      </c>
      <c r="F89" s="578">
        <v>13</v>
      </c>
      <c r="G89" s="659">
        <v>1.42</v>
      </c>
    </row>
    <row r="90" spans="1:7" x14ac:dyDescent="0.2">
      <c r="A90" s="578">
        <v>11</v>
      </c>
      <c r="B90" s="455"/>
      <c r="D90" s="578">
        <v>14</v>
      </c>
      <c r="E90" s="659">
        <v>1.73</v>
      </c>
      <c r="F90" s="578">
        <v>14</v>
      </c>
      <c r="G90" s="659">
        <v>1.57</v>
      </c>
    </row>
    <row r="91" spans="1:7" x14ac:dyDescent="0.2">
      <c r="A91" s="578"/>
      <c r="B91" s="455"/>
      <c r="D91" s="578">
        <v>15</v>
      </c>
      <c r="E91" s="659">
        <v>1.89</v>
      </c>
      <c r="F91" s="578">
        <v>15</v>
      </c>
      <c r="G91" s="659">
        <v>1.73</v>
      </c>
    </row>
    <row r="92" spans="1:7" x14ac:dyDescent="0.2">
      <c r="A92" s="578"/>
      <c r="B92" s="455"/>
      <c r="D92" s="578">
        <v>16</v>
      </c>
      <c r="E92" s="659">
        <v>2.08</v>
      </c>
      <c r="F92" s="578">
        <v>16</v>
      </c>
      <c r="G92" s="659">
        <v>1.89</v>
      </c>
    </row>
    <row r="93" spans="1:7" x14ac:dyDescent="0.2">
      <c r="A93" s="578">
        <v>1</v>
      </c>
      <c r="B93" s="455"/>
      <c r="D93" s="578" t="s">
        <v>207</v>
      </c>
      <c r="E93" s="659">
        <v>0.34</v>
      </c>
      <c r="F93" s="578" t="s">
        <v>207</v>
      </c>
      <c r="G93" s="659">
        <v>0.31</v>
      </c>
    </row>
    <row r="94" spans="1:7" x14ac:dyDescent="0.2">
      <c r="A94" s="578">
        <v>1</v>
      </c>
      <c r="B94" s="455"/>
      <c r="D94" s="578" t="s">
        <v>208</v>
      </c>
      <c r="E94" s="659">
        <v>0.35</v>
      </c>
      <c r="F94" s="578" t="s">
        <v>208</v>
      </c>
      <c r="G94" s="659">
        <v>0.32</v>
      </c>
    </row>
    <row r="96" spans="1:7" x14ac:dyDescent="0.2">
      <c r="A96" s="4" t="s">
        <v>393</v>
      </c>
      <c r="B96" s="4"/>
      <c r="D96" s="662">
        <v>0.62</v>
      </c>
    </row>
    <row r="98" spans="1:12" s="461" customFormat="1" x14ac:dyDescent="0.2">
      <c r="A98" s="941" t="s">
        <v>350</v>
      </c>
      <c r="B98" s="593"/>
      <c r="C98" s="935" t="s">
        <v>497</v>
      </c>
      <c r="D98" s="593"/>
      <c r="E98" s="593"/>
      <c r="F98" s="593"/>
      <c r="H98" s="456"/>
    </row>
    <row r="99" spans="1:12" x14ac:dyDescent="0.2">
      <c r="A99" s="588" t="s">
        <v>229</v>
      </c>
      <c r="B99" s="588"/>
      <c r="C99" s="937"/>
      <c r="D99" s="593"/>
      <c r="E99" s="597">
        <v>16414.93</v>
      </c>
      <c r="F99" s="669">
        <f t="shared" ref="F99:F104" si="8">E99</f>
        <v>16414.93</v>
      </c>
      <c r="G99" s="461"/>
      <c r="H99" s="461"/>
    </row>
    <row r="100" spans="1:12" x14ac:dyDescent="0.2">
      <c r="A100" s="578" t="s">
        <v>230</v>
      </c>
      <c r="B100" s="578"/>
      <c r="C100" s="934"/>
      <c r="D100" s="593"/>
      <c r="E100" s="597">
        <v>5304</v>
      </c>
      <c r="F100" s="669">
        <f t="shared" si="8"/>
        <v>5304</v>
      </c>
      <c r="G100" s="461"/>
      <c r="H100" s="461"/>
    </row>
    <row r="101" spans="1:12" x14ac:dyDescent="0.2">
      <c r="A101" s="578" t="s">
        <v>345</v>
      </c>
      <c r="B101" s="578"/>
      <c r="C101" s="940"/>
      <c r="D101" s="593"/>
      <c r="E101" s="597">
        <v>457.09</v>
      </c>
      <c r="F101" s="669">
        <f t="shared" si="8"/>
        <v>457.09</v>
      </c>
      <c r="G101" s="461"/>
      <c r="H101" s="461"/>
    </row>
    <row r="102" spans="1:12" x14ac:dyDescent="0.2">
      <c r="A102" s="578" t="s">
        <v>346</v>
      </c>
      <c r="B102" s="578"/>
      <c r="C102" s="940"/>
      <c r="D102" s="593"/>
      <c r="E102" s="597">
        <v>281.58</v>
      </c>
      <c r="F102" s="669">
        <f t="shared" si="8"/>
        <v>281.58</v>
      </c>
      <c r="G102" s="461"/>
      <c r="H102" s="461"/>
    </row>
    <row r="103" spans="1:12" x14ac:dyDescent="0.2">
      <c r="A103" s="578" t="s">
        <v>349</v>
      </c>
      <c r="B103" s="578"/>
      <c r="C103" s="940"/>
      <c r="D103" s="593"/>
      <c r="E103" s="597">
        <v>11971.58</v>
      </c>
      <c r="F103" s="669">
        <f t="shared" si="8"/>
        <v>11971.58</v>
      </c>
      <c r="G103" s="461"/>
      <c r="H103" s="461"/>
    </row>
    <row r="104" spans="1:12" x14ac:dyDescent="0.2">
      <c r="A104" s="578" t="s">
        <v>384</v>
      </c>
      <c r="B104" s="578"/>
      <c r="C104" s="934"/>
      <c r="D104" s="593"/>
      <c r="E104" s="597">
        <v>82.57</v>
      </c>
      <c r="F104" s="669">
        <f t="shared" si="8"/>
        <v>82.57</v>
      </c>
      <c r="G104" s="461"/>
      <c r="H104" s="461"/>
    </row>
    <row r="105" spans="1:12" x14ac:dyDescent="0.2">
      <c r="A105" s="588" t="s">
        <v>76</v>
      </c>
      <c r="B105" s="588"/>
      <c r="C105" s="934"/>
      <c r="D105" s="593"/>
      <c r="E105" s="134">
        <v>145</v>
      </c>
      <c r="F105" s="670">
        <v>145</v>
      </c>
      <c r="G105" s="461"/>
      <c r="H105" s="461"/>
    </row>
    <row r="106" spans="1:12" x14ac:dyDescent="0.2">
      <c r="A106" s="578"/>
      <c r="B106" s="578"/>
      <c r="C106" s="934"/>
      <c r="D106" s="593"/>
      <c r="E106" s="578"/>
      <c r="F106" s="578"/>
    </row>
    <row r="107" spans="1:12" x14ac:dyDescent="0.2">
      <c r="C107" s="934"/>
    </row>
    <row r="108" spans="1:12" s="578" customFormat="1" x14ac:dyDescent="0.2">
      <c r="A108" s="938" t="s">
        <v>354</v>
      </c>
      <c r="B108" s="580"/>
      <c r="C108" s="935"/>
      <c r="D108" s="593">
        <f>E4</f>
        <v>2016</v>
      </c>
      <c r="E108" s="580"/>
      <c r="F108" s="580"/>
      <c r="G108" s="580"/>
      <c r="H108" s="580"/>
      <c r="I108" s="580"/>
      <c r="J108" s="593">
        <f>F4</f>
        <v>2017</v>
      </c>
      <c r="K108" s="596"/>
      <c r="L108" s="4"/>
    </row>
    <row r="109" spans="1:12" s="4" customFormat="1" x14ac:dyDescent="0.2">
      <c r="C109" s="934"/>
      <c r="D109" s="593" t="s">
        <v>489</v>
      </c>
      <c r="E109" s="961">
        <v>2E-3</v>
      </c>
      <c r="F109" s="456"/>
      <c r="G109" s="456"/>
      <c r="H109" s="456"/>
      <c r="I109" s="456"/>
      <c r="J109" s="593" t="s">
        <v>489</v>
      </c>
      <c r="K109" s="995">
        <v>2E-3</v>
      </c>
    </row>
    <row r="110" spans="1:12" s="4" customFormat="1" x14ac:dyDescent="0.2">
      <c r="A110" s="578" t="s">
        <v>147</v>
      </c>
      <c r="B110" s="578"/>
      <c r="C110" s="934"/>
      <c r="D110" s="597">
        <v>13421.37</v>
      </c>
      <c r="E110" s="597">
        <v>318.88</v>
      </c>
      <c r="J110" s="993">
        <v>13448.21</v>
      </c>
      <c r="K110" s="993">
        <v>324.14</v>
      </c>
    </row>
    <row r="111" spans="1:12" s="4" customFormat="1" x14ac:dyDescent="0.2">
      <c r="A111" s="578" t="s">
        <v>379</v>
      </c>
      <c r="B111" s="578"/>
      <c r="C111" s="934"/>
      <c r="D111" s="597">
        <v>111.2</v>
      </c>
      <c r="E111" s="597">
        <v>19.920000000000002</v>
      </c>
      <c r="J111" s="994">
        <v>111.42</v>
      </c>
      <c r="K111" s="994">
        <v>19.96</v>
      </c>
    </row>
    <row r="112" spans="1:12" s="4" customFormat="1" x14ac:dyDescent="0.2">
      <c r="C112" s="934"/>
    </row>
    <row r="113" spans="1:14" s="4" customFormat="1" x14ac:dyDescent="0.2">
      <c r="A113" s="598" t="s">
        <v>146</v>
      </c>
      <c r="B113" s="598"/>
      <c r="C113" s="934"/>
      <c r="D113" s="578"/>
    </row>
    <row r="114" spans="1:14" s="4" customFormat="1" x14ac:dyDescent="0.2">
      <c r="A114" s="599" t="s">
        <v>115</v>
      </c>
      <c r="B114" s="599"/>
      <c r="C114" s="934"/>
      <c r="D114" s="661">
        <v>0.05</v>
      </c>
      <c r="J114" s="661">
        <v>0.05</v>
      </c>
      <c r="K114" s="593"/>
    </row>
    <row r="115" spans="1:14" s="4" customFormat="1" x14ac:dyDescent="0.2">
      <c r="A115" s="578" t="s">
        <v>116</v>
      </c>
      <c r="B115" s="578"/>
      <c r="C115" s="934"/>
      <c r="D115" s="661">
        <v>3.4299999999999997E-2</v>
      </c>
      <c r="J115" s="661">
        <v>3.4299999999999997E-2</v>
      </c>
      <c r="K115" s="593"/>
    </row>
    <row r="116" spans="1:14" s="4" customFormat="1" x14ac:dyDescent="0.2">
      <c r="A116" s="578" t="s">
        <v>117</v>
      </c>
      <c r="B116" s="578"/>
      <c r="C116" s="934"/>
      <c r="D116" s="600">
        <v>1.7899999999999999E-2</v>
      </c>
      <c r="J116" s="600">
        <v>1.7899999999999999E-2</v>
      </c>
      <c r="K116" s="593"/>
      <c r="N116" s="595"/>
    </row>
    <row r="117" spans="1:14" s="4" customFormat="1" x14ac:dyDescent="0.2">
      <c r="A117" s="578" t="s">
        <v>130</v>
      </c>
      <c r="B117" s="578"/>
      <c r="C117" s="934"/>
      <c r="D117" s="600">
        <v>1.5642</v>
      </c>
      <c r="J117" s="600">
        <v>1.5642</v>
      </c>
      <c r="K117" s="593"/>
    </row>
    <row r="118" spans="1:14" s="4" customFormat="1" x14ac:dyDescent="0.2">
      <c r="A118" s="578" t="s">
        <v>385</v>
      </c>
      <c r="B118" s="578"/>
      <c r="C118" s="934"/>
      <c r="D118" s="600">
        <v>1.15E-2</v>
      </c>
      <c r="J118" s="600">
        <v>1.15E-2</v>
      </c>
      <c r="K118" s="593"/>
    </row>
    <row r="119" spans="1:14" s="4" customFormat="1" x14ac:dyDescent="0.2">
      <c r="A119" s="578"/>
      <c r="B119" s="578"/>
      <c r="C119" s="935"/>
      <c r="D119" s="578"/>
      <c r="K119" s="601"/>
      <c r="L119" s="601"/>
    </row>
    <row r="120" spans="1:14" s="4" customFormat="1" x14ac:dyDescent="0.2">
      <c r="A120" s="938" t="s">
        <v>148</v>
      </c>
      <c r="B120" s="578"/>
      <c r="C120" s="935"/>
      <c r="D120" s="578" t="s">
        <v>128</v>
      </c>
      <c r="E120" s="4" t="s">
        <v>148</v>
      </c>
      <c r="F120" s="578" t="s">
        <v>118</v>
      </c>
      <c r="G120" s="578" t="s">
        <v>149</v>
      </c>
      <c r="H120" s="592" t="s">
        <v>150</v>
      </c>
      <c r="I120" s="578" t="s">
        <v>68</v>
      </c>
      <c r="J120" s="4" t="s">
        <v>148</v>
      </c>
      <c r="K120" s="578" t="s">
        <v>118</v>
      </c>
      <c r="L120" s="578" t="s">
        <v>149</v>
      </c>
      <c r="M120" s="592" t="s">
        <v>150</v>
      </c>
      <c r="N120" s="578" t="s">
        <v>68</v>
      </c>
    </row>
    <row r="121" spans="1:14" s="4" customFormat="1" x14ac:dyDescent="0.2">
      <c r="A121" s="578" t="s">
        <v>127</v>
      </c>
      <c r="B121" s="578"/>
      <c r="C121" s="935"/>
      <c r="D121" s="578" t="s">
        <v>129</v>
      </c>
      <c r="F121" s="578"/>
      <c r="G121" s="578"/>
      <c r="H121" s="578"/>
      <c r="I121" s="592" t="s">
        <v>151</v>
      </c>
      <c r="K121" s="578"/>
      <c r="L121" s="578"/>
      <c r="M121" s="578"/>
      <c r="N121" s="592" t="s">
        <v>151</v>
      </c>
    </row>
    <row r="122" spans="1:14" s="4" customFormat="1" x14ac:dyDescent="0.2">
      <c r="A122" s="578">
        <v>0</v>
      </c>
      <c r="B122" s="578"/>
      <c r="C122" s="935"/>
      <c r="D122" s="578">
        <v>0</v>
      </c>
      <c r="E122" s="578">
        <v>0</v>
      </c>
      <c r="F122" s="602">
        <v>0</v>
      </c>
      <c r="G122" s="684"/>
      <c r="H122" s="684"/>
      <c r="I122" s="684"/>
      <c r="J122" s="685">
        <v>0</v>
      </c>
      <c r="K122" s="996">
        <v>0</v>
      </c>
      <c r="L122" s="684"/>
      <c r="M122" s="684"/>
      <c r="N122" s="684"/>
    </row>
    <row r="123" spans="1:14" s="4" customFormat="1" x14ac:dyDescent="0.2">
      <c r="A123" s="578">
        <v>2</v>
      </c>
      <c r="B123" s="578"/>
      <c r="C123" s="935"/>
      <c r="D123" s="578">
        <v>375</v>
      </c>
      <c r="E123" s="581">
        <v>2</v>
      </c>
      <c r="F123" s="602">
        <v>24806</v>
      </c>
      <c r="G123" s="684"/>
      <c r="H123" s="684"/>
      <c r="I123" s="684"/>
      <c r="J123" s="685">
        <v>2</v>
      </c>
      <c r="K123" s="997">
        <v>24855</v>
      </c>
      <c r="L123" s="684"/>
      <c r="M123" s="684"/>
      <c r="N123" s="684"/>
    </row>
    <row r="124" spans="1:14" s="4" customFormat="1" x14ac:dyDescent="0.2">
      <c r="A124" s="578">
        <v>3</v>
      </c>
      <c r="B124" s="578"/>
      <c r="C124" s="935"/>
      <c r="D124" s="578">
        <v>495</v>
      </c>
      <c r="E124" s="581">
        <v>3</v>
      </c>
      <c r="F124" s="602">
        <v>32111</v>
      </c>
      <c r="G124" s="684">
        <f t="shared" ref="G124:G171" si="9">+F124-F123</f>
        <v>7305</v>
      </c>
      <c r="H124" s="684"/>
      <c r="I124" s="684"/>
      <c r="J124" s="685">
        <v>3</v>
      </c>
      <c r="K124" s="997">
        <v>32175</v>
      </c>
      <c r="L124" s="684">
        <f t="shared" ref="L124:L171" si="10">+K124-K123</f>
        <v>7320</v>
      </c>
      <c r="M124" s="684"/>
      <c r="N124" s="684"/>
    </row>
    <row r="125" spans="1:14" s="4" customFormat="1" x14ac:dyDescent="0.2">
      <c r="A125" s="578">
        <v>4</v>
      </c>
      <c r="B125" s="578"/>
      <c r="C125" s="935"/>
      <c r="D125" s="578">
        <v>650</v>
      </c>
      <c r="E125" s="581">
        <v>4</v>
      </c>
      <c r="F125" s="602">
        <v>41548</v>
      </c>
      <c r="G125" s="684">
        <f t="shared" si="9"/>
        <v>9437</v>
      </c>
      <c r="H125" s="684"/>
      <c r="I125" s="684"/>
      <c r="J125" s="685">
        <v>4</v>
      </c>
      <c r="K125" s="997">
        <v>41630</v>
      </c>
      <c r="L125" s="684">
        <f t="shared" si="10"/>
        <v>9455</v>
      </c>
      <c r="M125" s="684"/>
      <c r="N125" s="684"/>
    </row>
    <row r="126" spans="1:14" s="4" customFormat="1" x14ac:dyDescent="0.2">
      <c r="A126" s="578">
        <v>5</v>
      </c>
      <c r="B126" s="578"/>
      <c r="C126" s="935"/>
      <c r="D126" s="578">
        <v>785</v>
      </c>
      <c r="E126" s="581">
        <v>5</v>
      </c>
      <c r="F126" s="602">
        <v>49766</v>
      </c>
      <c r="G126" s="684">
        <f t="shared" si="9"/>
        <v>8218</v>
      </c>
      <c r="H126" s="684"/>
      <c r="I126" s="684"/>
      <c r="J126" s="685">
        <v>5</v>
      </c>
      <c r="K126" s="997">
        <v>49865</v>
      </c>
      <c r="L126" s="684">
        <f t="shared" si="10"/>
        <v>8235</v>
      </c>
      <c r="M126" s="684"/>
      <c r="N126" s="684"/>
    </row>
    <row r="127" spans="1:14" s="4" customFormat="1" x14ac:dyDescent="0.2">
      <c r="A127" s="578">
        <v>6</v>
      </c>
      <c r="B127" s="578"/>
      <c r="C127" s="935"/>
      <c r="D127" s="578">
        <v>875</v>
      </c>
      <c r="E127" s="581">
        <v>6</v>
      </c>
      <c r="F127" s="602">
        <v>55246</v>
      </c>
      <c r="G127" s="684">
        <f t="shared" si="9"/>
        <v>5480</v>
      </c>
      <c r="H127" s="684"/>
      <c r="I127" s="684"/>
      <c r="J127" s="685">
        <v>6</v>
      </c>
      <c r="K127" s="997">
        <v>55355</v>
      </c>
      <c r="L127" s="684">
        <f t="shared" si="10"/>
        <v>5490</v>
      </c>
      <c r="M127" s="684"/>
      <c r="N127" s="684"/>
    </row>
    <row r="128" spans="1:14" s="4" customFormat="1" x14ac:dyDescent="0.2">
      <c r="A128" s="578">
        <v>7</v>
      </c>
      <c r="B128" s="578"/>
      <c r="C128" s="935"/>
      <c r="D128" s="578">
        <v>980</v>
      </c>
      <c r="E128" s="581">
        <v>7</v>
      </c>
      <c r="F128" s="603">
        <f t="shared" ref="F128:F134" si="11">+F127+H128</f>
        <v>61638</v>
      </c>
      <c r="G128" s="684">
        <f t="shared" si="9"/>
        <v>6392</v>
      </c>
      <c r="H128" s="602">
        <v>6392</v>
      </c>
      <c r="I128" s="684"/>
      <c r="J128" s="685">
        <v>7</v>
      </c>
      <c r="K128" s="684">
        <f t="shared" ref="K128:K134" si="12">+K127+M128</f>
        <v>61760</v>
      </c>
      <c r="L128" s="684">
        <f t="shared" si="10"/>
        <v>6405</v>
      </c>
      <c r="M128" s="998">
        <v>6405</v>
      </c>
      <c r="N128" s="684"/>
    </row>
    <row r="129" spans="1:14" s="4" customFormat="1" x14ac:dyDescent="0.2">
      <c r="A129" s="578">
        <v>8</v>
      </c>
      <c r="B129" s="578"/>
      <c r="C129" s="935"/>
      <c r="D129" s="578">
        <v>1085</v>
      </c>
      <c r="E129" s="581">
        <v>8</v>
      </c>
      <c r="F129" s="603">
        <f t="shared" si="11"/>
        <v>68030</v>
      </c>
      <c r="G129" s="684">
        <f t="shared" si="9"/>
        <v>6392</v>
      </c>
      <c r="H129" s="684">
        <f t="shared" ref="H129:H171" si="13">H128</f>
        <v>6392</v>
      </c>
      <c r="I129" s="684"/>
      <c r="J129" s="685">
        <v>8</v>
      </c>
      <c r="K129" s="684">
        <f t="shared" si="12"/>
        <v>68165</v>
      </c>
      <c r="L129" s="684">
        <f t="shared" si="10"/>
        <v>6405</v>
      </c>
      <c r="M129" s="684">
        <f t="shared" ref="M129:M171" si="14">M128</f>
        <v>6405</v>
      </c>
      <c r="N129" s="684"/>
    </row>
    <row r="130" spans="1:14" s="4" customFormat="1" x14ac:dyDescent="0.2">
      <c r="A130" s="578">
        <v>9</v>
      </c>
      <c r="B130" s="578"/>
      <c r="C130" s="935"/>
      <c r="D130" s="578">
        <v>1190</v>
      </c>
      <c r="E130" s="581">
        <v>9</v>
      </c>
      <c r="F130" s="603">
        <f t="shared" si="11"/>
        <v>74422</v>
      </c>
      <c r="G130" s="684">
        <f t="shared" si="9"/>
        <v>6392</v>
      </c>
      <c r="H130" s="684">
        <f t="shared" si="13"/>
        <v>6392</v>
      </c>
      <c r="I130" s="684"/>
      <c r="J130" s="685">
        <v>9</v>
      </c>
      <c r="K130" s="684">
        <f t="shared" si="12"/>
        <v>74570</v>
      </c>
      <c r="L130" s="684">
        <f t="shared" si="10"/>
        <v>6405</v>
      </c>
      <c r="M130" s="684">
        <f t="shared" si="14"/>
        <v>6405</v>
      </c>
      <c r="N130" s="684"/>
    </row>
    <row r="131" spans="1:14" s="4" customFormat="1" x14ac:dyDescent="0.2">
      <c r="A131" s="578">
        <v>10</v>
      </c>
      <c r="B131" s="578"/>
      <c r="C131" s="935"/>
      <c r="D131" s="578">
        <v>1295</v>
      </c>
      <c r="E131" s="581">
        <v>10</v>
      </c>
      <c r="F131" s="603">
        <f t="shared" si="11"/>
        <v>80814</v>
      </c>
      <c r="G131" s="684">
        <f t="shared" si="9"/>
        <v>6392</v>
      </c>
      <c r="H131" s="684">
        <f t="shared" si="13"/>
        <v>6392</v>
      </c>
      <c r="I131" s="684"/>
      <c r="J131" s="685">
        <v>10</v>
      </c>
      <c r="K131" s="684">
        <f t="shared" si="12"/>
        <v>80975</v>
      </c>
      <c r="L131" s="684">
        <f t="shared" si="10"/>
        <v>6405</v>
      </c>
      <c r="M131" s="684">
        <f t="shared" si="14"/>
        <v>6405</v>
      </c>
      <c r="N131" s="684"/>
    </row>
    <row r="132" spans="1:14" s="4" customFormat="1" x14ac:dyDescent="0.2">
      <c r="A132" s="578">
        <v>11</v>
      </c>
      <c r="B132" s="578"/>
      <c r="C132" s="935"/>
      <c r="D132" s="578">
        <v>1400</v>
      </c>
      <c r="E132" s="581">
        <v>11</v>
      </c>
      <c r="F132" s="603">
        <f t="shared" si="11"/>
        <v>87206</v>
      </c>
      <c r="G132" s="684">
        <f t="shared" si="9"/>
        <v>6392</v>
      </c>
      <c r="H132" s="684">
        <f t="shared" si="13"/>
        <v>6392</v>
      </c>
      <c r="I132" s="684"/>
      <c r="J132" s="685">
        <v>11</v>
      </c>
      <c r="K132" s="684">
        <f t="shared" si="12"/>
        <v>87380</v>
      </c>
      <c r="L132" s="684">
        <f t="shared" si="10"/>
        <v>6405</v>
      </c>
      <c r="M132" s="684">
        <f t="shared" si="14"/>
        <v>6405</v>
      </c>
      <c r="N132" s="684"/>
    </row>
    <row r="133" spans="1:14" s="4" customFormat="1" x14ac:dyDescent="0.2">
      <c r="A133" s="578">
        <v>12</v>
      </c>
      <c r="B133" s="578"/>
      <c r="C133" s="935"/>
      <c r="D133" s="578">
        <v>1505</v>
      </c>
      <c r="E133" s="581">
        <v>12</v>
      </c>
      <c r="F133" s="603">
        <f t="shared" si="11"/>
        <v>93598</v>
      </c>
      <c r="G133" s="684">
        <f t="shared" si="9"/>
        <v>6392</v>
      </c>
      <c r="H133" s="684">
        <f t="shared" si="13"/>
        <v>6392</v>
      </c>
      <c r="I133" s="684"/>
      <c r="J133" s="685">
        <v>12</v>
      </c>
      <c r="K133" s="684">
        <f t="shared" si="12"/>
        <v>93785</v>
      </c>
      <c r="L133" s="684">
        <f t="shared" si="10"/>
        <v>6405</v>
      </c>
      <c r="M133" s="684">
        <f t="shared" si="14"/>
        <v>6405</v>
      </c>
      <c r="N133" s="684"/>
    </row>
    <row r="134" spans="1:14" s="4" customFormat="1" x14ac:dyDescent="0.2">
      <c r="A134" s="578">
        <v>13</v>
      </c>
      <c r="B134" s="578"/>
      <c r="C134" s="935"/>
      <c r="D134" s="578">
        <v>1610</v>
      </c>
      <c r="E134" s="581">
        <v>13</v>
      </c>
      <c r="F134" s="603">
        <f t="shared" si="11"/>
        <v>99990</v>
      </c>
      <c r="G134" s="684">
        <f t="shared" si="9"/>
        <v>6392</v>
      </c>
      <c r="H134" s="684">
        <f t="shared" si="13"/>
        <v>6392</v>
      </c>
      <c r="I134" s="684"/>
      <c r="J134" s="685">
        <v>13</v>
      </c>
      <c r="K134" s="684">
        <f t="shared" si="12"/>
        <v>100190</v>
      </c>
      <c r="L134" s="684">
        <f t="shared" si="10"/>
        <v>6405</v>
      </c>
      <c r="M134" s="684">
        <f t="shared" si="14"/>
        <v>6405</v>
      </c>
      <c r="N134" s="684"/>
    </row>
    <row r="135" spans="1:14" s="4" customFormat="1" x14ac:dyDescent="0.2">
      <c r="A135" s="578">
        <v>14</v>
      </c>
      <c r="B135" s="578"/>
      <c r="C135" s="935"/>
      <c r="D135" s="578">
        <v>1755</v>
      </c>
      <c r="E135" s="581">
        <v>14</v>
      </c>
      <c r="F135" s="603">
        <f>+F134+H135+I135</f>
        <v>108817</v>
      </c>
      <c r="G135" s="684">
        <f t="shared" si="9"/>
        <v>8827</v>
      </c>
      <c r="H135" s="684">
        <f t="shared" si="13"/>
        <v>6392</v>
      </c>
      <c r="I135" s="602">
        <v>2435</v>
      </c>
      <c r="J135" s="685">
        <v>14</v>
      </c>
      <c r="K135" s="684">
        <f>+K134+M135+N135</f>
        <v>109035</v>
      </c>
      <c r="L135" s="684">
        <f t="shared" si="10"/>
        <v>8845</v>
      </c>
      <c r="M135" s="684">
        <f t="shared" si="14"/>
        <v>6405</v>
      </c>
      <c r="N135" s="998">
        <v>2440</v>
      </c>
    </row>
    <row r="136" spans="1:14" s="4" customFormat="1" x14ac:dyDescent="0.2">
      <c r="A136" s="578">
        <v>15</v>
      </c>
      <c r="B136" s="578"/>
      <c r="C136" s="935"/>
      <c r="D136" s="578">
        <v>1860</v>
      </c>
      <c r="E136" s="581">
        <v>15</v>
      </c>
      <c r="F136" s="603">
        <f t="shared" ref="F136:F171" si="15">+F135+H136</f>
        <v>115209</v>
      </c>
      <c r="G136" s="684">
        <f t="shared" si="9"/>
        <v>6392</v>
      </c>
      <c r="H136" s="684">
        <f t="shared" si="13"/>
        <v>6392</v>
      </c>
      <c r="I136" s="684"/>
      <c r="J136" s="685">
        <v>15</v>
      </c>
      <c r="K136" s="684">
        <f t="shared" ref="K136:K171" si="16">+K135+M136</f>
        <v>115440</v>
      </c>
      <c r="L136" s="684">
        <f t="shared" si="10"/>
        <v>6405</v>
      </c>
      <c r="M136" s="684">
        <f t="shared" si="14"/>
        <v>6405</v>
      </c>
      <c r="N136" s="684"/>
    </row>
    <row r="137" spans="1:14" s="4" customFormat="1" x14ac:dyDescent="0.2">
      <c r="A137" s="578">
        <v>16</v>
      </c>
      <c r="B137" s="578"/>
      <c r="C137" s="935"/>
      <c r="D137" s="578">
        <v>1965</v>
      </c>
      <c r="E137" s="581">
        <v>16</v>
      </c>
      <c r="F137" s="603">
        <f t="shared" si="15"/>
        <v>121601</v>
      </c>
      <c r="G137" s="684">
        <f t="shared" si="9"/>
        <v>6392</v>
      </c>
      <c r="H137" s="684">
        <f t="shared" si="13"/>
        <v>6392</v>
      </c>
      <c r="I137" s="684"/>
      <c r="J137" s="685">
        <v>16</v>
      </c>
      <c r="K137" s="684">
        <f t="shared" si="16"/>
        <v>121845</v>
      </c>
      <c r="L137" s="684">
        <f t="shared" si="10"/>
        <v>6405</v>
      </c>
      <c r="M137" s="684">
        <f t="shared" si="14"/>
        <v>6405</v>
      </c>
      <c r="N137" s="684"/>
    </row>
    <row r="138" spans="1:14" s="4" customFormat="1" x14ac:dyDescent="0.2">
      <c r="A138" s="578">
        <v>17</v>
      </c>
      <c r="B138" s="578"/>
      <c r="C138" s="935"/>
      <c r="D138" s="578">
        <v>2070</v>
      </c>
      <c r="E138" s="581">
        <v>17</v>
      </c>
      <c r="F138" s="603">
        <f t="shared" si="15"/>
        <v>127993</v>
      </c>
      <c r="G138" s="684">
        <f t="shared" si="9"/>
        <v>6392</v>
      </c>
      <c r="H138" s="684">
        <f t="shared" si="13"/>
        <v>6392</v>
      </c>
      <c r="I138" s="684"/>
      <c r="J138" s="685">
        <v>17</v>
      </c>
      <c r="K138" s="684">
        <f t="shared" si="16"/>
        <v>128250</v>
      </c>
      <c r="L138" s="684">
        <f t="shared" si="10"/>
        <v>6405</v>
      </c>
      <c r="M138" s="684">
        <f t="shared" si="14"/>
        <v>6405</v>
      </c>
      <c r="N138" s="684"/>
    </row>
    <row r="139" spans="1:14" s="4" customFormat="1" x14ac:dyDescent="0.2">
      <c r="A139" s="578">
        <v>18</v>
      </c>
      <c r="B139" s="578"/>
      <c r="C139" s="935"/>
      <c r="D139" s="578">
        <v>2175</v>
      </c>
      <c r="E139" s="581">
        <v>18</v>
      </c>
      <c r="F139" s="603">
        <f t="shared" si="15"/>
        <v>134385</v>
      </c>
      <c r="G139" s="684">
        <f t="shared" si="9"/>
        <v>6392</v>
      </c>
      <c r="H139" s="684">
        <f t="shared" si="13"/>
        <v>6392</v>
      </c>
      <c r="I139" s="684"/>
      <c r="J139" s="685">
        <v>18</v>
      </c>
      <c r="K139" s="684">
        <f t="shared" si="16"/>
        <v>134655</v>
      </c>
      <c r="L139" s="684">
        <f t="shared" si="10"/>
        <v>6405</v>
      </c>
      <c r="M139" s="684">
        <f t="shared" si="14"/>
        <v>6405</v>
      </c>
      <c r="N139" s="684"/>
    </row>
    <row r="140" spans="1:14" s="4" customFormat="1" x14ac:dyDescent="0.2">
      <c r="A140" s="578">
        <v>19</v>
      </c>
      <c r="B140" s="578"/>
      <c r="C140" s="935"/>
      <c r="D140" s="578">
        <v>2280</v>
      </c>
      <c r="E140" s="581">
        <v>19</v>
      </c>
      <c r="F140" s="603">
        <f t="shared" si="15"/>
        <v>140777</v>
      </c>
      <c r="G140" s="684">
        <f t="shared" si="9"/>
        <v>6392</v>
      </c>
      <c r="H140" s="684">
        <f t="shared" si="13"/>
        <v>6392</v>
      </c>
      <c r="I140" s="684"/>
      <c r="J140" s="685">
        <v>19</v>
      </c>
      <c r="K140" s="684">
        <f t="shared" si="16"/>
        <v>141060</v>
      </c>
      <c r="L140" s="684">
        <f t="shared" si="10"/>
        <v>6405</v>
      </c>
      <c r="M140" s="684">
        <f t="shared" si="14"/>
        <v>6405</v>
      </c>
      <c r="N140" s="684"/>
    </row>
    <row r="141" spans="1:14" s="4" customFormat="1" x14ac:dyDescent="0.2">
      <c r="A141" s="578">
        <v>20</v>
      </c>
      <c r="B141" s="578"/>
      <c r="C141" s="935"/>
      <c r="D141" s="578">
        <v>2385</v>
      </c>
      <c r="E141" s="581">
        <v>20</v>
      </c>
      <c r="F141" s="603">
        <f t="shared" si="15"/>
        <v>147169</v>
      </c>
      <c r="G141" s="684">
        <f t="shared" si="9"/>
        <v>6392</v>
      </c>
      <c r="H141" s="684">
        <f t="shared" si="13"/>
        <v>6392</v>
      </c>
      <c r="I141" s="684"/>
      <c r="J141" s="685">
        <v>20</v>
      </c>
      <c r="K141" s="684">
        <f t="shared" si="16"/>
        <v>147465</v>
      </c>
      <c r="L141" s="684">
        <f t="shared" si="10"/>
        <v>6405</v>
      </c>
      <c r="M141" s="684">
        <f t="shared" si="14"/>
        <v>6405</v>
      </c>
      <c r="N141" s="684"/>
    </row>
    <row r="142" spans="1:14" s="4" customFormat="1" x14ac:dyDescent="0.2">
      <c r="A142" s="578">
        <v>21</v>
      </c>
      <c r="B142" s="578"/>
      <c r="C142" s="935"/>
      <c r="D142" s="578">
        <v>2490</v>
      </c>
      <c r="E142" s="581">
        <v>21</v>
      </c>
      <c r="F142" s="603">
        <f t="shared" si="15"/>
        <v>153561</v>
      </c>
      <c r="G142" s="684">
        <f t="shared" si="9"/>
        <v>6392</v>
      </c>
      <c r="H142" s="684">
        <f t="shared" si="13"/>
        <v>6392</v>
      </c>
      <c r="I142" s="684"/>
      <c r="J142" s="685">
        <v>21</v>
      </c>
      <c r="K142" s="684">
        <f t="shared" si="16"/>
        <v>153870</v>
      </c>
      <c r="L142" s="684">
        <f t="shared" si="10"/>
        <v>6405</v>
      </c>
      <c r="M142" s="684">
        <f t="shared" si="14"/>
        <v>6405</v>
      </c>
      <c r="N142" s="684"/>
    </row>
    <row r="143" spans="1:14" s="4" customFormat="1" x14ac:dyDescent="0.2">
      <c r="A143" s="578">
        <v>22</v>
      </c>
      <c r="B143" s="578"/>
      <c r="C143" s="935"/>
      <c r="D143" s="578">
        <v>2595</v>
      </c>
      <c r="E143" s="581">
        <v>22</v>
      </c>
      <c r="F143" s="603">
        <f t="shared" si="15"/>
        <v>159953</v>
      </c>
      <c r="G143" s="684">
        <f t="shared" si="9"/>
        <v>6392</v>
      </c>
      <c r="H143" s="684">
        <f t="shared" si="13"/>
        <v>6392</v>
      </c>
      <c r="I143" s="684"/>
      <c r="J143" s="685">
        <v>22</v>
      </c>
      <c r="K143" s="684">
        <f t="shared" si="16"/>
        <v>160275</v>
      </c>
      <c r="L143" s="684">
        <f t="shared" si="10"/>
        <v>6405</v>
      </c>
      <c r="M143" s="684">
        <f t="shared" si="14"/>
        <v>6405</v>
      </c>
      <c r="N143" s="684"/>
    </row>
    <row r="144" spans="1:14" s="4" customFormat="1" x14ac:dyDescent="0.2">
      <c r="A144" s="578">
        <v>23</v>
      </c>
      <c r="B144" s="578"/>
      <c r="C144" s="935"/>
      <c r="D144" s="578">
        <v>2700</v>
      </c>
      <c r="E144" s="581">
        <v>23</v>
      </c>
      <c r="F144" s="603">
        <f t="shared" si="15"/>
        <v>166345</v>
      </c>
      <c r="G144" s="684">
        <f t="shared" si="9"/>
        <v>6392</v>
      </c>
      <c r="H144" s="684">
        <f t="shared" si="13"/>
        <v>6392</v>
      </c>
      <c r="I144" s="684"/>
      <c r="J144" s="685">
        <v>23</v>
      </c>
      <c r="K144" s="684">
        <f t="shared" si="16"/>
        <v>166680</v>
      </c>
      <c r="L144" s="684">
        <f t="shared" si="10"/>
        <v>6405</v>
      </c>
      <c r="M144" s="684">
        <f t="shared" si="14"/>
        <v>6405</v>
      </c>
      <c r="N144" s="684"/>
    </row>
    <row r="145" spans="1:14" s="4" customFormat="1" x14ac:dyDescent="0.2">
      <c r="A145" s="578">
        <v>24</v>
      </c>
      <c r="B145" s="578"/>
      <c r="C145" s="935"/>
      <c r="D145" s="578">
        <v>2805</v>
      </c>
      <c r="E145" s="581">
        <v>24</v>
      </c>
      <c r="F145" s="603">
        <f t="shared" si="15"/>
        <v>172737</v>
      </c>
      <c r="G145" s="684">
        <f t="shared" si="9"/>
        <v>6392</v>
      </c>
      <c r="H145" s="684">
        <f t="shared" si="13"/>
        <v>6392</v>
      </c>
      <c r="I145" s="684"/>
      <c r="J145" s="685">
        <v>24</v>
      </c>
      <c r="K145" s="684">
        <f t="shared" si="16"/>
        <v>173085</v>
      </c>
      <c r="L145" s="684">
        <f t="shared" si="10"/>
        <v>6405</v>
      </c>
      <c r="M145" s="684">
        <f t="shared" si="14"/>
        <v>6405</v>
      </c>
      <c r="N145" s="684"/>
    </row>
    <row r="146" spans="1:14" s="4" customFormat="1" x14ac:dyDescent="0.2">
      <c r="A146" s="578">
        <v>25</v>
      </c>
      <c r="B146" s="578"/>
      <c r="C146" s="935"/>
      <c r="D146" s="578">
        <v>2910</v>
      </c>
      <c r="E146" s="581">
        <v>25</v>
      </c>
      <c r="F146" s="603">
        <f t="shared" si="15"/>
        <v>179129</v>
      </c>
      <c r="G146" s="684">
        <f t="shared" si="9"/>
        <v>6392</v>
      </c>
      <c r="H146" s="684">
        <f t="shared" si="13"/>
        <v>6392</v>
      </c>
      <c r="I146" s="684"/>
      <c r="J146" s="685">
        <v>25</v>
      </c>
      <c r="K146" s="684">
        <f t="shared" si="16"/>
        <v>179490</v>
      </c>
      <c r="L146" s="684">
        <f t="shared" si="10"/>
        <v>6405</v>
      </c>
      <c r="M146" s="684">
        <f t="shared" si="14"/>
        <v>6405</v>
      </c>
      <c r="N146" s="684"/>
    </row>
    <row r="147" spans="1:14" s="4" customFormat="1" x14ac:dyDescent="0.2">
      <c r="A147" s="578">
        <v>26</v>
      </c>
      <c r="B147" s="578"/>
      <c r="C147" s="935"/>
      <c r="D147" s="578">
        <v>3015</v>
      </c>
      <c r="E147" s="581">
        <v>26</v>
      </c>
      <c r="F147" s="603">
        <f t="shared" si="15"/>
        <v>185521</v>
      </c>
      <c r="G147" s="684">
        <f t="shared" si="9"/>
        <v>6392</v>
      </c>
      <c r="H147" s="684">
        <f t="shared" si="13"/>
        <v>6392</v>
      </c>
      <c r="I147" s="684"/>
      <c r="J147" s="685">
        <v>26</v>
      </c>
      <c r="K147" s="684">
        <f t="shared" si="16"/>
        <v>185895</v>
      </c>
      <c r="L147" s="684">
        <f t="shared" si="10"/>
        <v>6405</v>
      </c>
      <c r="M147" s="684">
        <f t="shared" si="14"/>
        <v>6405</v>
      </c>
      <c r="N147" s="684"/>
    </row>
    <row r="148" spans="1:14" s="4" customFormat="1" x14ac:dyDescent="0.2">
      <c r="A148" s="578">
        <v>27</v>
      </c>
      <c r="B148" s="578"/>
      <c r="C148" s="935"/>
      <c r="D148" s="578">
        <v>3120</v>
      </c>
      <c r="E148" s="581">
        <v>27</v>
      </c>
      <c r="F148" s="603">
        <f t="shared" si="15"/>
        <v>191913</v>
      </c>
      <c r="G148" s="684">
        <f t="shared" si="9"/>
        <v>6392</v>
      </c>
      <c r="H148" s="684">
        <f t="shared" si="13"/>
        <v>6392</v>
      </c>
      <c r="I148" s="684"/>
      <c r="J148" s="685">
        <v>27</v>
      </c>
      <c r="K148" s="684">
        <f t="shared" si="16"/>
        <v>192300</v>
      </c>
      <c r="L148" s="684">
        <f t="shared" si="10"/>
        <v>6405</v>
      </c>
      <c r="M148" s="684">
        <f t="shared" si="14"/>
        <v>6405</v>
      </c>
      <c r="N148" s="684"/>
    </row>
    <row r="149" spans="1:14" s="4" customFormat="1" x14ac:dyDescent="0.2">
      <c r="A149" s="578">
        <v>28</v>
      </c>
      <c r="B149" s="578"/>
      <c r="C149" s="935"/>
      <c r="D149" s="578">
        <v>3225</v>
      </c>
      <c r="E149" s="581">
        <v>28</v>
      </c>
      <c r="F149" s="603">
        <f t="shared" si="15"/>
        <v>198305</v>
      </c>
      <c r="G149" s="684">
        <f t="shared" si="9"/>
        <v>6392</v>
      </c>
      <c r="H149" s="684">
        <f t="shared" si="13"/>
        <v>6392</v>
      </c>
      <c r="I149" s="684"/>
      <c r="J149" s="685">
        <v>28</v>
      </c>
      <c r="K149" s="684">
        <f t="shared" si="16"/>
        <v>198705</v>
      </c>
      <c r="L149" s="684">
        <f t="shared" si="10"/>
        <v>6405</v>
      </c>
      <c r="M149" s="684">
        <f t="shared" si="14"/>
        <v>6405</v>
      </c>
      <c r="N149" s="684"/>
    </row>
    <row r="150" spans="1:14" s="4" customFormat="1" x14ac:dyDescent="0.2">
      <c r="A150" s="578">
        <v>29</v>
      </c>
      <c r="B150" s="578"/>
      <c r="C150" s="935"/>
      <c r="D150" s="578">
        <v>3330</v>
      </c>
      <c r="E150" s="581">
        <v>29</v>
      </c>
      <c r="F150" s="603">
        <f t="shared" si="15"/>
        <v>204697</v>
      </c>
      <c r="G150" s="684">
        <f t="shared" si="9"/>
        <v>6392</v>
      </c>
      <c r="H150" s="684">
        <f t="shared" si="13"/>
        <v>6392</v>
      </c>
      <c r="I150" s="684"/>
      <c r="J150" s="685">
        <v>29</v>
      </c>
      <c r="K150" s="684">
        <f t="shared" si="16"/>
        <v>205110</v>
      </c>
      <c r="L150" s="684">
        <f t="shared" si="10"/>
        <v>6405</v>
      </c>
      <c r="M150" s="684">
        <f t="shared" si="14"/>
        <v>6405</v>
      </c>
      <c r="N150" s="684"/>
    </row>
    <row r="151" spans="1:14" s="4" customFormat="1" x14ac:dyDescent="0.2">
      <c r="A151" s="578">
        <v>30</v>
      </c>
      <c r="B151" s="578"/>
      <c r="C151" s="935"/>
      <c r="D151" s="578">
        <v>3435</v>
      </c>
      <c r="E151" s="581">
        <v>30</v>
      </c>
      <c r="F151" s="603">
        <f t="shared" si="15"/>
        <v>211089</v>
      </c>
      <c r="G151" s="684">
        <f t="shared" si="9"/>
        <v>6392</v>
      </c>
      <c r="H151" s="684">
        <f t="shared" si="13"/>
        <v>6392</v>
      </c>
      <c r="I151" s="684"/>
      <c r="J151" s="685">
        <v>30</v>
      </c>
      <c r="K151" s="684">
        <f t="shared" si="16"/>
        <v>211515</v>
      </c>
      <c r="L151" s="684">
        <f t="shared" si="10"/>
        <v>6405</v>
      </c>
      <c r="M151" s="684">
        <f t="shared" si="14"/>
        <v>6405</v>
      </c>
      <c r="N151" s="684"/>
    </row>
    <row r="152" spans="1:14" s="4" customFormat="1" x14ac:dyDescent="0.2">
      <c r="A152" s="578">
        <v>31</v>
      </c>
      <c r="B152" s="578"/>
      <c r="C152" s="935"/>
      <c r="D152" s="578">
        <v>3540</v>
      </c>
      <c r="E152" s="581">
        <v>31</v>
      </c>
      <c r="F152" s="603">
        <f t="shared" si="15"/>
        <v>217481</v>
      </c>
      <c r="G152" s="684">
        <f t="shared" si="9"/>
        <v>6392</v>
      </c>
      <c r="H152" s="684">
        <f t="shared" si="13"/>
        <v>6392</v>
      </c>
      <c r="I152" s="684"/>
      <c r="J152" s="685">
        <v>31</v>
      </c>
      <c r="K152" s="684">
        <f t="shared" si="16"/>
        <v>217920</v>
      </c>
      <c r="L152" s="684">
        <f t="shared" si="10"/>
        <v>6405</v>
      </c>
      <c r="M152" s="684">
        <f t="shared" si="14"/>
        <v>6405</v>
      </c>
      <c r="N152" s="684"/>
    </row>
    <row r="153" spans="1:14" s="4" customFormat="1" x14ac:dyDescent="0.2">
      <c r="A153" s="578">
        <v>32</v>
      </c>
      <c r="B153" s="578"/>
      <c r="C153" s="935"/>
      <c r="D153" s="578">
        <v>3645</v>
      </c>
      <c r="E153" s="581">
        <v>32</v>
      </c>
      <c r="F153" s="603">
        <f t="shared" si="15"/>
        <v>223873</v>
      </c>
      <c r="G153" s="684">
        <f t="shared" si="9"/>
        <v>6392</v>
      </c>
      <c r="H153" s="684">
        <f t="shared" si="13"/>
        <v>6392</v>
      </c>
      <c r="I153" s="684"/>
      <c r="J153" s="685">
        <v>32</v>
      </c>
      <c r="K153" s="684">
        <f t="shared" si="16"/>
        <v>224325</v>
      </c>
      <c r="L153" s="684">
        <f t="shared" si="10"/>
        <v>6405</v>
      </c>
      <c r="M153" s="684">
        <f t="shared" si="14"/>
        <v>6405</v>
      </c>
      <c r="N153" s="684"/>
    </row>
    <row r="154" spans="1:14" s="4" customFormat="1" x14ac:dyDescent="0.2">
      <c r="A154" s="578">
        <v>33</v>
      </c>
      <c r="B154" s="578"/>
      <c r="C154" s="935"/>
      <c r="D154" s="578">
        <v>3750</v>
      </c>
      <c r="E154" s="581">
        <v>33</v>
      </c>
      <c r="F154" s="603">
        <f t="shared" si="15"/>
        <v>230265</v>
      </c>
      <c r="G154" s="684">
        <f t="shared" si="9"/>
        <v>6392</v>
      </c>
      <c r="H154" s="684">
        <f t="shared" si="13"/>
        <v>6392</v>
      </c>
      <c r="I154" s="684"/>
      <c r="J154" s="685">
        <v>33</v>
      </c>
      <c r="K154" s="684">
        <f t="shared" si="16"/>
        <v>230730</v>
      </c>
      <c r="L154" s="684">
        <f t="shared" si="10"/>
        <v>6405</v>
      </c>
      <c r="M154" s="684">
        <f t="shared" si="14"/>
        <v>6405</v>
      </c>
      <c r="N154" s="684"/>
    </row>
    <row r="155" spans="1:14" s="4" customFormat="1" x14ac:dyDescent="0.2">
      <c r="A155" s="578">
        <v>34</v>
      </c>
      <c r="B155" s="578"/>
      <c r="C155" s="935"/>
      <c r="D155" s="578">
        <v>3855</v>
      </c>
      <c r="E155" s="581">
        <v>34</v>
      </c>
      <c r="F155" s="603">
        <f t="shared" si="15"/>
        <v>236657</v>
      </c>
      <c r="G155" s="684">
        <f t="shared" si="9"/>
        <v>6392</v>
      </c>
      <c r="H155" s="684">
        <f t="shared" si="13"/>
        <v>6392</v>
      </c>
      <c r="I155" s="684"/>
      <c r="J155" s="685">
        <v>34</v>
      </c>
      <c r="K155" s="684">
        <f t="shared" si="16"/>
        <v>237135</v>
      </c>
      <c r="L155" s="684">
        <f t="shared" si="10"/>
        <v>6405</v>
      </c>
      <c r="M155" s="684">
        <f t="shared" si="14"/>
        <v>6405</v>
      </c>
      <c r="N155" s="684"/>
    </row>
    <row r="156" spans="1:14" s="4" customFormat="1" x14ac:dyDescent="0.2">
      <c r="A156" s="578">
        <v>35</v>
      </c>
      <c r="B156" s="578"/>
      <c r="C156" s="935"/>
      <c r="D156" s="578">
        <f t="shared" ref="D156:D171" si="17">+D155+105</f>
        <v>3960</v>
      </c>
      <c r="E156" s="581">
        <v>35</v>
      </c>
      <c r="F156" s="603">
        <f t="shared" si="15"/>
        <v>243049</v>
      </c>
      <c r="G156" s="684">
        <f t="shared" si="9"/>
        <v>6392</v>
      </c>
      <c r="H156" s="684">
        <f t="shared" si="13"/>
        <v>6392</v>
      </c>
      <c r="I156" s="684"/>
      <c r="J156" s="685">
        <v>35</v>
      </c>
      <c r="K156" s="684">
        <f t="shared" si="16"/>
        <v>243540</v>
      </c>
      <c r="L156" s="684">
        <f t="shared" si="10"/>
        <v>6405</v>
      </c>
      <c r="M156" s="684">
        <f t="shared" si="14"/>
        <v>6405</v>
      </c>
      <c r="N156" s="684"/>
    </row>
    <row r="157" spans="1:14" s="4" customFormat="1" x14ac:dyDescent="0.2">
      <c r="A157" s="578">
        <v>36</v>
      </c>
      <c r="B157" s="578"/>
      <c r="C157" s="935"/>
      <c r="D157" s="578">
        <f t="shared" si="17"/>
        <v>4065</v>
      </c>
      <c r="E157" s="581">
        <v>36</v>
      </c>
      <c r="F157" s="603">
        <f t="shared" si="15"/>
        <v>249441</v>
      </c>
      <c r="G157" s="684">
        <f t="shared" si="9"/>
        <v>6392</v>
      </c>
      <c r="H157" s="684">
        <f t="shared" si="13"/>
        <v>6392</v>
      </c>
      <c r="I157" s="684"/>
      <c r="J157" s="685">
        <v>36</v>
      </c>
      <c r="K157" s="684">
        <f t="shared" si="16"/>
        <v>249945</v>
      </c>
      <c r="L157" s="684">
        <f t="shared" si="10"/>
        <v>6405</v>
      </c>
      <c r="M157" s="684">
        <f t="shared" si="14"/>
        <v>6405</v>
      </c>
      <c r="N157" s="684"/>
    </row>
    <row r="158" spans="1:14" s="4" customFormat="1" x14ac:dyDescent="0.2">
      <c r="A158" s="578">
        <v>37</v>
      </c>
      <c r="B158" s="578"/>
      <c r="C158" s="935"/>
      <c r="D158" s="578">
        <f t="shared" si="17"/>
        <v>4170</v>
      </c>
      <c r="E158" s="581">
        <v>37</v>
      </c>
      <c r="F158" s="603">
        <f t="shared" si="15"/>
        <v>255833</v>
      </c>
      <c r="G158" s="684">
        <f t="shared" si="9"/>
        <v>6392</v>
      </c>
      <c r="H158" s="684">
        <f t="shared" si="13"/>
        <v>6392</v>
      </c>
      <c r="I158" s="684"/>
      <c r="J158" s="685">
        <v>37</v>
      </c>
      <c r="K158" s="684">
        <f t="shared" si="16"/>
        <v>256350</v>
      </c>
      <c r="L158" s="684">
        <f t="shared" si="10"/>
        <v>6405</v>
      </c>
      <c r="M158" s="684">
        <f t="shared" si="14"/>
        <v>6405</v>
      </c>
      <c r="N158" s="684"/>
    </row>
    <row r="159" spans="1:14" s="4" customFormat="1" x14ac:dyDescent="0.2">
      <c r="A159" s="578">
        <v>38</v>
      </c>
      <c r="B159" s="578"/>
      <c r="C159" s="935"/>
      <c r="D159" s="578">
        <f t="shared" si="17"/>
        <v>4275</v>
      </c>
      <c r="E159" s="581">
        <v>38</v>
      </c>
      <c r="F159" s="603">
        <f t="shared" si="15"/>
        <v>262225</v>
      </c>
      <c r="G159" s="684">
        <f t="shared" si="9"/>
        <v>6392</v>
      </c>
      <c r="H159" s="684">
        <f t="shared" si="13"/>
        <v>6392</v>
      </c>
      <c r="I159" s="684"/>
      <c r="J159" s="685">
        <v>38</v>
      </c>
      <c r="K159" s="684">
        <f t="shared" si="16"/>
        <v>262755</v>
      </c>
      <c r="L159" s="684">
        <f t="shared" si="10"/>
        <v>6405</v>
      </c>
      <c r="M159" s="684">
        <f t="shared" si="14"/>
        <v>6405</v>
      </c>
      <c r="N159" s="684"/>
    </row>
    <row r="160" spans="1:14" s="4" customFormat="1" x14ac:dyDescent="0.2">
      <c r="A160" s="578">
        <v>39</v>
      </c>
      <c r="B160" s="578"/>
      <c r="C160" s="935"/>
      <c r="D160" s="578">
        <f t="shared" si="17"/>
        <v>4380</v>
      </c>
      <c r="E160" s="581">
        <v>39</v>
      </c>
      <c r="F160" s="603">
        <f t="shared" si="15"/>
        <v>268617</v>
      </c>
      <c r="G160" s="684">
        <f t="shared" si="9"/>
        <v>6392</v>
      </c>
      <c r="H160" s="684">
        <f t="shared" si="13"/>
        <v>6392</v>
      </c>
      <c r="I160" s="684"/>
      <c r="J160" s="685">
        <v>39</v>
      </c>
      <c r="K160" s="684">
        <f t="shared" si="16"/>
        <v>269160</v>
      </c>
      <c r="L160" s="684">
        <f t="shared" si="10"/>
        <v>6405</v>
      </c>
      <c r="M160" s="684">
        <f t="shared" si="14"/>
        <v>6405</v>
      </c>
      <c r="N160" s="684"/>
    </row>
    <row r="161" spans="1:14" s="4" customFormat="1" x14ac:dyDescent="0.2">
      <c r="A161" s="578">
        <v>40</v>
      </c>
      <c r="B161" s="578"/>
      <c r="C161" s="935"/>
      <c r="D161" s="578">
        <f t="shared" si="17"/>
        <v>4485</v>
      </c>
      <c r="E161" s="581">
        <v>40</v>
      </c>
      <c r="F161" s="603">
        <f t="shared" si="15"/>
        <v>275009</v>
      </c>
      <c r="G161" s="684">
        <f t="shared" si="9"/>
        <v>6392</v>
      </c>
      <c r="H161" s="684">
        <f t="shared" si="13"/>
        <v>6392</v>
      </c>
      <c r="I161" s="684"/>
      <c r="J161" s="685">
        <v>40</v>
      </c>
      <c r="K161" s="684">
        <f t="shared" si="16"/>
        <v>275565</v>
      </c>
      <c r="L161" s="684">
        <f t="shared" si="10"/>
        <v>6405</v>
      </c>
      <c r="M161" s="684">
        <f t="shared" si="14"/>
        <v>6405</v>
      </c>
      <c r="N161" s="684"/>
    </row>
    <row r="162" spans="1:14" s="4" customFormat="1" x14ac:dyDescent="0.2">
      <c r="A162" s="578">
        <v>41</v>
      </c>
      <c r="B162" s="578"/>
      <c r="C162" s="935"/>
      <c r="D162" s="578">
        <f t="shared" si="17"/>
        <v>4590</v>
      </c>
      <c r="E162" s="581">
        <v>41</v>
      </c>
      <c r="F162" s="603">
        <f t="shared" si="15"/>
        <v>281401</v>
      </c>
      <c r="G162" s="684">
        <f t="shared" si="9"/>
        <v>6392</v>
      </c>
      <c r="H162" s="684">
        <f t="shared" si="13"/>
        <v>6392</v>
      </c>
      <c r="I162" s="684"/>
      <c r="J162" s="685">
        <v>41</v>
      </c>
      <c r="K162" s="684">
        <f t="shared" si="16"/>
        <v>281970</v>
      </c>
      <c r="L162" s="684">
        <f t="shared" si="10"/>
        <v>6405</v>
      </c>
      <c r="M162" s="684">
        <f t="shared" si="14"/>
        <v>6405</v>
      </c>
      <c r="N162" s="684"/>
    </row>
    <row r="163" spans="1:14" s="4" customFormat="1" x14ac:dyDescent="0.2">
      <c r="A163" s="578">
        <v>42</v>
      </c>
      <c r="B163" s="578"/>
      <c r="C163" s="935"/>
      <c r="D163" s="578">
        <f t="shared" si="17"/>
        <v>4695</v>
      </c>
      <c r="E163" s="581">
        <v>42</v>
      </c>
      <c r="F163" s="603">
        <f t="shared" si="15"/>
        <v>287793</v>
      </c>
      <c r="G163" s="684">
        <f t="shared" si="9"/>
        <v>6392</v>
      </c>
      <c r="H163" s="684">
        <f t="shared" si="13"/>
        <v>6392</v>
      </c>
      <c r="I163" s="684"/>
      <c r="J163" s="685">
        <v>42</v>
      </c>
      <c r="K163" s="684">
        <f t="shared" si="16"/>
        <v>288375</v>
      </c>
      <c r="L163" s="684">
        <f t="shared" si="10"/>
        <v>6405</v>
      </c>
      <c r="M163" s="684">
        <f t="shared" si="14"/>
        <v>6405</v>
      </c>
      <c r="N163" s="684"/>
    </row>
    <row r="164" spans="1:14" s="4" customFormat="1" x14ac:dyDescent="0.2">
      <c r="A164" s="578">
        <v>43</v>
      </c>
      <c r="B164" s="578"/>
      <c r="C164" s="935"/>
      <c r="D164" s="578">
        <f t="shared" si="17"/>
        <v>4800</v>
      </c>
      <c r="E164" s="581">
        <v>43</v>
      </c>
      <c r="F164" s="603">
        <f t="shared" si="15"/>
        <v>294185</v>
      </c>
      <c r="G164" s="684">
        <f t="shared" si="9"/>
        <v>6392</v>
      </c>
      <c r="H164" s="684">
        <f t="shared" si="13"/>
        <v>6392</v>
      </c>
      <c r="I164" s="684"/>
      <c r="J164" s="685">
        <v>43</v>
      </c>
      <c r="K164" s="684">
        <f t="shared" si="16"/>
        <v>294780</v>
      </c>
      <c r="L164" s="684">
        <f t="shared" si="10"/>
        <v>6405</v>
      </c>
      <c r="M164" s="684">
        <f t="shared" si="14"/>
        <v>6405</v>
      </c>
      <c r="N164" s="684"/>
    </row>
    <row r="165" spans="1:14" s="4" customFormat="1" x14ac:dyDescent="0.2">
      <c r="A165" s="578">
        <v>44</v>
      </c>
      <c r="B165" s="578"/>
      <c r="C165" s="935"/>
      <c r="D165" s="578">
        <f t="shared" si="17"/>
        <v>4905</v>
      </c>
      <c r="E165" s="581">
        <v>44</v>
      </c>
      <c r="F165" s="603">
        <f t="shared" si="15"/>
        <v>300577</v>
      </c>
      <c r="G165" s="684">
        <f t="shared" si="9"/>
        <v>6392</v>
      </c>
      <c r="H165" s="684">
        <f t="shared" si="13"/>
        <v>6392</v>
      </c>
      <c r="I165" s="684"/>
      <c r="J165" s="685">
        <v>44</v>
      </c>
      <c r="K165" s="684">
        <f t="shared" si="16"/>
        <v>301185</v>
      </c>
      <c r="L165" s="684">
        <f t="shared" si="10"/>
        <v>6405</v>
      </c>
      <c r="M165" s="684">
        <f t="shared" si="14"/>
        <v>6405</v>
      </c>
      <c r="N165" s="684"/>
    </row>
    <row r="166" spans="1:14" s="4" customFormat="1" x14ac:dyDescent="0.2">
      <c r="A166" s="578">
        <v>45</v>
      </c>
      <c r="B166" s="578"/>
      <c r="C166" s="935"/>
      <c r="D166" s="578">
        <f t="shared" si="17"/>
        <v>5010</v>
      </c>
      <c r="E166" s="581">
        <v>45</v>
      </c>
      <c r="F166" s="603">
        <f t="shared" si="15"/>
        <v>306969</v>
      </c>
      <c r="G166" s="684">
        <f t="shared" si="9"/>
        <v>6392</v>
      </c>
      <c r="H166" s="684">
        <f t="shared" si="13"/>
        <v>6392</v>
      </c>
      <c r="I166" s="684"/>
      <c r="J166" s="685">
        <v>45</v>
      </c>
      <c r="K166" s="684">
        <f t="shared" si="16"/>
        <v>307590</v>
      </c>
      <c r="L166" s="684">
        <f t="shared" si="10"/>
        <v>6405</v>
      </c>
      <c r="M166" s="684">
        <f t="shared" si="14"/>
        <v>6405</v>
      </c>
      <c r="N166" s="684"/>
    </row>
    <row r="167" spans="1:14" s="4" customFormat="1" x14ac:dyDescent="0.2">
      <c r="A167" s="578">
        <v>46</v>
      </c>
      <c r="B167" s="578"/>
      <c r="C167" s="935"/>
      <c r="D167" s="578">
        <f t="shared" si="17"/>
        <v>5115</v>
      </c>
      <c r="E167" s="581">
        <v>46</v>
      </c>
      <c r="F167" s="603">
        <f t="shared" si="15"/>
        <v>313361</v>
      </c>
      <c r="G167" s="684">
        <f t="shared" si="9"/>
        <v>6392</v>
      </c>
      <c r="H167" s="684">
        <f t="shared" si="13"/>
        <v>6392</v>
      </c>
      <c r="I167" s="684"/>
      <c r="J167" s="685">
        <v>46</v>
      </c>
      <c r="K167" s="684">
        <f t="shared" si="16"/>
        <v>313995</v>
      </c>
      <c r="L167" s="684">
        <f t="shared" si="10"/>
        <v>6405</v>
      </c>
      <c r="M167" s="684">
        <f t="shared" si="14"/>
        <v>6405</v>
      </c>
      <c r="N167" s="684"/>
    </row>
    <row r="168" spans="1:14" s="4" customFormat="1" x14ac:dyDescent="0.2">
      <c r="A168" s="578">
        <v>47</v>
      </c>
      <c r="B168" s="578"/>
      <c r="C168" s="935"/>
      <c r="D168" s="578">
        <f t="shared" si="17"/>
        <v>5220</v>
      </c>
      <c r="E168" s="581">
        <v>47</v>
      </c>
      <c r="F168" s="603">
        <f t="shared" si="15"/>
        <v>319753</v>
      </c>
      <c r="G168" s="684">
        <f t="shared" si="9"/>
        <v>6392</v>
      </c>
      <c r="H168" s="684">
        <f t="shared" si="13"/>
        <v>6392</v>
      </c>
      <c r="I168" s="684"/>
      <c r="J168" s="685">
        <v>47</v>
      </c>
      <c r="K168" s="684">
        <f t="shared" si="16"/>
        <v>320400</v>
      </c>
      <c r="L168" s="684">
        <f t="shared" si="10"/>
        <v>6405</v>
      </c>
      <c r="M168" s="684">
        <f t="shared" si="14"/>
        <v>6405</v>
      </c>
      <c r="N168" s="684"/>
    </row>
    <row r="169" spans="1:14" s="4" customFormat="1" x14ac:dyDescent="0.2">
      <c r="A169" s="578">
        <v>48</v>
      </c>
      <c r="B169" s="578"/>
      <c r="C169" s="935"/>
      <c r="D169" s="578">
        <f t="shared" si="17"/>
        <v>5325</v>
      </c>
      <c r="E169" s="581">
        <v>48</v>
      </c>
      <c r="F169" s="603">
        <f t="shared" si="15"/>
        <v>326145</v>
      </c>
      <c r="G169" s="684">
        <f t="shared" si="9"/>
        <v>6392</v>
      </c>
      <c r="H169" s="684">
        <f t="shared" si="13"/>
        <v>6392</v>
      </c>
      <c r="I169" s="684"/>
      <c r="J169" s="685">
        <v>48</v>
      </c>
      <c r="K169" s="684">
        <f t="shared" si="16"/>
        <v>326805</v>
      </c>
      <c r="L169" s="684">
        <f t="shared" si="10"/>
        <v>6405</v>
      </c>
      <c r="M169" s="684">
        <f t="shared" si="14"/>
        <v>6405</v>
      </c>
      <c r="N169" s="684"/>
    </row>
    <row r="170" spans="1:14" s="4" customFormat="1" x14ac:dyDescent="0.2">
      <c r="A170" s="578">
        <v>49</v>
      </c>
      <c r="B170" s="578"/>
      <c r="C170" s="935"/>
      <c r="D170" s="578">
        <f t="shared" si="17"/>
        <v>5430</v>
      </c>
      <c r="E170" s="581">
        <v>49</v>
      </c>
      <c r="F170" s="603">
        <f t="shared" si="15"/>
        <v>332537</v>
      </c>
      <c r="G170" s="684">
        <f t="shared" si="9"/>
        <v>6392</v>
      </c>
      <c r="H170" s="684">
        <f t="shared" si="13"/>
        <v>6392</v>
      </c>
      <c r="I170" s="684"/>
      <c r="J170" s="685">
        <v>49</v>
      </c>
      <c r="K170" s="684">
        <f t="shared" si="16"/>
        <v>333210</v>
      </c>
      <c r="L170" s="684">
        <f t="shared" si="10"/>
        <v>6405</v>
      </c>
      <c r="M170" s="684">
        <f t="shared" si="14"/>
        <v>6405</v>
      </c>
      <c r="N170" s="684"/>
    </row>
    <row r="171" spans="1:14" s="4" customFormat="1" x14ac:dyDescent="0.2">
      <c r="A171" s="578">
        <v>50</v>
      </c>
      <c r="B171" s="578"/>
      <c r="C171" s="935"/>
      <c r="D171" s="578">
        <f t="shared" si="17"/>
        <v>5535</v>
      </c>
      <c r="E171" s="581">
        <v>50</v>
      </c>
      <c r="F171" s="603">
        <f t="shared" si="15"/>
        <v>338929</v>
      </c>
      <c r="G171" s="684">
        <f t="shared" si="9"/>
        <v>6392</v>
      </c>
      <c r="H171" s="684">
        <f t="shared" si="13"/>
        <v>6392</v>
      </c>
      <c r="I171" s="684"/>
      <c r="J171" s="685">
        <v>50</v>
      </c>
      <c r="K171" s="684">
        <f t="shared" si="16"/>
        <v>339615</v>
      </c>
      <c r="L171" s="684">
        <f t="shared" si="10"/>
        <v>6405</v>
      </c>
      <c r="M171" s="684">
        <f t="shared" si="14"/>
        <v>6405</v>
      </c>
      <c r="N171" s="684"/>
    </row>
    <row r="173" spans="1:14" x14ac:dyDescent="0.2">
      <c r="C173" s="934"/>
    </row>
    <row r="174" spans="1:14" s="578" customFormat="1" x14ac:dyDescent="0.2">
      <c r="A174" s="943" t="s">
        <v>90</v>
      </c>
      <c r="B174" s="582"/>
      <c r="C174" s="934"/>
      <c r="D174" s="580" t="s">
        <v>82</v>
      </c>
      <c r="E174" s="583"/>
      <c r="F174" s="583"/>
      <c r="G174" s="583"/>
      <c r="H174" s="583"/>
    </row>
    <row r="175" spans="1:14" s="578" customFormat="1" x14ac:dyDescent="0.2">
      <c r="A175" s="582"/>
      <c r="B175" s="582"/>
      <c r="C175" s="934"/>
      <c r="D175" s="584">
        <v>999</v>
      </c>
      <c r="E175" s="582"/>
      <c r="F175" s="582"/>
      <c r="G175" s="582"/>
      <c r="H175" s="582"/>
    </row>
    <row r="176" spans="1:14" s="578" customFormat="1" x14ac:dyDescent="0.2">
      <c r="A176" s="582"/>
      <c r="B176" s="582"/>
      <c r="C176" s="934"/>
      <c r="D176" s="585">
        <v>1011</v>
      </c>
      <c r="E176" s="582"/>
      <c r="F176" s="582"/>
      <c r="G176" s="582"/>
      <c r="H176" s="582"/>
    </row>
    <row r="177" spans="1:8" s="578" customFormat="1" x14ac:dyDescent="0.2">
      <c r="A177" s="582"/>
      <c r="B177" s="582"/>
      <c r="C177" s="934"/>
      <c r="D177" s="585">
        <v>1012</v>
      </c>
      <c r="E177" s="582"/>
      <c r="F177" s="582"/>
      <c r="G177" s="582"/>
      <c r="H177" s="582"/>
    </row>
    <row r="178" spans="1:8" s="578" customFormat="1" x14ac:dyDescent="0.2">
      <c r="A178" s="582"/>
      <c r="B178" s="582"/>
      <c r="C178" s="934"/>
      <c r="D178" s="585">
        <v>1013</v>
      </c>
      <c r="E178" s="586"/>
      <c r="F178" s="586"/>
      <c r="G178" s="586"/>
      <c r="H178" s="586"/>
    </row>
    <row r="179" spans="1:8" s="578" customFormat="1" x14ac:dyDescent="0.2">
      <c r="A179" s="582"/>
      <c r="B179" s="582"/>
      <c r="C179" s="934"/>
      <c r="D179" s="585">
        <v>1014</v>
      </c>
      <c r="E179" s="586"/>
      <c r="F179" s="586"/>
      <c r="G179" s="586"/>
      <c r="H179" s="586"/>
    </row>
    <row r="180" spans="1:8" s="578" customFormat="1" x14ac:dyDescent="0.2">
      <c r="A180" s="582"/>
      <c r="B180" s="582"/>
      <c r="C180" s="934"/>
      <c r="D180" s="585">
        <v>1015</v>
      </c>
      <c r="E180" s="586"/>
      <c r="F180" s="586"/>
      <c r="G180" s="586"/>
      <c r="H180" s="586"/>
    </row>
    <row r="181" spans="1:8" s="578" customFormat="1" x14ac:dyDescent="0.2">
      <c r="A181" s="582"/>
      <c r="B181" s="582"/>
      <c r="C181" s="934"/>
      <c r="D181" s="585">
        <v>1016</v>
      </c>
      <c r="E181" s="586"/>
      <c r="F181" s="586"/>
      <c r="G181" s="586"/>
      <c r="H181" s="586"/>
    </row>
    <row r="182" spans="1:8" s="578" customFormat="1" x14ac:dyDescent="0.2">
      <c r="A182" s="582"/>
      <c r="B182" s="582"/>
      <c r="C182" s="934"/>
      <c r="D182" s="585">
        <v>1017</v>
      </c>
      <c r="E182" s="586"/>
      <c r="F182" s="586"/>
      <c r="G182" s="586"/>
      <c r="H182" s="586"/>
    </row>
    <row r="183" spans="1:8" s="578" customFormat="1" x14ac:dyDescent="0.2">
      <c r="A183" s="582"/>
      <c r="B183" s="582"/>
      <c r="C183" s="934"/>
      <c r="D183" s="585">
        <v>1018</v>
      </c>
      <c r="E183" s="586"/>
      <c r="F183" s="586"/>
      <c r="G183" s="586"/>
      <c r="H183" s="586"/>
    </row>
    <row r="184" spans="1:8" s="578" customFormat="1" x14ac:dyDescent="0.2">
      <c r="A184" s="587"/>
      <c r="B184" s="587"/>
      <c r="C184" s="934"/>
      <c r="D184" s="585">
        <v>1021</v>
      </c>
      <c r="E184" s="586"/>
      <c r="F184" s="586"/>
      <c r="G184" s="586"/>
      <c r="H184" s="586"/>
    </row>
    <row r="185" spans="1:8" s="578" customFormat="1" x14ac:dyDescent="0.2">
      <c r="A185" s="587"/>
      <c r="B185" s="587"/>
      <c r="C185" s="934"/>
      <c r="D185" s="585">
        <v>1022</v>
      </c>
      <c r="E185" s="586"/>
      <c r="F185" s="586"/>
      <c r="G185" s="586"/>
      <c r="H185" s="586"/>
    </row>
    <row r="186" spans="1:8" s="578" customFormat="1" x14ac:dyDescent="0.2">
      <c r="A186" s="587"/>
      <c r="B186" s="587"/>
      <c r="C186" s="934"/>
      <c r="D186" s="585">
        <v>1023</v>
      </c>
      <c r="E186" s="586"/>
      <c r="F186" s="586"/>
      <c r="G186" s="586"/>
      <c r="H186" s="586"/>
    </row>
    <row r="187" spans="1:8" s="578" customFormat="1" x14ac:dyDescent="0.2">
      <c r="A187" s="582"/>
      <c r="B187" s="582"/>
      <c r="C187" s="934"/>
      <c r="D187" s="585">
        <v>1024</v>
      </c>
      <c r="E187" s="586"/>
      <c r="F187" s="586"/>
      <c r="G187" s="586"/>
      <c r="H187" s="586"/>
    </row>
    <row r="188" spans="1:8" s="578" customFormat="1" x14ac:dyDescent="0.2">
      <c r="A188" s="582"/>
      <c r="B188" s="582"/>
      <c r="C188" s="934"/>
      <c r="D188" s="585">
        <v>1025</v>
      </c>
      <c r="E188" s="586"/>
      <c r="F188" s="586"/>
      <c r="G188" s="586"/>
      <c r="H188" s="586"/>
    </row>
    <row r="189" spans="1:8" s="578" customFormat="1" x14ac:dyDescent="0.2">
      <c r="A189" s="582"/>
      <c r="B189" s="582"/>
      <c r="C189" s="934"/>
      <c r="D189" s="585">
        <v>1031</v>
      </c>
      <c r="E189" s="586"/>
      <c r="F189" s="586"/>
      <c r="G189" s="586"/>
      <c r="H189" s="586"/>
    </row>
    <row r="190" spans="1:8" s="578" customFormat="1" x14ac:dyDescent="0.2">
      <c r="A190" s="582"/>
      <c r="B190" s="582"/>
      <c r="C190" s="934"/>
      <c r="D190" s="585">
        <v>1032</v>
      </c>
      <c r="E190" s="586"/>
      <c r="F190" s="586"/>
      <c r="G190" s="586"/>
      <c r="H190" s="586"/>
    </row>
    <row r="191" spans="1:8" s="578" customFormat="1" x14ac:dyDescent="0.2">
      <c r="C191" s="934"/>
      <c r="D191" s="585">
        <v>1033</v>
      </c>
    </row>
    <row r="192" spans="1:8" s="578" customFormat="1" x14ac:dyDescent="0.2">
      <c r="C192" s="934"/>
      <c r="D192" s="585">
        <v>1034</v>
      </c>
    </row>
    <row r="193" spans="1:8" s="578" customFormat="1" x14ac:dyDescent="0.2">
      <c r="A193" s="588"/>
      <c r="B193" s="588"/>
      <c r="C193" s="934"/>
      <c r="D193" s="585">
        <v>1051</v>
      </c>
    </row>
    <row r="194" spans="1:8" s="578" customFormat="1" x14ac:dyDescent="0.2">
      <c r="A194" s="586"/>
      <c r="B194" s="586"/>
      <c r="C194" s="934"/>
      <c r="D194" s="585">
        <v>1052</v>
      </c>
      <c r="E194" s="589"/>
      <c r="F194" s="589"/>
      <c r="G194" s="589"/>
      <c r="H194" s="583"/>
    </row>
    <row r="195" spans="1:8" s="578" customFormat="1" x14ac:dyDescent="0.2">
      <c r="A195" s="586"/>
      <c r="B195" s="586"/>
      <c r="C195" s="934"/>
      <c r="D195" s="585">
        <v>1053</v>
      </c>
      <c r="E195" s="586"/>
      <c r="F195" s="586"/>
      <c r="G195" s="586"/>
      <c r="H195" s="586"/>
    </row>
    <row r="196" spans="1:8" s="578" customFormat="1" x14ac:dyDescent="0.2">
      <c r="A196" s="582"/>
      <c r="B196" s="582"/>
      <c r="C196" s="934"/>
      <c r="D196" s="585">
        <v>1054</v>
      </c>
      <c r="E196" s="582"/>
      <c r="F196" s="582"/>
      <c r="G196" s="582"/>
      <c r="H196" s="582"/>
    </row>
    <row r="197" spans="1:8" s="578" customFormat="1" x14ac:dyDescent="0.2">
      <c r="A197" s="582"/>
      <c r="B197" s="582"/>
      <c r="C197" s="934"/>
      <c r="D197" s="585">
        <v>1055</v>
      </c>
      <c r="E197" s="582"/>
      <c r="F197" s="582"/>
      <c r="G197" s="582"/>
      <c r="H197" s="582"/>
    </row>
    <row r="198" spans="1:8" s="578" customFormat="1" x14ac:dyDescent="0.2">
      <c r="A198" s="586"/>
      <c r="B198" s="586"/>
      <c r="C198" s="934"/>
      <c r="D198" s="585">
        <v>1056</v>
      </c>
      <c r="E198" s="586"/>
      <c r="F198" s="586"/>
      <c r="G198" s="586"/>
      <c r="H198" s="586"/>
    </row>
    <row r="199" spans="1:8" s="578" customFormat="1" x14ac:dyDescent="0.2">
      <c r="A199" s="586"/>
      <c r="B199" s="586"/>
      <c r="C199" s="934"/>
      <c r="D199" s="585">
        <v>1057</v>
      </c>
      <c r="E199" s="586"/>
      <c r="F199" s="586"/>
      <c r="G199" s="586"/>
      <c r="H199" s="586"/>
    </row>
    <row r="200" spans="1:8" s="578" customFormat="1" x14ac:dyDescent="0.2">
      <c r="A200" s="586"/>
      <c r="B200" s="586"/>
      <c r="C200" s="934"/>
      <c r="D200" s="585">
        <v>1058</v>
      </c>
      <c r="E200" s="586"/>
      <c r="F200" s="586"/>
      <c r="G200" s="586"/>
      <c r="H200" s="586"/>
    </row>
    <row r="201" spans="1:8" s="578" customFormat="1" x14ac:dyDescent="0.2">
      <c r="A201" s="586"/>
      <c r="B201" s="586"/>
      <c r="C201" s="934"/>
      <c r="D201" s="585">
        <v>1059</v>
      </c>
      <c r="E201" s="586"/>
      <c r="F201" s="586"/>
      <c r="G201" s="586"/>
      <c r="H201" s="586"/>
    </row>
    <row r="202" spans="1:8" s="578" customFormat="1" x14ac:dyDescent="0.2">
      <c r="A202" s="586"/>
      <c r="B202" s="586"/>
      <c r="C202" s="934"/>
      <c r="D202" s="585">
        <v>1061</v>
      </c>
      <c r="E202" s="586"/>
      <c r="F202" s="586"/>
      <c r="G202" s="586"/>
      <c r="H202" s="586"/>
    </row>
    <row r="203" spans="1:8" s="578" customFormat="1" x14ac:dyDescent="0.2">
      <c r="A203" s="586"/>
      <c r="B203" s="586"/>
      <c r="C203" s="934"/>
      <c r="D203" s="585">
        <v>1062</v>
      </c>
      <c r="E203" s="586"/>
      <c r="F203" s="586"/>
      <c r="G203" s="586"/>
      <c r="H203" s="586"/>
    </row>
    <row r="204" spans="1:8" s="578" customFormat="1" x14ac:dyDescent="0.2">
      <c r="A204" s="587"/>
      <c r="B204" s="587"/>
      <c r="C204" s="934"/>
      <c r="D204" s="585">
        <v>1063</v>
      </c>
      <c r="E204" s="586"/>
      <c r="F204" s="586"/>
      <c r="G204" s="586"/>
      <c r="H204" s="586"/>
    </row>
    <row r="205" spans="1:8" s="578" customFormat="1" x14ac:dyDescent="0.2">
      <c r="A205" s="587"/>
      <c r="B205" s="587"/>
      <c r="C205" s="934"/>
      <c r="D205" s="585">
        <v>1064</v>
      </c>
      <c r="E205" s="586"/>
      <c r="F205" s="586"/>
      <c r="G205" s="586"/>
      <c r="H205" s="586"/>
    </row>
    <row r="206" spans="1:8" s="578" customFormat="1" x14ac:dyDescent="0.2">
      <c r="A206" s="587"/>
      <c r="B206" s="587"/>
      <c r="C206" s="934"/>
      <c r="D206" s="585">
        <v>1065</v>
      </c>
      <c r="E206" s="586"/>
      <c r="F206" s="586"/>
      <c r="G206" s="586"/>
      <c r="H206" s="586"/>
    </row>
    <row r="207" spans="1:8" s="578" customFormat="1" x14ac:dyDescent="0.2">
      <c r="A207" s="586"/>
      <c r="B207" s="586"/>
      <c r="C207" s="934"/>
      <c r="D207" s="585">
        <v>1067</v>
      </c>
      <c r="E207" s="586"/>
      <c r="F207" s="586"/>
      <c r="G207" s="586"/>
      <c r="H207" s="586"/>
    </row>
    <row r="208" spans="1:8" s="578" customFormat="1" x14ac:dyDescent="0.2">
      <c r="A208" s="586"/>
      <c r="B208" s="586"/>
      <c r="C208" s="934"/>
      <c r="D208" s="585">
        <v>1068</v>
      </c>
      <c r="E208" s="586"/>
      <c r="F208" s="586"/>
      <c r="G208" s="586"/>
      <c r="H208" s="586"/>
    </row>
    <row r="209" spans="1:8" s="578" customFormat="1" x14ac:dyDescent="0.2">
      <c r="A209" s="586"/>
      <c r="B209" s="586"/>
      <c r="C209" s="934"/>
      <c r="D209" s="585">
        <v>1069</v>
      </c>
      <c r="E209" s="586"/>
      <c r="F209" s="586"/>
      <c r="G209" s="586"/>
      <c r="H209" s="586"/>
    </row>
    <row r="210" spans="1:8" s="578" customFormat="1" x14ac:dyDescent="0.2">
      <c r="A210" s="586"/>
      <c r="B210" s="586"/>
      <c r="C210" s="934"/>
      <c r="D210" s="585">
        <v>1072</v>
      </c>
      <c r="E210" s="586"/>
      <c r="F210" s="586"/>
      <c r="G210" s="586"/>
      <c r="H210" s="586"/>
    </row>
    <row r="211" spans="1:8" s="578" customFormat="1" x14ac:dyDescent="0.2">
      <c r="C211" s="934"/>
      <c r="D211" s="585">
        <v>1073</v>
      </c>
    </row>
    <row r="212" spans="1:8" s="578" customFormat="1" x14ac:dyDescent="0.2">
      <c r="C212" s="934"/>
      <c r="D212" s="585">
        <v>1074</v>
      </c>
    </row>
    <row r="213" spans="1:8" s="578" customFormat="1" x14ac:dyDescent="0.2">
      <c r="C213" s="934"/>
      <c r="D213" s="585">
        <v>1075</v>
      </c>
    </row>
    <row r="214" spans="1:8" s="578" customFormat="1" x14ac:dyDescent="0.2">
      <c r="C214" s="934"/>
      <c r="D214" s="585">
        <v>1076</v>
      </c>
    </row>
    <row r="215" spans="1:8" s="578" customFormat="1" x14ac:dyDescent="0.2">
      <c r="C215" s="934"/>
      <c r="D215" s="585">
        <v>1078</v>
      </c>
    </row>
    <row r="216" spans="1:8" s="578" customFormat="1" x14ac:dyDescent="0.2">
      <c r="A216" s="587"/>
      <c r="B216" s="587"/>
      <c r="C216" s="934"/>
      <c r="D216" s="585">
        <v>1079</v>
      </c>
    </row>
    <row r="217" spans="1:8" s="578" customFormat="1" x14ac:dyDescent="0.2">
      <c r="A217" s="587"/>
      <c r="B217" s="587"/>
      <c r="C217" s="934"/>
      <c r="D217" s="585">
        <v>1087</v>
      </c>
    </row>
    <row r="218" spans="1:8" s="578" customFormat="1" x14ac:dyDescent="0.2">
      <c r="A218" s="587"/>
      <c r="B218" s="587"/>
      <c r="C218" s="934"/>
      <c r="D218" s="585">
        <v>1091</v>
      </c>
    </row>
    <row r="219" spans="1:8" s="578" customFormat="1" x14ac:dyDescent="0.2">
      <c r="A219" s="587"/>
      <c r="B219" s="587"/>
      <c r="C219" s="934"/>
      <c r="D219" s="585">
        <v>1092</v>
      </c>
    </row>
    <row r="220" spans="1:8" s="578" customFormat="1" x14ac:dyDescent="0.2">
      <c r="A220" s="587"/>
      <c r="B220" s="587"/>
      <c r="C220" s="934"/>
      <c r="D220" s="585">
        <v>1093</v>
      </c>
    </row>
    <row r="221" spans="1:8" s="578" customFormat="1" x14ac:dyDescent="0.2">
      <c r="A221" s="587"/>
      <c r="B221" s="587"/>
      <c r="C221" s="934"/>
      <c r="D221" s="585">
        <v>1094</v>
      </c>
    </row>
    <row r="222" spans="1:8" s="578" customFormat="1" x14ac:dyDescent="0.2">
      <c r="A222" s="587"/>
      <c r="B222" s="587"/>
      <c r="C222" s="934"/>
      <c r="D222" s="585">
        <v>1095</v>
      </c>
    </row>
    <row r="223" spans="1:8" s="578" customFormat="1" x14ac:dyDescent="0.2">
      <c r="A223" s="587"/>
      <c r="B223" s="587"/>
      <c r="C223" s="934"/>
      <c r="D223" s="585">
        <v>1097</v>
      </c>
    </row>
    <row r="224" spans="1:8" s="578" customFormat="1" x14ac:dyDescent="0.2">
      <c r="A224" s="587"/>
      <c r="B224" s="587"/>
      <c r="C224" s="934"/>
      <c r="D224" s="585">
        <v>1102</v>
      </c>
    </row>
    <row r="225" spans="1:11" s="578" customFormat="1" x14ac:dyDescent="0.2">
      <c r="A225" s="587"/>
      <c r="B225" s="587"/>
      <c r="C225" s="934"/>
      <c r="D225" s="585">
        <v>1103</v>
      </c>
    </row>
    <row r="226" spans="1:11" s="578" customFormat="1" x14ac:dyDescent="0.2">
      <c r="A226" s="587"/>
      <c r="B226" s="587"/>
      <c r="C226" s="934"/>
      <c r="D226" s="585">
        <v>1104</v>
      </c>
    </row>
    <row r="227" spans="1:11" s="578" customFormat="1" x14ac:dyDescent="0.2">
      <c r="A227" s="587"/>
      <c r="B227" s="587"/>
      <c r="C227" s="934"/>
      <c r="D227" s="585">
        <v>1106</v>
      </c>
    </row>
    <row r="228" spans="1:11" s="578" customFormat="1" x14ac:dyDescent="0.2">
      <c r="A228" s="587"/>
      <c r="B228" s="587"/>
      <c r="C228" s="934"/>
      <c r="D228" s="585">
        <v>1107</v>
      </c>
    </row>
    <row r="229" spans="1:11" s="578" customFormat="1" x14ac:dyDescent="0.2">
      <c r="C229" s="934"/>
      <c r="D229" s="585">
        <v>1112</v>
      </c>
    </row>
    <row r="230" spans="1:11" s="578" customFormat="1" x14ac:dyDescent="0.2">
      <c r="C230" s="934"/>
      <c r="D230" s="585">
        <v>1175</v>
      </c>
    </row>
    <row r="231" spans="1:11" s="578" customFormat="1" x14ac:dyDescent="0.2">
      <c r="A231" s="590"/>
      <c r="B231" s="590"/>
      <c r="C231" s="934"/>
      <c r="D231" s="585">
        <v>1212</v>
      </c>
      <c r="E231" s="588"/>
      <c r="F231" s="588"/>
      <c r="G231" s="588"/>
    </row>
    <row r="232" spans="1:11" s="578" customFormat="1" x14ac:dyDescent="0.2">
      <c r="A232" s="586"/>
      <c r="B232" s="586"/>
      <c r="C232" s="934"/>
      <c r="D232" s="585">
        <v>1221</v>
      </c>
      <c r="E232" s="586"/>
      <c r="F232" s="586"/>
      <c r="G232" s="586"/>
      <c r="H232" s="586"/>
      <c r="I232" s="586"/>
      <c r="J232" s="586"/>
      <c r="K232" s="586"/>
    </row>
    <row r="233" spans="1:11" s="578" customFormat="1" x14ac:dyDescent="0.2">
      <c r="A233" s="582"/>
      <c r="B233" s="582"/>
      <c r="C233" s="934"/>
      <c r="D233" s="585">
        <v>1222</v>
      </c>
      <c r="E233" s="586"/>
      <c r="F233" s="586"/>
      <c r="G233" s="586"/>
      <c r="H233" s="586"/>
      <c r="I233" s="586"/>
      <c r="J233" s="586"/>
      <c r="K233" s="586"/>
    </row>
    <row r="234" spans="1:11" s="578" customFormat="1" x14ac:dyDescent="0.2">
      <c r="A234" s="582"/>
      <c r="B234" s="582"/>
      <c r="C234" s="934"/>
      <c r="D234" s="585">
        <v>1274</v>
      </c>
      <c r="E234" s="586"/>
      <c r="F234" s="586"/>
      <c r="G234" s="586"/>
      <c r="H234" s="586"/>
      <c r="I234" s="586"/>
      <c r="J234" s="586"/>
      <c r="K234" s="586"/>
    </row>
    <row r="235" spans="1:11" s="578" customFormat="1" x14ac:dyDescent="0.2">
      <c r="A235" s="586"/>
      <c r="B235" s="586"/>
      <c r="C235" s="934"/>
      <c r="D235" s="585">
        <v>1275</v>
      </c>
      <c r="E235" s="586"/>
      <c r="F235" s="586"/>
      <c r="G235" s="586"/>
      <c r="H235" s="586"/>
      <c r="I235" s="586"/>
      <c r="J235" s="586"/>
      <c r="K235" s="586"/>
    </row>
    <row r="236" spans="1:11" s="578" customFormat="1" x14ac:dyDescent="0.2">
      <c r="A236" s="586"/>
      <c r="B236" s="586"/>
      <c r="C236" s="934"/>
      <c r="D236" s="585">
        <v>1314</v>
      </c>
      <c r="E236" s="586"/>
      <c r="F236" s="586"/>
      <c r="G236" s="586"/>
      <c r="H236" s="586"/>
      <c r="I236" s="586"/>
      <c r="J236" s="586"/>
      <c r="K236" s="586"/>
    </row>
    <row r="237" spans="1:11" s="578" customFormat="1" x14ac:dyDescent="0.2">
      <c r="A237" s="586"/>
      <c r="B237" s="586"/>
      <c r="C237" s="934"/>
      <c r="D237" s="585">
        <v>1324</v>
      </c>
      <c r="E237" s="586"/>
      <c r="F237" s="586"/>
      <c r="G237" s="586"/>
      <c r="H237" s="586"/>
      <c r="I237" s="586"/>
      <c r="J237" s="586"/>
      <c r="K237" s="586"/>
    </row>
    <row r="238" spans="1:11" s="578" customFormat="1" x14ac:dyDescent="0.2">
      <c r="A238" s="586"/>
      <c r="B238" s="586"/>
      <c r="C238" s="934"/>
      <c r="D238" s="585">
        <v>1331</v>
      </c>
      <c r="E238" s="586"/>
      <c r="F238" s="591"/>
      <c r="G238" s="586"/>
      <c r="H238" s="586"/>
      <c r="I238" s="591"/>
      <c r="J238" s="592"/>
      <c r="K238" s="592"/>
    </row>
    <row r="239" spans="1:11" s="578" customFormat="1" x14ac:dyDescent="0.2">
      <c r="A239" s="586"/>
      <c r="B239" s="586"/>
      <c r="C239" s="934"/>
      <c r="D239" s="585">
        <v>1333</v>
      </c>
      <c r="E239" s="586"/>
      <c r="F239" s="591"/>
      <c r="G239" s="586"/>
      <c r="H239" s="586"/>
      <c r="I239" s="591"/>
      <c r="J239" s="592"/>
      <c r="K239" s="592"/>
    </row>
    <row r="240" spans="1:11" s="578" customFormat="1" x14ac:dyDescent="0.2">
      <c r="A240" s="586"/>
      <c r="B240" s="586"/>
      <c r="C240" s="934"/>
      <c r="D240" s="585">
        <v>1334</v>
      </c>
    </row>
    <row r="241" spans="1:11" s="578" customFormat="1" x14ac:dyDescent="0.2">
      <c r="A241" s="586"/>
      <c r="B241" s="586"/>
      <c r="C241" s="934"/>
      <c r="D241" s="585">
        <v>1349</v>
      </c>
    </row>
    <row r="242" spans="1:11" s="578" customFormat="1" x14ac:dyDescent="0.2">
      <c r="A242" s="586"/>
      <c r="B242" s="586"/>
      <c r="C242" s="934"/>
      <c r="D242" s="585">
        <v>1353</v>
      </c>
    </row>
    <row r="243" spans="1:11" s="578" customFormat="1" x14ac:dyDescent="0.2">
      <c r="A243" s="586"/>
      <c r="B243" s="586"/>
      <c r="C243" s="934"/>
      <c r="D243" s="585">
        <v>1354</v>
      </c>
    </row>
    <row r="244" spans="1:11" s="578" customFormat="1" x14ac:dyDescent="0.2">
      <c r="A244" s="586"/>
      <c r="B244" s="586"/>
      <c r="C244" s="934"/>
      <c r="D244" s="585">
        <v>1357</v>
      </c>
      <c r="E244" s="586"/>
      <c r="F244" s="591"/>
      <c r="G244" s="586"/>
      <c r="H244" s="586"/>
      <c r="I244" s="591"/>
      <c r="J244" s="592"/>
      <c r="K244" s="592"/>
    </row>
    <row r="245" spans="1:11" s="578" customFormat="1" x14ac:dyDescent="0.2">
      <c r="A245" s="586"/>
      <c r="B245" s="586"/>
      <c r="C245" s="934"/>
      <c r="D245" s="585">
        <v>1438</v>
      </c>
      <c r="E245" s="586"/>
      <c r="F245" s="591"/>
      <c r="G245" s="586"/>
      <c r="H245" s="586"/>
      <c r="I245" s="591"/>
      <c r="J245" s="592"/>
      <c r="K245" s="592"/>
    </row>
    <row r="246" spans="1:11" s="578" customFormat="1" x14ac:dyDescent="0.2">
      <c r="A246" s="586"/>
      <c r="B246" s="586"/>
      <c r="C246" s="934"/>
      <c r="D246" s="585">
        <v>1443</v>
      </c>
      <c r="E246" s="586"/>
      <c r="F246" s="591"/>
      <c r="G246" s="586"/>
      <c r="H246" s="586"/>
      <c r="I246" s="591"/>
      <c r="J246" s="592"/>
      <c r="K246" s="592"/>
    </row>
    <row r="247" spans="1:11" s="578" customFormat="1" x14ac:dyDescent="0.2">
      <c r="A247" s="586"/>
      <c r="B247" s="586"/>
      <c r="C247" s="934"/>
      <c r="D247" s="585">
        <v>1446</v>
      </c>
      <c r="E247" s="586"/>
      <c r="F247" s="591"/>
      <c r="G247" s="586"/>
      <c r="H247" s="586"/>
      <c r="I247" s="591"/>
      <c r="J247" s="592"/>
      <c r="K247" s="592"/>
    </row>
    <row r="248" spans="1:11" s="578" customFormat="1" x14ac:dyDescent="0.2">
      <c r="A248" s="588"/>
      <c r="B248" s="588"/>
      <c r="C248" s="934"/>
      <c r="D248" s="585">
        <v>1475</v>
      </c>
      <c r="E248" s="588"/>
      <c r="F248" s="586"/>
      <c r="G248" s="586"/>
      <c r="H248" s="586"/>
    </row>
    <row r="249" spans="1:11" s="578" customFormat="1" x14ac:dyDescent="0.2">
      <c r="A249" s="586"/>
      <c r="B249" s="586"/>
      <c r="C249" s="934"/>
      <c r="D249" s="585">
        <v>1487</v>
      </c>
      <c r="E249" s="588"/>
      <c r="F249" s="592"/>
      <c r="G249" s="588"/>
      <c r="H249" s="588"/>
    </row>
    <row r="250" spans="1:11" s="578" customFormat="1" x14ac:dyDescent="0.2">
      <c r="C250" s="934"/>
      <c r="D250" s="585">
        <v>1488</v>
      </c>
    </row>
    <row r="251" spans="1:11" s="578" customFormat="1" x14ac:dyDescent="0.2">
      <c r="C251" s="934"/>
      <c r="D251" s="585">
        <v>1502</v>
      </c>
    </row>
    <row r="252" spans="1:11" s="578" customFormat="1" x14ac:dyDescent="0.2">
      <c r="C252" s="934"/>
      <c r="D252" s="585">
        <v>1503</v>
      </c>
    </row>
    <row r="253" spans="1:11" s="578" customFormat="1" x14ac:dyDescent="0.2">
      <c r="C253" s="935"/>
      <c r="D253" s="585">
        <v>1504</v>
      </c>
    </row>
    <row r="254" spans="1:11" s="578" customFormat="1" x14ac:dyDescent="0.2">
      <c r="A254" s="593"/>
      <c r="B254" s="593"/>
      <c r="C254" s="935"/>
      <c r="D254" s="585">
        <v>1505</v>
      </c>
      <c r="E254" s="4"/>
      <c r="F254" s="4"/>
      <c r="G254" s="4"/>
      <c r="H254" s="4"/>
      <c r="I254" s="4"/>
    </row>
    <row r="255" spans="1:11" s="578" customFormat="1" x14ac:dyDescent="0.2">
      <c r="A255" s="593"/>
      <c r="B255" s="593"/>
      <c r="C255" s="935"/>
      <c r="D255" s="585">
        <v>1508</v>
      </c>
      <c r="E255" s="4"/>
      <c r="F255" s="4"/>
      <c r="G255" s="4"/>
      <c r="H255" s="4"/>
      <c r="I255" s="4"/>
    </row>
    <row r="256" spans="1:11" s="578" customFormat="1" x14ac:dyDescent="0.2">
      <c r="A256" s="4"/>
      <c r="B256" s="4"/>
      <c r="C256" s="935"/>
      <c r="D256" s="585">
        <v>1521</v>
      </c>
      <c r="E256" s="593"/>
      <c r="F256" s="4"/>
      <c r="G256" s="4"/>
      <c r="H256" s="4"/>
      <c r="I256" s="4"/>
    </row>
    <row r="257" spans="1:11" s="578" customFormat="1" x14ac:dyDescent="0.2">
      <c r="A257" s="4"/>
      <c r="B257" s="4"/>
      <c r="C257" s="935"/>
      <c r="D257" s="585">
        <v>1525</v>
      </c>
      <c r="E257" s="4"/>
      <c r="F257" s="4"/>
      <c r="G257" s="4"/>
      <c r="H257" s="4"/>
      <c r="I257" s="4"/>
    </row>
    <row r="258" spans="1:11" s="578" customFormat="1" x14ac:dyDescent="0.2">
      <c r="A258" s="593"/>
      <c r="B258" s="593"/>
      <c r="C258" s="934"/>
      <c r="D258" s="585">
        <v>1608</v>
      </c>
      <c r="E258" s="4"/>
      <c r="F258" s="4"/>
      <c r="G258" s="4"/>
      <c r="H258" s="4"/>
      <c r="I258" s="4"/>
    </row>
    <row r="259" spans="1:11" s="578" customFormat="1" x14ac:dyDescent="0.2">
      <c r="A259" s="4"/>
      <c r="B259" s="4"/>
      <c r="C259" s="934"/>
      <c r="D259" s="585">
        <v>1622</v>
      </c>
      <c r="E259" s="4"/>
      <c r="F259" s="594"/>
      <c r="G259" s="594"/>
      <c r="H259" s="594"/>
      <c r="I259" s="594"/>
      <c r="J259" s="594"/>
      <c r="K259" s="594"/>
    </row>
    <row r="260" spans="1:11" s="578" customFormat="1" x14ac:dyDescent="0.2">
      <c r="A260" s="4"/>
      <c r="B260" s="4"/>
      <c r="C260" s="934"/>
      <c r="D260" s="585">
        <v>1623</v>
      </c>
      <c r="E260" s="593"/>
      <c r="F260" s="593"/>
      <c r="G260" s="593"/>
      <c r="H260" s="593"/>
      <c r="I260" s="593"/>
      <c r="J260" s="593"/>
      <c r="K260" s="593"/>
    </row>
    <row r="261" spans="1:11" s="578" customFormat="1" x14ac:dyDescent="0.2">
      <c r="A261" s="4"/>
      <c r="B261" s="4"/>
      <c r="C261" s="934"/>
      <c r="D261" s="585">
        <v>1624</v>
      </c>
      <c r="E261" s="4"/>
      <c r="F261" s="595"/>
      <c r="G261" s="595"/>
      <c r="H261" s="595"/>
      <c r="I261" s="595"/>
      <c r="J261" s="595"/>
      <c r="K261" s="595"/>
    </row>
    <row r="262" spans="1:11" s="578" customFormat="1" x14ac:dyDescent="0.2">
      <c r="A262" s="4"/>
      <c r="B262" s="4"/>
      <c r="C262" s="934"/>
      <c r="D262" s="585">
        <v>1654</v>
      </c>
      <c r="E262" s="4"/>
      <c r="F262" s="595"/>
      <c r="G262" s="595"/>
      <c r="H262" s="595"/>
      <c r="I262" s="595"/>
      <c r="J262" s="595"/>
      <c r="K262" s="595"/>
    </row>
    <row r="263" spans="1:11" s="578" customFormat="1" x14ac:dyDescent="0.2">
      <c r="C263" s="934"/>
      <c r="D263" s="585">
        <v>1655</v>
      </c>
    </row>
    <row r="264" spans="1:11" s="578" customFormat="1" x14ac:dyDescent="0.2">
      <c r="C264" s="935"/>
      <c r="D264" s="585">
        <v>1719</v>
      </c>
    </row>
    <row r="265" spans="1:11" s="4" customFormat="1" x14ac:dyDescent="0.2">
      <c r="C265" s="935"/>
      <c r="D265" s="585">
        <v>1753</v>
      </c>
    </row>
    <row r="266" spans="1:11" s="4" customFormat="1" x14ac:dyDescent="0.2">
      <c r="C266" s="935"/>
      <c r="D266" s="585">
        <v>1754</v>
      </c>
    </row>
    <row r="267" spans="1:11" s="4" customFormat="1" x14ac:dyDescent="0.2">
      <c r="C267" s="935"/>
      <c r="D267" s="585">
        <v>1773</v>
      </c>
    </row>
    <row r="268" spans="1:11" s="4" customFormat="1" x14ac:dyDescent="0.2">
      <c r="C268" s="935"/>
      <c r="D268" s="585">
        <v>1774</v>
      </c>
    </row>
    <row r="269" spans="1:11" s="4" customFormat="1" x14ac:dyDescent="0.2">
      <c r="C269" s="935"/>
      <c r="D269" s="585">
        <v>1781</v>
      </c>
    </row>
    <row r="270" spans="1:11" s="4" customFormat="1" x14ac:dyDescent="0.2">
      <c r="C270" s="935"/>
      <c r="D270" s="585">
        <v>1782</v>
      </c>
    </row>
    <row r="271" spans="1:11" s="4" customFormat="1" x14ac:dyDescent="0.2">
      <c r="C271" s="935"/>
      <c r="D271" s="585">
        <v>1783</v>
      </c>
    </row>
    <row r="272" spans="1:11" s="4" customFormat="1" x14ac:dyDescent="0.2">
      <c r="C272" s="935"/>
      <c r="D272" s="585">
        <v>1784</v>
      </c>
    </row>
    <row r="273" spans="3:4" s="4" customFormat="1" x14ac:dyDescent="0.2">
      <c r="C273" s="935"/>
      <c r="D273" s="585">
        <v>1792</v>
      </c>
    </row>
    <row r="274" spans="3:4" s="4" customFormat="1" x14ac:dyDescent="0.2">
      <c r="C274" s="935"/>
      <c r="D274" s="585">
        <v>1796</v>
      </c>
    </row>
    <row r="275" spans="3:4" s="4" customFormat="1" x14ac:dyDescent="0.2">
      <c r="C275" s="935"/>
      <c r="D275" s="585">
        <v>1812</v>
      </c>
    </row>
    <row r="276" spans="3:4" s="4" customFormat="1" x14ac:dyDescent="0.2">
      <c r="C276" s="935"/>
      <c r="D276" s="585">
        <v>1813</v>
      </c>
    </row>
    <row r="277" spans="3:4" s="4" customFormat="1" x14ac:dyDescent="0.2">
      <c r="C277" s="935"/>
      <c r="D277" s="585">
        <v>1821</v>
      </c>
    </row>
    <row r="278" spans="3:4" s="4" customFormat="1" x14ac:dyDescent="0.2">
      <c r="C278" s="935"/>
      <c r="D278" s="585">
        <v>1823</v>
      </c>
    </row>
    <row r="279" spans="3:4" s="4" customFormat="1" x14ac:dyDescent="0.2">
      <c r="C279" s="935"/>
      <c r="D279" s="585">
        <v>1825</v>
      </c>
    </row>
    <row r="280" spans="3:4" s="4" customFormat="1" x14ac:dyDescent="0.2">
      <c r="C280" s="935"/>
      <c r="D280" s="585">
        <v>1831</v>
      </c>
    </row>
    <row r="281" spans="3:4" s="4" customFormat="1" x14ac:dyDescent="0.2">
      <c r="C281" s="935"/>
      <c r="D281" s="585">
        <v>1946</v>
      </c>
    </row>
    <row r="282" spans="3:4" s="4" customFormat="1" x14ac:dyDescent="0.2">
      <c r="C282" s="935"/>
      <c r="D282" s="585">
        <v>1951</v>
      </c>
    </row>
    <row r="283" spans="3:4" s="4" customFormat="1" x14ac:dyDescent="0.2">
      <c r="C283" s="935"/>
      <c r="D283" s="585">
        <v>1962</v>
      </c>
    </row>
    <row r="284" spans="3:4" s="4" customFormat="1" x14ac:dyDescent="0.2">
      <c r="C284" s="935"/>
      <c r="D284" s="585">
        <v>1966</v>
      </c>
    </row>
    <row r="285" spans="3:4" s="4" customFormat="1" x14ac:dyDescent="0.2">
      <c r="C285" s="935"/>
      <c r="D285" s="585">
        <v>1972</v>
      </c>
    </row>
    <row r="286" spans="3:4" s="4" customFormat="1" x14ac:dyDescent="0.2">
      <c r="C286" s="935"/>
      <c r="D286" s="585">
        <v>1974</v>
      </c>
    </row>
    <row r="287" spans="3:4" s="4" customFormat="1" x14ac:dyDescent="0.2">
      <c r="C287" s="935"/>
      <c r="D287" s="585">
        <v>1975</v>
      </c>
    </row>
    <row r="288" spans="3:4" s="4" customFormat="1" x14ac:dyDescent="0.2">
      <c r="C288" s="935"/>
      <c r="D288" s="585">
        <v>1976</v>
      </c>
    </row>
    <row r="289" spans="3:4" s="4" customFormat="1" x14ac:dyDescent="0.2">
      <c r="C289" s="935"/>
      <c r="D289" s="585">
        <v>2011</v>
      </c>
    </row>
    <row r="290" spans="3:4" s="4" customFormat="1" x14ac:dyDescent="0.2">
      <c r="C290" s="935"/>
      <c r="D290" s="585">
        <v>2025</v>
      </c>
    </row>
    <row r="291" spans="3:4" s="4" customFormat="1" x14ac:dyDescent="0.2">
      <c r="C291" s="935"/>
      <c r="D291" s="585">
        <v>2031</v>
      </c>
    </row>
    <row r="292" spans="3:4" s="4" customFormat="1" x14ac:dyDescent="0.2">
      <c r="C292" s="935"/>
      <c r="D292" s="585">
        <v>2032</v>
      </c>
    </row>
    <row r="293" spans="3:4" s="4" customFormat="1" x14ac:dyDescent="0.2">
      <c r="C293" s="935"/>
      <c r="D293" s="585">
        <v>2033</v>
      </c>
    </row>
    <row r="294" spans="3:4" s="4" customFormat="1" x14ac:dyDescent="0.2">
      <c r="C294" s="935"/>
      <c r="D294" s="585">
        <v>2034</v>
      </c>
    </row>
    <row r="295" spans="3:4" s="4" customFormat="1" x14ac:dyDescent="0.2">
      <c r="C295" s="935"/>
      <c r="D295" s="585">
        <v>2035</v>
      </c>
    </row>
    <row r="296" spans="3:4" s="4" customFormat="1" x14ac:dyDescent="0.2">
      <c r="C296" s="935"/>
      <c r="D296" s="585">
        <v>2037</v>
      </c>
    </row>
    <row r="297" spans="3:4" s="4" customFormat="1" x14ac:dyDescent="0.2">
      <c r="C297" s="935"/>
      <c r="D297" s="585">
        <v>2041</v>
      </c>
    </row>
    <row r="298" spans="3:4" s="4" customFormat="1" x14ac:dyDescent="0.2">
      <c r="C298" s="935"/>
      <c r="D298" s="585">
        <v>2042</v>
      </c>
    </row>
    <row r="299" spans="3:4" s="4" customFormat="1" x14ac:dyDescent="0.2">
      <c r="C299" s="935"/>
      <c r="D299" s="585">
        <v>2159</v>
      </c>
    </row>
    <row r="300" spans="3:4" s="4" customFormat="1" x14ac:dyDescent="0.2">
      <c r="C300" s="935"/>
      <c r="D300" s="585">
        <v>2262</v>
      </c>
    </row>
    <row r="301" spans="3:4" s="4" customFormat="1" x14ac:dyDescent="0.2">
      <c r="C301" s="935"/>
      <c r="D301" s="585">
        <v>2263</v>
      </c>
    </row>
    <row r="302" spans="3:4" s="4" customFormat="1" x14ac:dyDescent="0.2">
      <c r="C302" s="935"/>
      <c r="D302" s="585">
        <v>2287</v>
      </c>
    </row>
    <row r="303" spans="3:4" s="4" customFormat="1" x14ac:dyDescent="0.2">
      <c r="C303" s="935"/>
      <c r="D303" s="585">
        <v>2289</v>
      </c>
    </row>
    <row r="304" spans="3:4" s="4" customFormat="1" x14ac:dyDescent="0.2">
      <c r="C304" s="935"/>
      <c r="D304" s="585">
        <v>2312</v>
      </c>
    </row>
    <row r="305" spans="3:4" s="4" customFormat="1" x14ac:dyDescent="0.2">
      <c r="C305" s="935"/>
      <c r="D305" s="585">
        <v>2315</v>
      </c>
    </row>
    <row r="306" spans="3:4" s="4" customFormat="1" x14ac:dyDescent="0.2">
      <c r="C306" s="935"/>
      <c r="D306" s="585">
        <v>2316</v>
      </c>
    </row>
    <row r="307" spans="3:4" s="4" customFormat="1" x14ac:dyDescent="0.2">
      <c r="C307" s="935"/>
      <c r="D307" s="585">
        <v>2321</v>
      </c>
    </row>
    <row r="308" spans="3:4" s="4" customFormat="1" x14ac:dyDescent="0.2">
      <c r="C308" s="935"/>
      <c r="D308" s="585">
        <v>2333</v>
      </c>
    </row>
    <row r="309" spans="3:4" s="4" customFormat="1" x14ac:dyDescent="0.2">
      <c r="C309" s="935"/>
      <c r="D309" s="585">
        <v>2362</v>
      </c>
    </row>
    <row r="310" spans="3:4" s="4" customFormat="1" x14ac:dyDescent="0.2">
      <c r="C310" s="935"/>
      <c r="D310" s="585">
        <v>2498</v>
      </c>
    </row>
    <row r="311" spans="3:4" s="4" customFormat="1" x14ac:dyDescent="0.2">
      <c r="C311" s="935"/>
      <c r="D311" s="585">
        <v>2511</v>
      </c>
    </row>
    <row r="312" spans="3:4" s="4" customFormat="1" x14ac:dyDescent="0.2">
      <c r="C312" s="935"/>
      <c r="D312" s="585">
        <v>2512</v>
      </c>
    </row>
    <row r="313" spans="3:4" s="4" customFormat="1" x14ac:dyDescent="0.2">
      <c r="C313" s="935"/>
      <c r="D313" s="585">
        <v>2513</v>
      </c>
    </row>
    <row r="314" spans="3:4" s="4" customFormat="1" x14ac:dyDescent="0.2">
      <c r="C314" s="935"/>
      <c r="D314" s="585">
        <v>2515</v>
      </c>
    </row>
    <row r="315" spans="3:4" s="4" customFormat="1" x14ac:dyDescent="0.2">
      <c r="C315" s="935"/>
      <c r="D315" s="585">
        <v>2516</v>
      </c>
    </row>
    <row r="316" spans="3:4" s="4" customFormat="1" x14ac:dyDescent="0.2">
      <c r="C316" s="935"/>
      <c r="D316" s="585">
        <v>2518</v>
      </c>
    </row>
    <row r="317" spans="3:4" s="4" customFormat="1" x14ac:dyDescent="0.2">
      <c r="C317" s="935"/>
      <c r="D317" s="585">
        <v>2521</v>
      </c>
    </row>
    <row r="318" spans="3:4" s="4" customFormat="1" x14ac:dyDescent="0.2">
      <c r="C318" s="935"/>
      <c r="D318" s="585">
        <v>2522</v>
      </c>
    </row>
    <row r="319" spans="3:4" s="4" customFormat="1" x14ac:dyDescent="0.2">
      <c r="C319" s="935"/>
      <c r="D319" s="585">
        <v>2523</v>
      </c>
    </row>
    <row r="320" spans="3:4" s="4" customFormat="1" x14ac:dyDescent="0.2">
      <c r="C320" s="935"/>
      <c r="D320" s="585">
        <v>2524</v>
      </c>
    </row>
    <row r="321" spans="3:4" s="4" customFormat="1" x14ac:dyDescent="0.2">
      <c r="C321" s="935"/>
      <c r="D321" s="585">
        <v>2525</v>
      </c>
    </row>
    <row r="322" spans="3:4" s="4" customFormat="1" x14ac:dyDescent="0.2">
      <c r="C322" s="935"/>
      <c r="D322" s="585">
        <v>2526</v>
      </c>
    </row>
    <row r="323" spans="3:4" s="4" customFormat="1" x14ac:dyDescent="0.2">
      <c r="C323" s="935"/>
      <c r="D323" s="585">
        <v>2531</v>
      </c>
    </row>
    <row r="324" spans="3:4" s="4" customFormat="1" x14ac:dyDescent="0.2">
      <c r="C324" s="935"/>
      <c r="D324" s="585">
        <v>2532</v>
      </c>
    </row>
    <row r="325" spans="3:4" s="4" customFormat="1" x14ac:dyDescent="0.2">
      <c r="C325" s="935"/>
      <c r="D325" s="585">
        <v>2533</v>
      </c>
    </row>
    <row r="326" spans="3:4" s="4" customFormat="1" x14ac:dyDescent="0.2">
      <c r="C326" s="935"/>
      <c r="D326" s="585">
        <v>2541</v>
      </c>
    </row>
    <row r="327" spans="3:4" s="4" customFormat="1" x14ac:dyDescent="0.2">
      <c r="C327" s="935"/>
      <c r="D327" s="585">
        <v>2542</v>
      </c>
    </row>
    <row r="328" spans="3:4" s="4" customFormat="1" x14ac:dyDescent="0.2">
      <c r="C328" s="935"/>
      <c r="D328" s="585">
        <v>2543</v>
      </c>
    </row>
    <row r="329" spans="3:4" s="4" customFormat="1" x14ac:dyDescent="0.2">
      <c r="C329" s="935"/>
      <c r="D329" s="585">
        <v>2544</v>
      </c>
    </row>
    <row r="330" spans="3:4" s="4" customFormat="1" x14ac:dyDescent="0.2">
      <c r="C330" s="935"/>
      <c r="D330" s="585">
        <v>2545</v>
      </c>
    </row>
    <row r="331" spans="3:4" s="4" customFormat="1" x14ac:dyDescent="0.2">
      <c r="C331" s="935"/>
      <c r="D331" s="585">
        <v>2551</v>
      </c>
    </row>
    <row r="332" spans="3:4" s="4" customFormat="1" x14ac:dyDescent="0.2">
      <c r="C332" s="935"/>
      <c r="D332" s="585">
        <v>2553</v>
      </c>
    </row>
    <row r="333" spans="3:4" s="4" customFormat="1" x14ac:dyDescent="0.2">
      <c r="C333" s="935"/>
      <c r="D333" s="585">
        <v>2561</v>
      </c>
    </row>
    <row r="334" spans="3:4" s="4" customFormat="1" x14ac:dyDescent="0.2">
      <c r="C334" s="935"/>
      <c r="D334" s="585">
        <v>2562</v>
      </c>
    </row>
    <row r="335" spans="3:4" s="4" customFormat="1" x14ac:dyDescent="0.2">
      <c r="C335" s="935"/>
      <c r="D335" s="585">
        <v>2563</v>
      </c>
    </row>
    <row r="336" spans="3:4" s="4" customFormat="1" x14ac:dyDescent="0.2">
      <c r="C336" s="935"/>
      <c r="D336" s="585">
        <v>2571</v>
      </c>
    </row>
    <row r="337" spans="3:4" s="4" customFormat="1" x14ac:dyDescent="0.2">
      <c r="C337" s="935"/>
      <c r="D337" s="585">
        <v>2572</v>
      </c>
    </row>
    <row r="338" spans="3:4" s="4" customFormat="1" x14ac:dyDescent="0.2">
      <c r="C338" s="935"/>
      <c r="D338" s="585">
        <v>2573</v>
      </c>
    </row>
    <row r="339" spans="3:4" s="4" customFormat="1" x14ac:dyDescent="0.2">
      <c r="C339" s="935"/>
      <c r="D339" s="585">
        <v>2574</v>
      </c>
    </row>
    <row r="340" spans="3:4" s="4" customFormat="1" x14ac:dyDescent="0.2">
      <c r="C340" s="935"/>
      <c r="D340" s="585">
        <v>2583</v>
      </c>
    </row>
    <row r="341" spans="3:4" s="4" customFormat="1" x14ac:dyDescent="0.2">
      <c r="C341" s="935"/>
      <c r="D341" s="585">
        <v>2584</v>
      </c>
    </row>
    <row r="342" spans="3:4" s="4" customFormat="1" x14ac:dyDescent="0.2">
      <c r="C342" s="935"/>
      <c r="D342" s="585">
        <v>2591</v>
      </c>
    </row>
    <row r="343" spans="3:4" s="4" customFormat="1" x14ac:dyDescent="0.2">
      <c r="C343" s="935"/>
      <c r="D343" s="585">
        <v>2592</v>
      </c>
    </row>
    <row r="344" spans="3:4" s="4" customFormat="1" x14ac:dyDescent="0.2">
      <c r="C344" s="935"/>
      <c r="D344" s="585">
        <v>2595</v>
      </c>
    </row>
    <row r="345" spans="3:4" s="4" customFormat="1" x14ac:dyDescent="0.2">
      <c r="C345" s="935"/>
      <c r="D345" s="585">
        <v>2612</v>
      </c>
    </row>
    <row r="346" spans="3:4" s="4" customFormat="1" x14ac:dyDescent="0.2">
      <c r="C346" s="935"/>
      <c r="D346" s="585">
        <v>2624</v>
      </c>
    </row>
    <row r="347" spans="3:4" s="4" customFormat="1" x14ac:dyDescent="0.2">
      <c r="C347" s="935"/>
      <c r="D347" s="585">
        <v>2625</v>
      </c>
    </row>
    <row r="348" spans="3:4" s="4" customFormat="1" x14ac:dyDescent="0.2">
      <c r="C348" s="935"/>
      <c r="D348" s="585">
        <v>2629</v>
      </c>
    </row>
    <row r="349" spans="3:4" s="4" customFormat="1" x14ac:dyDescent="0.2">
      <c r="C349" s="935"/>
      <c r="D349" s="585">
        <v>2715</v>
      </c>
    </row>
    <row r="350" spans="3:4" s="4" customFormat="1" x14ac:dyDescent="0.2">
      <c r="C350" s="935"/>
      <c r="D350" s="585">
        <v>2716</v>
      </c>
    </row>
    <row r="351" spans="3:4" s="4" customFormat="1" x14ac:dyDescent="0.2">
      <c r="C351" s="935"/>
      <c r="D351" s="585">
        <v>2717</v>
      </c>
    </row>
    <row r="352" spans="3:4" s="4" customFormat="1" x14ac:dyDescent="0.2">
      <c r="C352" s="935"/>
      <c r="D352" s="585">
        <v>2722</v>
      </c>
    </row>
    <row r="353" spans="3:4" s="4" customFormat="1" x14ac:dyDescent="0.2">
      <c r="C353" s="935"/>
      <c r="D353" s="585">
        <v>2727</v>
      </c>
    </row>
    <row r="354" spans="3:4" s="4" customFormat="1" x14ac:dyDescent="0.2">
      <c r="C354" s="935"/>
      <c r="D354" s="585">
        <v>2801</v>
      </c>
    </row>
    <row r="355" spans="3:4" s="4" customFormat="1" x14ac:dyDescent="0.2">
      <c r="C355" s="935"/>
      <c r="D355" s="585">
        <v>2802</v>
      </c>
    </row>
    <row r="356" spans="3:4" s="4" customFormat="1" x14ac:dyDescent="0.2">
      <c r="C356" s="935"/>
      <c r="D356" s="585">
        <v>2806</v>
      </c>
    </row>
    <row r="357" spans="3:4" s="4" customFormat="1" x14ac:dyDescent="0.2">
      <c r="C357" s="935"/>
      <c r="D357" s="585">
        <v>2808</v>
      </c>
    </row>
    <row r="358" spans="3:4" s="4" customFormat="1" x14ac:dyDescent="0.2">
      <c r="C358" s="935"/>
      <c r="D358" s="585">
        <v>2903</v>
      </c>
    </row>
    <row r="359" spans="3:4" s="4" customFormat="1" x14ac:dyDescent="0.2">
      <c r="C359" s="935"/>
      <c r="D359" s="585">
        <v>2905</v>
      </c>
    </row>
    <row r="360" spans="3:4" s="4" customFormat="1" x14ac:dyDescent="0.2">
      <c r="C360" s="935"/>
      <c r="D360" s="585">
        <v>3012</v>
      </c>
    </row>
    <row r="361" spans="3:4" s="4" customFormat="1" x14ac:dyDescent="0.2">
      <c r="C361" s="935"/>
      <c r="D361" s="585">
        <v>3014</v>
      </c>
    </row>
    <row r="362" spans="3:4" s="4" customFormat="1" x14ac:dyDescent="0.2">
      <c r="C362" s="935"/>
      <c r="D362" s="585">
        <v>3021</v>
      </c>
    </row>
    <row r="363" spans="3:4" s="4" customFormat="1" x14ac:dyDescent="0.2">
      <c r="C363" s="935"/>
      <c r="D363" s="585">
        <v>3022</v>
      </c>
    </row>
    <row r="364" spans="3:4" s="4" customFormat="1" x14ac:dyDescent="0.2">
      <c r="C364" s="935"/>
      <c r="D364" s="585">
        <v>3023</v>
      </c>
    </row>
    <row r="365" spans="3:4" s="4" customFormat="1" x14ac:dyDescent="0.2">
      <c r="C365" s="935"/>
      <c r="D365" s="585">
        <v>3024</v>
      </c>
    </row>
    <row r="366" spans="3:4" s="4" customFormat="1" x14ac:dyDescent="0.2">
      <c r="C366" s="935"/>
      <c r="D366" s="585">
        <v>3025</v>
      </c>
    </row>
    <row r="367" spans="3:4" s="4" customFormat="1" x14ac:dyDescent="0.2">
      <c r="C367" s="935"/>
      <c r="D367" s="585">
        <v>3026</v>
      </c>
    </row>
    <row r="368" spans="3:4" s="4" customFormat="1" x14ac:dyDescent="0.2">
      <c r="C368" s="935"/>
      <c r="D368" s="585">
        <v>3027</v>
      </c>
    </row>
    <row r="369" spans="3:4" s="4" customFormat="1" x14ac:dyDescent="0.2">
      <c r="C369" s="935"/>
      <c r="D369" s="585">
        <v>3028</v>
      </c>
    </row>
    <row r="370" spans="3:4" s="4" customFormat="1" x14ac:dyDescent="0.2">
      <c r="C370" s="935"/>
      <c r="D370" s="585">
        <v>3029</v>
      </c>
    </row>
    <row r="371" spans="3:4" s="4" customFormat="1" x14ac:dyDescent="0.2">
      <c r="C371" s="935"/>
      <c r="D371" s="585">
        <v>3031</v>
      </c>
    </row>
    <row r="372" spans="3:4" s="4" customFormat="1" x14ac:dyDescent="0.2">
      <c r="C372" s="935"/>
      <c r="D372" s="585">
        <v>3032</v>
      </c>
    </row>
    <row r="373" spans="3:4" s="4" customFormat="1" x14ac:dyDescent="0.2">
      <c r="C373" s="935"/>
      <c r="D373" s="585">
        <v>3033</v>
      </c>
    </row>
    <row r="374" spans="3:4" s="4" customFormat="1" x14ac:dyDescent="0.2">
      <c r="C374" s="935"/>
      <c r="D374" s="585">
        <v>3034</v>
      </c>
    </row>
    <row r="375" spans="3:4" s="4" customFormat="1" x14ac:dyDescent="0.2">
      <c r="C375" s="935"/>
      <c r="D375" s="585">
        <v>3035</v>
      </c>
    </row>
    <row r="376" spans="3:4" s="4" customFormat="1" x14ac:dyDescent="0.2">
      <c r="C376" s="935"/>
      <c r="D376" s="585">
        <v>3036</v>
      </c>
    </row>
    <row r="377" spans="3:4" s="4" customFormat="1" x14ac:dyDescent="0.2">
      <c r="C377" s="935"/>
      <c r="D377" s="585">
        <v>3037</v>
      </c>
    </row>
    <row r="378" spans="3:4" s="4" customFormat="1" x14ac:dyDescent="0.2">
      <c r="C378" s="935"/>
      <c r="D378" s="585">
        <v>3038</v>
      </c>
    </row>
    <row r="379" spans="3:4" s="4" customFormat="1" x14ac:dyDescent="0.2">
      <c r="C379" s="935"/>
      <c r="D379" s="585">
        <v>3042</v>
      </c>
    </row>
    <row r="380" spans="3:4" s="4" customFormat="1" x14ac:dyDescent="0.2">
      <c r="C380" s="935"/>
      <c r="D380" s="585">
        <v>3045</v>
      </c>
    </row>
    <row r="381" spans="3:4" s="4" customFormat="1" x14ac:dyDescent="0.2">
      <c r="C381" s="935"/>
      <c r="D381" s="585">
        <v>3052</v>
      </c>
    </row>
    <row r="382" spans="3:4" s="4" customFormat="1" x14ac:dyDescent="0.2">
      <c r="C382" s="935"/>
      <c r="D382" s="585">
        <v>3053</v>
      </c>
    </row>
    <row r="383" spans="3:4" s="4" customFormat="1" x14ac:dyDescent="0.2">
      <c r="C383" s="935"/>
      <c r="D383" s="585">
        <v>3054</v>
      </c>
    </row>
    <row r="384" spans="3:4" s="4" customFormat="1" x14ac:dyDescent="0.2">
      <c r="C384" s="935"/>
      <c r="D384" s="585">
        <v>3061</v>
      </c>
    </row>
    <row r="385" spans="3:4" s="4" customFormat="1" x14ac:dyDescent="0.2">
      <c r="C385" s="935"/>
      <c r="D385" s="585">
        <v>3063</v>
      </c>
    </row>
    <row r="386" spans="3:4" s="4" customFormat="1" x14ac:dyDescent="0.2">
      <c r="C386" s="935"/>
      <c r="D386" s="585">
        <v>3066</v>
      </c>
    </row>
    <row r="387" spans="3:4" s="4" customFormat="1" x14ac:dyDescent="0.2">
      <c r="C387" s="935"/>
      <c r="D387" s="585">
        <v>3068</v>
      </c>
    </row>
    <row r="388" spans="3:4" s="4" customFormat="1" x14ac:dyDescent="0.2">
      <c r="C388" s="935"/>
      <c r="D388" s="585">
        <v>3071</v>
      </c>
    </row>
    <row r="389" spans="3:4" s="4" customFormat="1" x14ac:dyDescent="0.2">
      <c r="C389" s="935"/>
      <c r="D389" s="585">
        <v>3072</v>
      </c>
    </row>
    <row r="390" spans="3:4" s="4" customFormat="1" x14ac:dyDescent="0.2">
      <c r="C390" s="935"/>
      <c r="D390" s="585">
        <v>3073</v>
      </c>
    </row>
    <row r="391" spans="3:4" s="4" customFormat="1" x14ac:dyDescent="0.2">
      <c r="C391" s="935"/>
      <c r="D391" s="585">
        <v>3074</v>
      </c>
    </row>
    <row r="392" spans="3:4" s="4" customFormat="1" x14ac:dyDescent="0.2">
      <c r="C392" s="935"/>
      <c r="D392" s="585">
        <v>3075</v>
      </c>
    </row>
    <row r="393" spans="3:4" s="4" customFormat="1" x14ac:dyDescent="0.2">
      <c r="C393" s="935"/>
      <c r="D393" s="585">
        <v>3076</v>
      </c>
    </row>
    <row r="394" spans="3:4" s="4" customFormat="1" x14ac:dyDescent="0.2">
      <c r="C394" s="935"/>
      <c r="D394" s="585">
        <v>3077</v>
      </c>
    </row>
    <row r="395" spans="3:4" s="4" customFormat="1" x14ac:dyDescent="0.2">
      <c r="C395" s="935"/>
      <c r="D395" s="585">
        <v>3078</v>
      </c>
    </row>
    <row r="396" spans="3:4" s="4" customFormat="1" x14ac:dyDescent="0.2">
      <c r="C396" s="935"/>
      <c r="D396" s="585">
        <v>3079</v>
      </c>
    </row>
    <row r="397" spans="3:4" s="4" customFormat="1" x14ac:dyDescent="0.2">
      <c r="C397" s="935"/>
      <c r="D397" s="585">
        <v>3081</v>
      </c>
    </row>
    <row r="398" spans="3:4" s="4" customFormat="1" x14ac:dyDescent="0.2">
      <c r="C398" s="935"/>
      <c r="D398" s="585">
        <v>3082</v>
      </c>
    </row>
    <row r="399" spans="3:4" s="4" customFormat="1" x14ac:dyDescent="0.2">
      <c r="C399" s="935"/>
      <c r="D399" s="585">
        <v>3083</v>
      </c>
    </row>
    <row r="400" spans="3:4" s="4" customFormat="1" x14ac:dyDescent="0.2">
      <c r="C400" s="935"/>
      <c r="D400" s="585">
        <v>3084</v>
      </c>
    </row>
    <row r="401" spans="3:4" s="4" customFormat="1" x14ac:dyDescent="0.2">
      <c r="C401" s="935"/>
      <c r="D401" s="585">
        <v>3085</v>
      </c>
    </row>
    <row r="402" spans="3:4" s="4" customFormat="1" x14ac:dyDescent="0.2">
      <c r="C402" s="935"/>
      <c r="D402" s="585">
        <v>3086</v>
      </c>
    </row>
    <row r="403" spans="3:4" s="4" customFormat="1" x14ac:dyDescent="0.2">
      <c r="C403" s="935"/>
      <c r="D403" s="585">
        <v>3087</v>
      </c>
    </row>
    <row r="404" spans="3:4" s="4" customFormat="1" x14ac:dyDescent="0.2">
      <c r="C404" s="935"/>
      <c r="D404" s="585">
        <v>3089</v>
      </c>
    </row>
    <row r="405" spans="3:4" s="4" customFormat="1" x14ac:dyDescent="0.2">
      <c r="C405" s="935"/>
      <c r="D405" s="585">
        <v>3111</v>
      </c>
    </row>
    <row r="406" spans="3:4" s="4" customFormat="1" x14ac:dyDescent="0.2">
      <c r="C406" s="935"/>
      <c r="D406" s="585">
        <v>3112</v>
      </c>
    </row>
    <row r="407" spans="3:4" s="4" customFormat="1" x14ac:dyDescent="0.2">
      <c r="C407" s="935"/>
      <c r="D407" s="585">
        <v>3114</v>
      </c>
    </row>
    <row r="408" spans="3:4" s="4" customFormat="1" x14ac:dyDescent="0.2">
      <c r="C408" s="935"/>
      <c r="D408" s="585">
        <v>3118</v>
      </c>
    </row>
    <row r="409" spans="3:4" s="4" customFormat="1" x14ac:dyDescent="0.2">
      <c r="C409" s="935"/>
      <c r="D409" s="585">
        <v>3119</v>
      </c>
    </row>
    <row r="410" spans="3:4" s="4" customFormat="1" x14ac:dyDescent="0.2">
      <c r="C410" s="935"/>
      <c r="D410" s="585">
        <v>3122</v>
      </c>
    </row>
    <row r="411" spans="3:4" s="4" customFormat="1" x14ac:dyDescent="0.2">
      <c r="C411" s="935"/>
      <c r="D411" s="585">
        <v>3131</v>
      </c>
    </row>
    <row r="412" spans="3:4" s="4" customFormat="1" x14ac:dyDescent="0.2">
      <c r="C412" s="935"/>
      <c r="D412" s="585">
        <v>3132</v>
      </c>
    </row>
    <row r="413" spans="3:4" s="4" customFormat="1" x14ac:dyDescent="0.2">
      <c r="C413" s="935"/>
      <c r="D413" s="585">
        <v>3135</v>
      </c>
    </row>
    <row r="414" spans="3:4" s="4" customFormat="1" x14ac:dyDescent="0.2">
      <c r="C414" s="935"/>
      <c r="D414" s="585">
        <v>3136</v>
      </c>
    </row>
    <row r="415" spans="3:4" s="4" customFormat="1" x14ac:dyDescent="0.2">
      <c r="C415" s="935"/>
      <c r="D415" s="585">
        <v>3145</v>
      </c>
    </row>
    <row r="416" spans="3:4" s="4" customFormat="1" x14ac:dyDescent="0.2">
      <c r="C416" s="935"/>
      <c r="D416" s="585">
        <v>3192</v>
      </c>
    </row>
    <row r="417" spans="3:4" s="4" customFormat="1" x14ac:dyDescent="0.2">
      <c r="C417" s="935"/>
      <c r="D417" s="585">
        <v>3193</v>
      </c>
    </row>
    <row r="418" spans="3:4" s="4" customFormat="1" x14ac:dyDescent="0.2">
      <c r="C418" s="935"/>
      <c r="D418" s="585">
        <v>3194</v>
      </c>
    </row>
    <row r="419" spans="3:4" s="4" customFormat="1" x14ac:dyDescent="0.2">
      <c r="C419" s="935"/>
      <c r="D419" s="585">
        <v>3201</v>
      </c>
    </row>
    <row r="420" spans="3:4" s="4" customFormat="1" x14ac:dyDescent="0.2">
      <c r="C420" s="935"/>
      <c r="D420" s="585">
        <v>3203</v>
      </c>
    </row>
    <row r="421" spans="3:4" s="4" customFormat="1" x14ac:dyDescent="0.2">
      <c r="C421" s="935"/>
      <c r="D421" s="585">
        <v>3206</v>
      </c>
    </row>
    <row r="422" spans="3:4" s="4" customFormat="1" x14ac:dyDescent="0.2">
      <c r="C422" s="935"/>
      <c r="D422" s="585">
        <v>3222</v>
      </c>
    </row>
    <row r="423" spans="3:4" s="4" customFormat="1" x14ac:dyDescent="0.2">
      <c r="C423" s="935"/>
      <c r="D423" s="585">
        <v>3311</v>
      </c>
    </row>
    <row r="424" spans="3:4" s="4" customFormat="1" x14ac:dyDescent="0.2">
      <c r="C424" s="935"/>
      <c r="D424" s="585">
        <v>3313</v>
      </c>
    </row>
    <row r="425" spans="3:4" s="4" customFormat="1" x14ac:dyDescent="0.2">
      <c r="C425" s="935"/>
      <c r="D425" s="585">
        <v>3314</v>
      </c>
    </row>
    <row r="426" spans="3:4" s="4" customFormat="1" x14ac:dyDescent="0.2">
      <c r="C426" s="935"/>
      <c r="D426" s="585">
        <v>3316</v>
      </c>
    </row>
    <row r="427" spans="3:4" s="4" customFormat="1" x14ac:dyDescent="0.2">
      <c r="C427" s="935"/>
      <c r="D427" s="585">
        <v>3317</v>
      </c>
    </row>
    <row r="428" spans="3:4" s="4" customFormat="1" x14ac:dyDescent="0.2">
      <c r="C428" s="935"/>
      <c r="D428" s="585">
        <v>3318</v>
      </c>
    </row>
    <row r="429" spans="3:4" s="4" customFormat="1" x14ac:dyDescent="0.2">
      <c r="C429" s="935"/>
      <c r="D429" s="585">
        <v>3329</v>
      </c>
    </row>
    <row r="430" spans="3:4" s="4" customFormat="1" x14ac:dyDescent="0.2">
      <c r="C430" s="935"/>
      <c r="D430" s="585">
        <v>3364</v>
      </c>
    </row>
    <row r="431" spans="3:4" s="4" customFormat="1" x14ac:dyDescent="0.2">
      <c r="C431" s="935"/>
      <c r="D431" s="585">
        <v>3413</v>
      </c>
    </row>
    <row r="432" spans="3:4" s="4" customFormat="1" x14ac:dyDescent="0.2">
      <c r="C432" s="935"/>
      <c r="D432" s="585">
        <v>3431</v>
      </c>
    </row>
    <row r="433" spans="3:4" s="4" customFormat="1" x14ac:dyDescent="0.2">
      <c r="C433" s="935"/>
      <c r="D433" s="585">
        <v>3432</v>
      </c>
    </row>
    <row r="434" spans="3:4" s="4" customFormat="1" x14ac:dyDescent="0.2">
      <c r="C434" s="935"/>
      <c r="D434" s="585">
        <v>3444</v>
      </c>
    </row>
    <row r="435" spans="3:4" s="4" customFormat="1" x14ac:dyDescent="0.2">
      <c r="C435" s="935"/>
      <c r="D435" s="585">
        <v>3464</v>
      </c>
    </row>
    <row r="436" spans="3:4" s="4" customFormat="1" x14ac:dyDescent="0.2">
      <c r="C436" s="935"/>
      <c r="D436" s="585">
        <v>3511</v>
      </c>
    </row>
    <row r="437" spans="3:4" s="4" customFormat="1" x14ac:dyDescent="0.2">
      <c r="C437" s="935"/>
      <c r="D437" s="585">
        <v>3513</v>
      </c>
    </row>
    <row r="438" spans="3:4" s="4" customFormat="1" x14ac:dyDescent="0.2">
      <c r="C438" s="935"/>
      <c r="D438" s="585">
        <v>3515</v>
      </c>
    </row>
    <row r="439" spans="3:4" s="4" customFormat="1" x14ac:dyDescent="0.2">
      <c r="C439" s="935"/>
      <c r="D439" s="585">
        <v>3522</v>
      </c>
    </row>
    <row r="440" spans="3:4" s="4" customFormat="1" x14ac:dyDescent="0.2">
      <c r="C440" s="935"/>
      <c r="D440" s="585">
        <v>3524</v>
      </c>
    </row>
    <row r="441" spans="3:4" s="4" customFormat="1" x14ac:dyDescent="0.2">
      <c r="C441" s="935"/>
      <c r="D441" s="585">
        <v>3525</v>
      </c>
    </row>
    <row r="442" spans="3:4" s="4" customFormat="1" x14ac:dyDescent="0.2">
      <c r="C442" s="935"/>
      <c r="D442" s="585">
        <v>3526</v>
      </c>
    </row>
    <row r="443" spans="3:4" s="4" customFormat="1" x14ac:dyDescent="0.2">
      <c r="C443" s="935"/>
      <c r="D443" s="585">
        <v>3527</v>
      </c>
    </row>
    <row r="444" spans="3:4" s="4" customFormat="1" x14ac:dyDescent="0.2">
      <c r="C444" s="935"/>
      <c r="D444" s="585">
        <v>3531</v>
      </c>
    </row>
    <row r="445" spans="3:4" s="4" customFormat="1" x14ac:dyDescent="0.2">
      <c r="C445" s="935"/>
      <c r="D445" s="585">
        <v>3532</v>
      </c>
    </row>
    <row r="446" spans="3:4" s="4" customFormat="1" x14ac:dyDescent="0.2">
      <c r="C446" s="935"/>
      <c r="D446" s="585">
        <v>3545</v>
      </c>
    </row>
    <row r="447" spans="3:4" s="4" customFormat="1" x14ac:dyDescent="0.2">
      <c r="C447" s="935"/>
      <c r="D447" s="585">
        <v>3551</v>
      </c>
    </row>
    <row r="448" spans="3:4" s="4" customFormat="1" x14ac:dyDescent="0.2">
      <c r="C448" s="935"/>
      <c r="D448" s="585">
        <v>3552</v>
      </c>
    </row>
    <row r="449" spans="3:4" s="4" customFormat="1" x14ac:dyDescent="0.2">
      <c r="C449" s="935"/>
      <c r="D449" s="585">
        <v>3554</v>
      </c>
    </row>
    <row r="450" spans="3:4" s="4" customFormat="1" x14ac:dyDescent="0.2">
      <c r="C450" s="935"/>
      <c r="D450" s="585">
        <v>3555</v>
      </c>
    </row>
    <row r="451" spans="3:4" s="4" customFormat="1" x14ac:dyDescent="0.2">
      <c r="C451" s="935"/>
      <c r="D451" s="585">
        <v>3561</v>
      </c>
    </row>
    <row r="452" spans="3:4" s="4" customFormat="1" x14ac:dyDescent="0.2">
      <c r="C452" s="935"/>
      <c r="D452" s="585">
        <v>3562</v>
      </c>
    </row>
    <row r="453" spans="3:4" s="4" customFormat="1" x14ac:dyDescent="0.2">
      <c r="C453" s="935"/>
      <c r="D453" s="585">
        <v>3563</v>
      </c>
    </row>
    <row r="454" spans="3:4" s="4" customFormat="1" x14ac:dyDescent="0.2">
      <c r="C454" s="935"/>
      <c r="D454" s="585">
        <v>3564</v>
      </c>
    </row>
    <row r="455" spans="3:4" s="4" customFormat="1" x14ac:dyDescent="0.2">
      <c r="C455" s="935"/>
      <c r="D455" s="585">
        <v>3566</v>
      </c>
    </row>
    <row r="456" spans="3:4" s="4" customFormat="1" x14ac:dyDescent="0.2">
      <c r="C456" s="935"/>
      <c r="D456" s="585">
        <v>3605</v>
      </c>
    </row>
    <row r="457" spans="3:4" s="4" customFormat="1" x14ac:dyDescent="0.2">
      <c r="C457" s="935"/>
      <c r="D457" s="585">
        <v>3631</v>
      </c>
    </row>
    <row r="458" spans="3:4" s="4" customFormat="1" x14ac:dyDescent="0.2">
      <c r="C458" s="935"/>
      <c r="D458" s="585">
        <v>3634</v>
      </c>
    </row>
    <row r="459" spans="3:4" s="4" customFormat="1" x14ac:dyDescent="0.2">
      <c r="C459" s="935"/>
      <c r="D459" s="585">
        <v>3706</v>
      </c>
    </row>
    <row r="460" spans="3:4" s="4" customFormat="1" x14ac:dyDescent="0.2">
      <c r="C460" s="935"/>
      <c r="D460" s="585">
        <v>3709</v>
      </c>
    </row>
    <row r="461" spans="3:4" s="4" customFormat="1" x14ac:dyDescent="0.2">
      <c r="C461" s="935"/>
      <c r="D461" s="585">
        <v>3712</v>
      </c>
    </row>
    <row r="462" spans="3:4" s="4" customFormat="1" x14ac:dyDescent="0.2">
      <c r="C462" s="935"/>
      <c r="D462" s="585">
        <v>3764</v>
      </c>
    </row>
    <row r="463" spans="3:4" s="4" customFormat="1" x14ac:dyDescent="0.2">
      <c r="C463" s="935"/>
      <c r="D463" s="585">
        <v>3765</v>
      </c>
    </row>
    <row r="464" spans="3:4" s="4" customFormat="1" x14ac:dyDescent="0.2">
      <c r="C464" s="935"/>
      <c r="D464" s="585">
        <v>3775</v>
      </c>
    </row>
    <row r="465" spans="3:4" s="4" customFormat="1" x14ac:dyDescent="0.2">
      <c r="C465" s="935"/>
      <c r="D465" s="585">
        <v>3811</v>
      </c>
    </row>
    <row r="466" spans="3:4" s="4" customFormat="1" x14ac:dyDescent="0.2">
      <c r="C466" s="935"/>
      <c r="D466" s="585">
        <v>3812</v>
      </c>
    </row>
    <row r="467" spans="3:4" s="4" customFormat="1" x14ac:dyDescent="0.2">
      <c r="C467" s="935"/>
      <c r="D467" s="585">
        <v>3813</v>
      </c>
    </row>
    <row r="468" spans="3:4" s="4" customFormat="1" x14ac:dyDescent="0.2">
      <c r="C468" s="935"/>
      <c r="D468" s="585">
        <v>3814</v>
      </c>
    </row>
    <row r="469" spans="3:4" s="4" customFormat="1" x14ac:dyDescent="0.2">
      <c r="C469" s="935"/>
      <c r="D469" s="585">
        <v>3815</v>
      </c>
    </row>
    <row r="470" spans="3:4" s="4" customFormat="1" x14ac:dyDescent="0.2">
      <c r="C470" s="935"/>
      <c r="D470" s="585">
        <v>3816</v>
      </c>
    </row>
    <row r="471" spans="3:4" s="4" customFormat="1" x14ac:dyDescent="0.2">
      <c r="C471" s="935"/>
      <c r="D471" s="585">
        <v>3843</v>
      </c>
    </row>
    <row r="472" spans="3:4" s="4" customFormat="1" x14ac:dyDescent="0.2">
      <c r="C472" s="935"/>
      <c r="D472" s="585">
        <v>3853</v>
      </c>
    </row>
    <row r="473" spans="3:4" s="4" customFormat="1" x14ac:dyDescent="0.2">
      <c r="C473" s="935"/>
      <c r="D473" s="585">
        <v>3896</v>
      </c>
    </row>
    <row r="474" spans="3:4" s="4" customFormat="1" x14ac:dyDescent="0.2">
      <c r="C474" s="935"/>
      <c r="D474" s="585">
        <v>3897</v>
      </c>
    </row>
    <row r="475" spans="3:4" s="4" customFormat="1" x14ac:dyDescent="0.2">
      <c r="C475" s="935"/>
      <c r="D475" s="585">
        <v>3898</v>
      </c>
    </row>
    <row r="476" spans="3:4" s="4" customFormat="1" x14ac:dyDescent="0.2">
      <c r="C476" s="935"/>
      <c r="D476" s="585">
        <v>3901</v>
      </c>
    </row>
    <row r="477" spans="3:4" s="4" customFormat="1" x14ac:dyDescent="0.2">
      <c r="C477" s="935"/>
      <c r="D477" s="585">
        <v>3995</v>
      </c>
    </row>
    <row r="478" spans="3:4" s="4" customFormat="1" x14ac:dyDescent="0.2">
      <c r="C478" s="935"/>
      <c r="D478" s="585">
        <v>3999</v>
      </c>
    </row>
    <row r="479" spans="3:4" s="4" customFormat="1" x14ac:dyDescent="0.2">
      <c r="C479" s="935"/>
      <c r="D479" s="585">
        <v>4005</v>
      </c>
    </row>
    <row r="480" spans="3:4" s="4" customFormat="1" x14ac:dyDescent="0.2">
      <c r="C480" s="935"/>
      <c r="D480" s="585">
        <v>4006</v>
      </c>
    </row>
    <row r="481" spans="3:4" s="4" customFormat="1" x14ac:dyDescent="0.2">
      <c r="C481" s="935"/>
      <c r="D481" s="585">
        <v>4016</v>
      </c>
    </row>
    <row r="482" spans="3:4" s="4" customFormat="1" x14ac:dyDescent="0.2">
      <c r="C482" s="935"/>
      <c r="D482" s="585">
        <v>4032</v>
      </c>
    </row>
    <row r="483" spans="3:4" s="4" customFormat="1" x14ac:dyDescent="0.2">
      <c r="C483" s="935"/>
      <c r="D483" s="585">
        <v>4115</v>
      </c>
    </row>
    <row r="484" spans="3:4" s="4" customFormat="1" x14ac:dyDescent="0.2">
      <c r="C484" s="935"/>
      <c r="D484" s="585">
        <v>4131</v>
      </c>
    </row>
    <row r="485" spans="3:4" s="4" customFormat="1" x14ac:dyDescent="0.2">
      <c r="C485" s="935"/>
      <c r="D485" s="585">
        <v>4142</v>
      </c>
    </row>
    <row r="486" spans="3:4" s="4" customFormat="1" x14ac:dyDescent="0.2">
      <c r="C486" s="935"/>
      <c r="D486" s="585">
        <v>4176</v>
      </c>
    </row>
    <row r="487" spans="3:4" s="4" customFormat="1" x14ac:dyDescent="0.2">
      <c r="C487" s="935"/>
      <c r="D487" s="585">
        <v>4182</v>
      </c>
    </row>
    <row r="488" spans="3:4" s="4" customFormat="1" x14ac:dyDescent="0.2">
      <c r="C488" s="935"/>
      <c r="D488" s="585">
        <v>4201</v>
      </c>
    </row>
    <row r="489" spans="3:4" s="4" customFormat="1" x14ac:dyDescent="0.2">
      <c r="C489" s="935"/>
      <c r="D489" s="585">
        <v>4203</v>
      </c>
    </row>
    <row r="490" spans="3:4" s="4" customFormat="1" x14ac:dyDescent="0.2">
      <c r="C490" s="935"/>
      <c r="D490" s="585">
        <v>4267</v>
      </c>
    </row>
    <row r="491" spans="3:4" s="4" customFormat="1" x14ac:dyDescent="0.2">
      <c r="C491" s="935"/>
      <c r="D491" s="585">
        <v>4308</v>
      </c>
    </row>
    <row r="492" spans="3:4" s="4" customFormat="1" x14ac:dyDescent="0.2">
      <c r="C492" s="935"/>
      <c r="D492" s="585">
        <v>4315</v>
      </c>
    </row>
    <row r="493" spans="3:4" s="4" customFormat="1" x14ac:dyDescent="0.2">
      <c r="C493" s="935"/>
      <c r="D493" s="585">
        <v>4335</v>
      </c>
    </row>
    <row r="494" spans="3:4" s="4" customFormat="1" x14ac:dyDescent="0.2">
      <c r="C494" s="935"/>
      <c r="D494" s="585">
        <v>4337</v>
      </c>
    </row>
    <row r="495" spans="3:4" s="4" customFormat="1" x14ac:dyDescent="0.2">
      <c r="C495" s="935"/>
      <c r="D495" s="585">
        <v>4357</v>
      </c>
    </row>
    <row r="496" spans="3:4" s="4" customFormat="1" x14ac:dyDescent="0.2">
      <c r="C496" s="935"/>
      <c r="D496" s="585">
        <v>4381</v>
      </c>
    </row>
    <row r="497" spans="3:4" s="4" customFormat="1" x14ac:dyDescent="0.2">
      <c r="C497" s="935"/>
      <c r="D497" s="585">
        <v>4382</v>
      </c>
    </row>
    <row r="498" spans="3:4" s="4" customFormat="1" x14ac:dyDescent="0.2">
      <c r="C498" s="935"/>
      <c r="D498" s="585">
        <v>4383</v>
      </c>
    </row>
    <row r="499" spans="3:4" s="4" customFormat="1" x14ac:dyDescent="0.2">
      <c r="C499" s="935"/>
      <c r="D499" s="585">
        <v>4423</v>
      </c>
    </row>
    <row r="500" spans="3:4" s="4" customFormat="1" x14ac:dyDescent="0.2">
      <c r="C500" s="935"/>
      <c r="D500" s="585">
        <v>4441</v>
      </c>
    </row>
    <row r="501" spans="3:4" s="4" customFormat="1" x14ac:dyDescent="0.2">
      <c r="C501" s="935"/>
      <c r="D501" s="585">
        <v>4463</v>
      </c>
    </row>
    <row r="502" spans="3:4" s="4" customFormat="1" x14ac:dyDescent="0.2">
      <c r="C502" s="935"/>
      <c r="D502" s="585">
        <v>4494</v>
      </c>
    </row>
    <row r="503" spans="3:4" s="4" customFormat="1" x14ac:dyDescent="0.2">
      <c r="C503" s="935"/>
      <c r="D503" s="585">
        <v>4503</v>
      </c>
    </row>
    <row r="504" spans="3:4" s="4" customFormat="1" x14ac:dyDescent="0.2">
      <c r="C504" s="935"/>
      <c r="D504" s="585">
        <v>4504</v>
      </c>
    </row>
    <row r="505" spans="3:4" s="4" customFormat="1" x14ac:dyDescent="0.2">
      <c r="C505" s="935"/>
      <c r="D505" s="585">
        <v>4505</v>
      </c>
    </row>
    <row r="506" spans="3:4" s="4" customFormat="1" x14ac:dyDescent="0.2">
      <c r="C506" s="935"/>
      <c r="D506" s="585">
        <v>4508</v>
      </c>
    </row>
    <row r="507" spans="3:4" s="4" customFormat="1" x14ac:dyDescent="0.2">
      <c r="C507" s="935"/>
      <c r="D507" s="585">
        <v>4513</v>
      </c>
    </row>
    <row r="508" spans="3:4" s="4" customFormat="1" x14ac:dyDescent="0.2">
      <c r="C508" s="935"/>
      <c r="D508" s="585">
        <v>4522</v>
      </c>
    </row>
    <row r="509" spans="3:4" s="4" customFormat="1" x14ac:dyDescent="0.2">
      <c r="C509" s="935"/>
      <c r="D509" s="585">
        <v>4525</v>
      </c>
    </row>
    <row r="510" spans="3:4" s="4" customFormat="1" x14ac:dyDescent="0.2">
      <c r="C510" s="935"/>
      <c r="D510" s="585">
        <v>4529</v>
      </c>
    </row>
    <row r="511" spans="3:4" s="4" customFormat="1" x14ac:dyDescent="0.2">
      <c r="C511" s="935"/>
      <c r="D511" s="585">
        <v>4531</v>
      </c>
    </row>
    <row r="512" spans="3:4" s="4" customFormat="1" x14ac:dyDescent="0.2">
      <c r="C512" s="935"/>
      <c r="D512" s="585">
        <v>4536</v>
      </c>
    </row>
    <row r="513" spans="3:4" s="4" customFormat="1" x14ac:dyDescent="0.2">
      <c r="C513" s="935"/>
      <c r="D513" s="585">
        <v>4537</v>
      </c>
    </row>
    <row r="514" spans="3:4" s="4" customFormat="1" x14ac:dyDescent="0.2">
      <c r="C514" s="935"/>
      <c r="D514" s="585">
        <v>4538</v>
      </c>
    </row>
    <row r="515" spans="3:4" s="4" customFormat="1" x14ac:dyDescent="0.2">
      <c r="C515" s="935"/>
      <c r="D515" s="585">
        <v>4554</v>
      </c>
    </row>
    <row r="516" spans="3:4" s="4" customFormat="1" x14ac:dyDescent="0.2">
      <c r="C516" s="935"/>
      <c r="D516" s="585">
        <v>4565</v>
      </c>
    </row>
    <row r="517" spans="3:4" s="4" customFormat="1" x14ac:dyDescent="0.2">
      <c r="C517" s="935"/>
      <c r="D517" s="585">
        <v>4583</v>
      </c>
    </row>
    <row r="518" spans="3:4" s="4" customFormat="1" x14ac:dyDescent="0.2">
      <c r="C518" s="935"/>
      <c r="D518" s="585">
        <v>4586</v>
      </c>
    </row>
    <row r="519" spans="3:4" s="4" customFormat="1" x14ac:dyDescent="0.2">
      <c r="C519" s="935"/>
      <c r="D519" s="585">
        <v>4589</v>
      </c>
    </row>
    <row r="520" spans="3:4" s="4" customFormat="1" x14ac:dyDescent="0.2">
      <c r="C520" s="935"/>
      <c r="D520" s="585">
        <v>4612</v>
      </c>
    </row>
    <row r="521" spans="3:4" s="4" customFormat="1" x14ac:dyDescent="0.2">
      <c r="C521" s="935"/>
      <c r="D521" s="585">
        <v>4613</v>
      </c>
    </row>
    <row r="522" spans="3:4" s="4" customFormat="1" x14ac:dyDescent="0.2">
      <c r="C522" s="935"/>
      <c r="D522" s="585">
        <v>4621</v>
      </c>
    </row>
    <row r="523" spans="3:4" s="4" customFormat="1" x14ac:dyDescent="0.2">
      <c r="C523" s="935"/>
      <c r="D523" s="585">
        <v>4622</v>
      </c>
    </row>
    <row r="524" spans="3:4" s="4" customFormat="1" x14ac:dyDescent="0.2">
      <c r="C524" s="935"/>
      <c r="D524" s="585">
        <v>4623</v>
      </c>
    </row>
    <row r="525" spans="3:4" s="4" customFormat="1" x14ac:dyDescent="0.2">
      <c r="C525" s="935"/>
      <c r="D525" s="585">
        <v>4702</v>
      </c>
    </row>
    <row r="526" spans="3:4" s="4" customFormat="1" x14ac:dyDescent="0.2">
      <c r="C526" s="935"/>
      <c r="D526" s="585">
        <v>4707</v>
      </c>
    </row>
    <row r="527" spans="3:4" s="4" customFormat="1" x14ac:dyDescent="0.2">
      <c r="C527" s="935"/>
      <c r="D527" s="585">
        <v>4711</v>
      </c>
    </row>
    <row r="528" spans="3:4" s="4" customFormat="1" x14ac:dyDescent="0.2">
      <c r="C528" s="935"/>
      <c r="D528" s="585">
        <v>4772</v>
      </c>
    </row>
    <row r="529" spans="3:4" s="4" customFormat="1" x14ac:dyDescent="0.2">
      <c r="C529" s="935"/>
      <c r="D529" s="585">
        <v>4782</v>
      </c>
    </row>
    <row r="530" spans="3:4" s="4" customFormat="1" x14ac:dyDescent="0.2">
      <c r="C530" s="935"/>
      <c r="D530" s="585">
        <v>4811</v>
      </c>
    </row>
    <row r="531" spans="3:4" s="4" customFormat="1" x14ac:dyDescent="0.2">
      <c r="C531" s="935"/>
      <c r="D531" s="585">
        <v>4812</v>
      </c>
    </row>
    <row r="532" spans="3:4" s="4" customFormat="1" x14ac:dyDescent="0.2">
      <c r="C532" s="935"/>
      <c r="D532" s="585">
        <v>4814</v>
      </c>
    </row>
    <row r="533" spans="3:4" s="4" customFormat="1" x14ac:dyDescent="0.2">
      <c r="C533" s="935"/>
      <c r="D533" s="585">
        <v>4816</v>
      </c>
    </row>
    <row r="534" spans="3:4" s="4" customFormat="1" x14ac:dyDescent="0.2">
      <c r="C534" s="935"/>
      <c r="D534" s="585">
        <v>4822</v>
      </c>
    </row>
    <row r="535" spans="3:4" s="4" customFormat="1" x14ac:dyDescent="0.2">
      <c r="C535" s="935"/>
      <c r="D535" s="585">
        <v>4826</v>
      </c>
    </row>
    <row r="536" spans="3:4" s="4" customFormat="1" x14ac:dyDescent="0.2">
      <c r="C536" s="935"/>
      <c r="D536" s="585">
        <v>4827</v>
      </c>
    </row>
    <row r="537" spans="3:4" s="4" customFormat="1" x14ac:dyDescent="0.2">
      <c r="C537" s="935"/>
      <c r="D537" s="585">
        <v>4903</v>
      </c>
    </row>
    <row r="538" spans="3:4" s="4" customFormat="1" x14ac:dyDescent="0.2">
      <c r="C538" s="935"/>
      <c r="D538" s="585">
        <v>5011</v>
      </c>
    </row>
    <row r="539" spans="3:4" s="4" customFormat="1" x14ac:dyDescent="0.2">
      <c r="C539" s="935"/>
      <c r="D539" s="585">
        <v>5012</v>
      </c>
    </row>
    <row r="540" spans="3:4" s="4" customFormat="1" x14ac:dyDescent="0.2">
      <c r="C540" s="935"/>
      <c r="D540" s="585">
        <v>5013</v>
      </c>
    </row>
    <row r="541" spans="3:4" s="4" customFormat="1" x14ac:dyDescent="0.2">
      <c r="C541" s="935"/>
      <c r="D541" s="585">
        <v>5014</v>
      </c>
    </row>
    <row r="542" spans="3:4" s="4" customFormat="1" x14ac:dyDescent="0.2">
      <c r="C542" s="935"/>
      <c r="D542" s="585">
        <v>5015</v>
      </c>
    </row>
    <row r="543" spans="3:4" s="4" customFormat="1" x14ac:dyDescent="0.2">
      <c r="C543" s="935"/>
      <c r="D543" s="585">
        <v>5018</v>
      </c>
    </row>
    <row r="544" spans="3:4" s="4" customFormat="1" x14ac:dyDescent="0.2">
      <c r="C544" s="935"/>
      <c r="D544" s="585">
        <v>5021</v>
      </c>
    </row>
    <row r="545" spans="3:4" s="4" customFormat="1" x14ac:dyDescent="0.2">
      <c r="C545" s="935"/>
      <c r="D545" s="585">
        <v>5022</v>
      </c>
    </row>
    <row r="546" spans="3:4" s="4" customFormat="1" x14ac:dyDescent="0.2">
      <c r="C546" s="935"/>
      <c r="D546" s="585">
        <v>5025</v>
      </c>
    </row>
    <row r="547" spans="3:4" s="4" customFormat="1" x14ac:dyDescent="0.2">
      <c r="C547" s="935"/>
      <c r="D547" s="585">
        <v>5041</v>
      </c>
    </row>
    <row r="548" spans="3:4" s="4" customFormat="1" x14ac:dyDescent="0.2">
      <c r="C548" s="935"/>
      <c r="D548" s="585">
        <v>5042</v>
      </c>
    </row>
    <row r="549" spans="3:4" s="4" customFormat="1" x14ac:dyDescent="0.2">
      <c r="C549" s="935"/>
      <c r="D549" s="585">
        <v>5044</v>
      </c>
    </row>
    <row r="550" spans="3:4" s="4" customFormat="1" x14ac:dyDescent="0.2">
      <c r="C550" s="935"/>
      <c r="D550" s="585">
        <v>5046</v>
      </c>
    </row>
    <row r="551" spans="3:4" s="4" customFormat="1" x14ac:dyDescent="0.2">
      <c r="C551" s="935"/>
      <c r="D551" s="585">
        <v>5049</v>
      </c>
    </row>
    <row r="552" spans="3:4" s="4" customFormat="1" x14ac:dyDescent="0.2">
      <c r="C552" s="935"/>
      <c r="D552" s="585">
        <v>5059</v>
      </c>
    </row>
    <row r="553" spans="3:4" s="4" customFormat="1" x14ac:dyDescent="0.2">
      <c r="C553" s="935"/>
      <c r="D553" s="585">
        <v>5063</v>
      </c>
    </row>
    <row r="554" spans="3:4" s="4" customFormat="1" x14ac:dyDescent="0.2">
      <c r="C554" s="935"/>
      <c r="D554" s="585">
        <v>5105</v>
      </c>
    </row>
    <row r="555" spans="3:4" s="4" customFormat="1" x14ac:dyDescent="0.2">
      <c r="C555" s="935"/>
      <c r="D555" s="585">
        <v>5124</v>
      </c>
    </row>
    <row r="556" spans="3:4" s="4" customFormat="1" x14ac:dyDescent="0.2">
      <c r="C556" s="935"/>
      <c r="D556" s="585">
        <v>5142</v>
      </c>
    </row>
    <row r="557" spans="3:4" s="4" customFormat="1" x14ac:dyDescent="0.2">
      <c r="C557" s="935"/>
      <c r="D557" s="585">
        <v>5176</v>
      </c>
    </row>
    <row r="558" spans="3:4" s="4" customFormat="1" x14ac:dyDescent="0.2">
      <c r="C558" s="935"/>
      <c r="D558" s="585">
        <v>5211</v>
      </c>
    </row>
    <row r="559" spans="3:4" s="4" customFormat="1" x14ac:dyDescent="0.2">
      <c r="C559" s="935"/>
      <c r="D559" s="585">
        <v>5212</v>
      </c>
    </row>
    <row r="560" spans="3:4" s="4" customFormat="1" x14ac:dyDescent="0.2">
      <c r="C560" s="935"/>
      <c r="D560" s="585">
        <v>5213</v>
      </c>
    </row>
    <row r="561" spans="3:4" s="4" customFormat="1" x14ac:dyDescent="0.2">
      <c r="C561" s="935"/>
      <c r="D561" s="585">
        <v>5215</v>
      </c>
    </row>
    <row r="562" spans="3:4" s="4" customFormat="1" x14ac:dyDescent="0.2">
      <c r="C562" s="935"/>
      <c r="D562" s="585">
        <v>5223</v>
      </c>
    </row>
    <row r="563" spans="3:4" s="4" customFormat="1" x14ac:dyDescent="0.2">
      <c r="C563" s="935"/>
      <c r="D563" s="585">
        <v>5224</v>
      </c>
    </row>
    <row r="564" spans="3:4" s="4" customFormat="1" x14ac:dyDescent="0.2">
      <c r="C564" s="935"/>
      <c r="D564" s="585">
        <v>5231</v>
      </c>
    </row>
    <row r="565" spans="3:4" s="4" customFormat="1" x14ac:dyDescent="0.2">
      <c r="C565" s="935"/>
      <c r="D565" s="585">
        <v>5233</v>
      </c>
    </row>
    <row r="566" spans="3:4" s="4" customFormat="1" x14ac:dyDescent="0.2">
      <c r="C566" s="935"/>
      <c r="D566" s="585">
        <v>5266</v>
      </c>
    </row>
    <row r="567" spans="3:4" s="4" customFormat="1" x14ac:dyDescent="0.2">
      <c r="C567" s="935"/>
      <c r="D567" s="585">
        <v>5313</v>
      </c>
    </row>
    <row r="568" spans="3:4" s="4" customFormat="1" x14ac:dyDescent="0.2">
      <c r="C568" s="935"/>
      <c r="D568" s="585">
        <v>5343</v>
      </c>
    </row>
    <row r="569" spans="3:4" s="4" customFormat="1" x14ac:dyDescent="0.2">
      <c r="C569" s="935"/>
      <c r="D569" s="585">
        <v>5344</v>
      </c>
    </row>
    <row r="570" spans="3:4" s="4" customFormat="1" x14ac:dyDescent="0.2">
      <c r="C570" s="935"/>
      <c r="D570" s="585">
        <v>5348</v>
      </c>
    </row>
    <row r="571" spans="3:4" s="4" customFormat="1" x14ac:dyDescent="0.2">
      <c r="C571" s="935"/>
      <c r="D571" s="585">
        <v>5349</v>
      </c>
    </row>
    <row r="572" spans="3:4" s="4" customFormat="1" x14ac:dyDescent="0.2">
      <c r="C572" s="935"/>
      <c r="D572" s="585">
        <v>5367</v>
      </c>
    </row>
    <row r="573" spans="3:4" s="4" customFormat="1" x14ac:dyDescent="0.2">
      <c r="C573" s="935"/>
      <c r="D573" s="585">
        <v>5383</v>
      </c>
    </row>
    <row r="574" spans="3:4" s="4" customFormat="1" x14ac:dyDescent="0.2">
      <c r="C574" s="935"/>
      <c r="D574" s="585">
        <v>5401</v>
      </c>
    </row>
    <row r="575" spans="3:4" s="4" customFormat="1" x14ac:dyDescent="0.2">
      <c r="C575" s="935"/>
      <c r="D575" s="585">
        <v>5405</v>
      </c>
    </row>
    <row r="576" spans="3:4" s="4" customFormat="1" x14ac:dyDescent="0.2">
      <c r="C576" s="935"/>
      <c r="D576" s="585">
        <v>5423</v>
      </c>
    </row>
    <row r="577" spans="3:4" s="4" customFormat="1" x14ac:dyDescent="0.2">
      <c r="C577" s="935"/>
      <c r="D577" s="585">
        <v>5431</v>
      </c>
    </row>
    <row r="578" spans="3:4" s="4" customFormat="1" x14ac:dyDescent="0.2">
      <c r="C578" s="935"/>
      <c r="D578" s="585">
        <v>5462</v>
      </c>
    </row>
    <row r="579" spans="3:4" s="4" customFormat="1" x14ac:dyDescent="0.2">
      <c r="C579" s="935"/>
      <c r="D579" s="585">
        <v>5505</v>
      </c>
    </row>
    <row r="580" spans="3:4" s="4" customFormat="1" x14ac:dyDescent="0.2">
      <c r="C580" s="935"/>
      <c r="D580" s="585">
        <v>5553</v>
      </c>
    </row>
    <row r="581" spans="3:4" s="4" customFormat="1" x14ac:dyDescent="0.2">
      <c r="C581" s="935"/>
      <c r="D581" s="585">
        <v>5611</v>
      </c>
    </row>
    <row r="582" spans="3:4" s="4" customFormat="1" x14ac:dyDescent="0.2">
      <c r="C582" s="935"/>
      <c r="D582" s="585">
        <v>5612</v>
      </c>
    </row>
    <row r="583" spans="3:4" s="4" customFormat="1" x14ac:dyDescent="0.2">
      <c r="C583" s="935"/>
      <c r="D583" s="585">
        <v>5613</v>
      </c>
    </row>
    <row r="584" spans="3:4" s="4" customFormat="1" x14ac:dyDescent="0.2">
      <c r="C584" s="935"/>
      <c r="D584" s="585">
        <v>5616</v>
      </c>
    </row>
    <row r="585" spans="3:4" s="4" customFormat="1" x14ac:dyDescent="0.2">
      <c r="C585" s="935"/>
      <c r="D585" s="585">
        <v>5621</v>
      </c>
    </row>
    <row r="586" spans="3:4" s="4" customFormat="1" x14ac:dyDescent="0.2">
      <c r="C586" s="935"/>
      <c r="D586" s="585">
        <v>5622</v>
      </c>
    </row>
    <row r="587" spans="3:4" s="4" customFormat="1" x14ac:dyDescent="0.2">
      <c r="C587" s="935"/>
      <c r="D587" s="585">
        <v>5623</v>
      </c>
    </row>
    <row r="588" spans="3:4" s="4" customFormat="1" x14ac:dyDescent="0.2">
      <c r="C588" s="935"/>
      <c r="D588" s="585">
        <v>5625</v>
      </c>
    </row>
    <row r="589" spans="3:4" s="4" customFormat="1" x14ac:dyDescent="0.2">
      <c r="C589" s="935"/>
      <c r="D589" s="585">
        <v>5632</v>
      </c>
    </row>
    <row r="590" spans="3:4" s="4" customFormat="1" x14ac:dyDescent="0.2">
      <c r="C590" s="935"/>
      <c r="D590" s="585">
        <v>5641</v>
      </c>
    </row>
    <row r="591" spans="3:4" s="4" customFormat="1" x14ac:dyDescent="0.2">
      <c r="C591" s="935"/>
      <c r="D591" s="585">
        <v>5642</v>
      </c>
    </row>
    <row r="592" spans="3:4" s="4" customFormat="1" x14ac:dyDescent="0.2">
      <c r="C592" s="935"/>
      <c r="D592" s="585">
        <v>5643</v>
      </c>
    </row>
    <row r="593" spans="3:4" s="4" customFormat="1" x14ac:dyDescent="0.2">
      <c r="C593" s="935"/>
      <c r="D593" s="585">
        <v>5644</v>
      </c>
    </row>
    <row r="594" spans="3:4" s="4" customFormat="1" x14ac:dyDescent="0.2">
      <c r="C594" s="935"/>
      <c r="D594" s="585">
        <v>5645</v>
      </c>
    </row>
    <row r="595" spans="3:4" s="4" customFormat="1" x14ac:dyDescent="0.2">
      <c r="C595" s="935"/>
      <c r="D595" s="585">
        <v>5651</v>
      </c>
    </row>
    <row r="596" spans="3:4" s="4" customFormat="1" x14ac:dyDescent="0.2">
      <c r="C596" s="935"/>
      <c r="D596" s="585">
        <v>5652</v>
      </c>
    </row>
    <row r="597" spans="3:4" s="4" customFormat="1" x14ac:dyDescent="0.2">
      <c r="C597" s="935"/>
      <c r="D597" s="585">
        <v>5653</v>
      </c>
    </row>
    <row r="598" spans="3:4" s="4" customFormat="1" x14ac:dyDescent="0.2">
      <c r="C598" s="935"/>
      <c r="D598" s="585">
        <v>5654</v>
      </c>
    </row>
    <row r="599" spans="3:4" s="4" customFormat="1" x14ac:dyDescent="0.2">
      <c r="C599" s="935"/>
      <c r="D599" s="585">
        <v>5657</v>
      </c>
    </row>
    <row r="600" spans="3:4" s="4" customFormat="1" x14ac:dyDescent="0.2">
      <c r="C600" s="935"/>
      <c r="D600" s="585">
        <v>5665</v>
      </c>
    </row>
    <row r="601" spans="3:4" s="4" customFormat="1" x14ac:dyDescent="0.2">
      <c r="C601" s="935"/>
      <c r="D601" s="585">
        <v>5681</v>
      </c>
    </row>
    <row r="602" spans="3:4" s="4" customFormat="1" x14ac:dyDescent="0.2">
      <c r="C602" s="935"/>
      <c r="D602" s="585">
        <v>5684</v>
      </c>
    </row>
    <row r="603" spans="3:4" s="4" customFormat="1" x14ac:dyDescent="0.2">
      <c r="C603" s="935"/>
      <c r="D603" s="585">
        <v>5701</v>
      </c>
    </row>
    <row r="604" spans="3:4" s="4" customFormat="1" x14ac:dyDescent="0.2">
      <c r="C604" s="935"/>
      <c r="D604" s="585">
        <v>5702</v>
      </c>
    </row>
    <row r="605" spans="3:4" s="4" customFormat="1" x14ac:dyDescent="0.2">
      <c r="C605" s="935"/>
      <c r="D605" s="585">
        <v>5703</v>
      </c>
    </row>
    <row r="606" spans="3:4" s="4" customFormat="1" x14ac:dyDescent="0.2">
      <c r="C606" s="935"/>
      <c r="D606" s="585">
        <v>5704</v>
      </c>
    </row>
    <row r="607" spans="3:4" s="4" customFormat="1" x14ac:dyDescent="0.2">
      <c r="C607" s="935"/>
      <c r="D607" s="585">
        <v>5705</v>
      </c>
    </row>
    <row r="608" spans="3:4" s="4" customFormat="1" x14ac:dyDescent="0.2">
      <c r="C608" s="935"/>
      <c r="D608" s="585">
        <v>5802</v>
      </c>
    </row>
    <row r="609" spans="3:4" s="4" customFormat="1" x14ac:dyDescent="0.2">
      <c r="C609" s="935"/>
      <c r="D609" s="585">
        <v>5843</v>
      </c>
    </row>
    <row r="610" spans="3:4" s="4" customFormat="1" x14ac:dyDescent="0.2">
      <c r="C610" s="935"/>
      <c r="D610" s="585">
        <v>5856</v>
      </c>
    </row>
    <row r="611" spans="3:4" s="4" customFormat="1" x14ac:dyDescent="0.2">
      <c r="C611" s="935"/>
      <c r="D611" s="585">
        <v>5911</v>
      </c>
    </row>
    <row r="612" spans="3:4" s="4" customFormat="1" x14ac:dyDescent="0.2">
      <c r="C612" s="935"/>
      <c r="D612" s="585">
        <v>5912</v>
      </c>
    </row>
    <row r="613" spans="3:4" s="4" customFormat="1" x14ac:dyDescent="0.2">
      <c r="C613" s="935"/>
      <c r="D613" s="585">
        <v>5914</v>
      </c>
    </row>
    <row r="614" spans="3:4" s="4" customFormat="1" x14ac:dyDescent="0.2">
      <c r="C614" s="935"/>
      <c r="D614" s="585">
        <v>5915</v>
      </c>
    </row>
    <row r="615" spans="3:4" s="4" customFormat="1" x14ac:dyDescent="0.2">
      <c r="C615" s="935"/>
      <c r="D615" s="585">
        <v>5921</v>
      </c>
    </row>
    <row r="616" spans="3:4" s="4" customFormat="1" x14ac:dyDescent="0.2">
      <c r="C616" s="935"/>
      <c r="D616" s="585">
        <v>5922</v>
      </c>
    </row>
    <row r="617" spans="3:4" s="4" customFormat="1" x14ac:dyDescent="0.2">
      <c r="C617" s="935"/>
      <c r="D617" s="585">
        <v>5923</v>
      </c>
    </row>
    <row r="618" spans="3:4" s="4" customFormat="1" x14ac:dyDescent="0.2">
      <c r="C618" s="935"/>
      <c r="D618" s="585">
        <v>5925</v>
      </c>
    </row>
    <row r="619" spans="3:4" s="4" customFormat="1" x14ac:dyDescent="0.2">
      <c r="C619" s="935"/>
      <c r="D619" s="585">
        <v>5932</v>
      </c>
    </row>
    <row r="620" spans="3:4" s="4" customFormat="1" x14ac:dyDescent="0.2">
      <c r="C620" s="935"/>
      <c r="D620" s="585">
        <v>5977</v>
      </c>
    </row>
    <row r="621" spans="3:4" s="4" customFormat="1" x14ac:dyDescent="0.2">
      <c r="C621" s="935"/>
      <c r="D621" s="585">
        <v>5984</v>
      </c>
    </row>
    <row r="622" spans="3:4" s="4" customFormat="1" x14ac:dyDescent="0.2">
      <c r="C622" s="935"/>
      <c r="D622" s="585">
        <v>6013</v>
      </c>
    </row>
    <row r="623" spans="3:4" s="4" customFormat="1" x14ac:dyDescent="0.2">
      <c r="C623" s="935"/>
      <c r="D623" s="585">
        <v>6042</v>
      </c>
    </row>
    <row r="624" spans="3:4" s="4" customFormat="1" x14ac:dyDescent="0.2">
      <c r="C624" s="935"/>
      <c r="D624" s="585">
        <v>6043</v>
      </c>
    </row>
    <row r="625" spans="3:4" s="4" customFormat="1" x14ac:dyDescent="0.2">
      <c r="C625" s="935"/>
      <c r="D625" s="585">
        <v>6044</v>
      </c>
    </row>
    <row r="626" spans="3:4" s="4" customFormat="1" x14ac:dyDescent="0.2">
      <c r="C626" s="935"/>
      <c r="D626" s="585">
        <v>6045</v>
      </c>
    </row>
    <row r="627" spans="3:4" s="4" customFormat="1" x14ac:dyDescent="0.2">
      <c r="C627" s="935"/>
      <c r="D627" s="585">
        <v>6101</v>
      </c>
    </row>
    <row r="628" spans="3:4" s="4" customFormat="1" x14ac:dyDescent="0.2">
      <c r="C628" s="935"/>
      <c r="D628" s="585">
        <v>6102</v>
      </c>
    </row>
    <row r="629" spans="3:4" s="4" customFormat="1" x14ac:dyDescent="0.2">
      <c r="C629" s="935"/>
      <c r="D629" s="585">
        <v>6105</v>
      </c>
    </row>
    <row r="630" spans="3:4" s="4" customFormat="1" x14ac:dyDescent="0.2">
      <c r="C630" s="935"/>
      <c r="D630" s="585">
        <v>6111</v>
      </c>
    </row>
    <row r="631" spans="3:4" s="4" customFormat="1" x14ac:dyDescent="0.2">
      <c r="C631" s="935"/>
      <c r="D631" s="585">
        <v>6116</v>
      </c>
    </row>
    <row r="632" spans="3:4" s="4" customFormat="1" x14ac:dyDescent="0.2">
      <c r="C632" s="935"/>
      <c r="D632" s="585">
        <v>6121</v>
      </c>
    </row>
    <row r="633" spans="3:4" s="4" customFormat="1" x14ac:dyDescent="0.2">
      <c r="C633" s="935"/>
      <c r="D633" s="585">
        <v>6123</v>
      </c>
    </row>
    <row r="634" spans="3:4" s="4" customFormat="1" x14ac:dyDescent="0.2">
      <c r="C634" s="935"/>
      <c r="D634" s="585">
        <v>6125</v>
      </c>
    </row>
    <row r="635" spans="3:4" s="4" customFormat="1" x14ac:dyDescent="0.2">
      <c r="C635" s="935"/>
      <c r="D635" s="585">
        <v>6132</v>
      </c>
    </row>
    <row r="636" spans="3:4" s="4" customFormat="1" x14ac:dyDescent="0.2">
      <c r="C636" s="935"/>
      <c r="D636" s="585">
        <v>6134</v>
      </c>
    </row>
    <row r="637" spans="3:4" s="4" customFormat="1" x14ac:dyDescent="0.2">
      <c r="C637" s="935"/>
      <c r="D637" s="585">
        <v>6135</v>
      </c>
    </row>
    <row r="638" spans="3:4" s="4" customFormat="1" x14ac:dyDescent="0.2">
      <c r="C638" s="935"/>
      <c r="D638" s="585">
        <v>6136</v>
      </c>
    </row>
    <row r="639" spans="3:4" s="4" customFormat="1" x14ac:dyDescent="0.2">
      <c r="C639" s="935"/>
      <c r="D639" s="585">
        <v>6137</v>
      </c>
    </row>
    <row r="640" spans="3:4" s="4" customFormat="1" x14ac:dyDescent="0.2">
      <c r="C640" s="935"/>
      <c r="D640" s="585">
        <v>6143</v>
      </c>
    </row>
    <row r="641" spans="3:4" s="4" customFormat="1" x14ac:dyDescent="0.2">
      <c r="C641" s="935"/>
      <c r="D641" s="585">
        <v>6161</v>
      </c>
    </row>
    <row r="642" spans="3:4" s="4" customFormat="1" x14ac:dyDescent="0.2">
      <c r="C642" s="935"/>
      <c r="D642" s="585">
        <v>6162</v>
      </c>
    </row>
    <row r="643" spans="3:4" s="4" customFormat="1" x14ac:dyDescent="0.2">
      <c r="C643" s="935"/>
      <c r="D643" s="585">
        <v>6163</v>
      </c>
    </row>
    <row r="644" spans="3:4" s="4" customFormat="1" x14ac:dyDescent="0.2">
      <c r="C644" s="935"/>
      <c r="D644" s="585">
        <v>6164</v>
      </c>
    </row>
    <row r="645" spans="3:4" s="4" customFormat="1" x14ac:dyDescent="0.2">
      <c r="C645" s="935"/>
      <c r="D645" s="585">
        <v>6165</v>
      </c>
    </row>
    <row r="646" spans="3:4" s="4" customFormat="1" x14ac:dyDescent="0.2">
      <c r="C646" s="935"/>
      <c r="D646" s="585">
        <v>6166</v>
      </c>
    </row>
    <row r="647" spans="3:4" s="4" customFormat="1" x14ac:dyDescent="0.2">
      <c r="C647" s="935"/>
      <c r="D647" s="585">
        <v>6211</v>
      </c>
    </row>
    <row r="648" spans="3:4" s="4" customFormat="1" x14ac:dyDescent="0.2">
      <c r="C648" s="935"/>
      <c r="D648" s="585">
        <v>6214</v>
      </c>
    </row>
    <row r="649" spans="3:4" s="4" customFormat="1" x14ac:dyDescent="0.2">
      <c r="C649" s="935"/>
      <c r="D649" s="585">
        <v>6215</v>
      </c>
    </row>
    <row r="650" spans="3:4" s="4" customFormat="1" x14ac:dyDescent="0.2">
      <c r="C650" s="935"/>
      <c r="D650" s="585">
        <v>6216</v>
      </c>
    </row>
    <row r="651" spans="3:4" s="4" customFormat="1" x14ac:dyDescent="0.2">
      <c r="C651" s="935"/>
      <c r="D651" s="585">
        <v>6217</v>
      </c>
    </row>
    <row r="652" spans="3:4" s="4" customFormat="1" x14ac:dyDescent="0.2">
      <c r="C652" s="935"/>
      <c r="D652" s="585">
        <v>6218</v>
      </c>
    </row>
    <row r="653" spans="3:4" s="4" customFormat="1" x14ac:dyDescent="0.2">
      <c r="C653" s="935"/>
      <c r="D653" s="585">
        <v>6219</v>
      </c>
    </row>
    <row r="654" spans="3:4" s="4" customFormat="1" x14ac:dyDescent="0.2">
      <c r="C654" s="935"/>
      <c r="D654" s="585">
        <v>6221</v>
      </c>
    </row>
    <row r="655" spans="3:4" s="4" customFormat="1" x14ac:dyDescent="0.2">
      <c r="C655" s="935"/>
      <c r="D655" s="585">
        <v>6222</v>
      </c>
    </row>
    <row r="656" spans="3:4" s="4" customFormat="1" x14ac:dyDescent="0.2">
      <c r="C656" s="935"/>
      <c r="D656" s="585">
        <v>6224</v>
      </c>
    </row>
    <row r="657" spans="3:4" s="4" customFormat="1" x14ac:dyDescent="0.2">
      <c r="C657" s="935"/>
      <c r="D657" s="585">
        <v>6227</v>
      </c>
    </row>
    <row r="658" spans="3:4" s="4" customFormat="1" x14ac:dyDescent="0.2">
      <c r="C658" s="935"/>
      <c r="D658" s="585">
        <v>6228</v>
      </c>
    </row>
    <row r="659" spans="3:4" s="4" customFormat="1" x14ac:dyDescent="0.2">
      <c r="C659" s="935"/>
      <c r="D659" s="585">
        <v>6255</v>
      </c>
    </row>
    <row r="660" spans="3:4" s="4" customFormat="1" x14ac:dyDescent="0.2">
      <c r="C660" s="935"/>
      <c r="D660" s="585">
        <v>6268</v>
      </c>
    </row>
    <row r="661" spans="3:4" s="4" customFormat="1" x14ac:dyDescent="0.2">
      <c r="C661" s="935"/>
      <c r="D661" s="585">
        <v>6271</v>
      </c>
    </row>
    <row r="662" spans="3:4" s="4" customFormat="1" x14ac:dyDescent="0.2">
      <c r="C662" s="935"/>
      <c r="D662" s="585">
        <v>6277</v>
      </c>
    </row>
    <row r="663" spans="3:4" s="4" customFormat="1" x14ac:dyDescent="0.2">
      <c r="C663" s="935"/>
      <c r="D663" s="585">
        <v>6291</v>
      </c>
    </row>
    <row r="664" spans="3:4" s="4" customFormat="1" x14ac:dyDescent="0.2">
      <c r="C664" s="935"/>
      <c r="D664" s="585">
        <v>6301</v>
      </c>
    </row>
    <row r="665" spans="3:4" s="4" customFormat="1" x14ac:dyDescent="0.2">
      <c r="C665" s="935"/>
      <c r="D665" s="585">
        <v>6361</v>
      </c>
    </row>
    <row r="666" spans="3:4" s="4" customFormat="1" x14ac:dyDescent="0.2">
      <c r="C666" s="935"/>
      <c r="D666" s="585">
        <v>6371</v>
      </c>
    </row>
    <row r="667" spans="3:4" s="4" customFormat="1" x14ac:dyDescent="0.2">
      <c r="C667" s="935"/>
      <c r="D667" s="585">
        <v>6372</v>
      </c>
    </row>
    <row r="668" spans="3:4" s="4" customFormat="1" x14ac:dyDescent="0.2">
      <c r="C668" s="935"/>
      <c r="D668" s="585">
        <v>6373</v>
      </c>
    </row>
    <row r="669" spans="3:4" s="4" customFormat="1" x14ac:dyDescent="0.2">
      <c r="C669" s="935"/>
      <c r="D669" s="585">
        <v>6411</v>
      </c>
    </row>
    <row r="670" spans="3:4" s="4" customFormat="1" x14ac:dyDescent="0.2">
      <c r="C670" s="935"/>
      <c r="D670" s="585">
        <v>6412</v>
      </c>
    </row>
    <row r="671" spans="3:4" s="4" customFormat="1" x14ac:dyDescent="0.2">
      <c r="C671" s="935"/>
      <c r="D671" s="585">
        <v>6413</v>
      </c>
    </row>
    <row r="672" spans="3:4" s="4" customFormat="1" x14ac:dyDescent="0.2">
      <c r="C672" s="935"/>
      <c r="D672" s="585">
        <v>6414</v>
      </c>
    </row>
    <row r="673" spans="3:4" s="4" customFormat="1" x14ac:dyDescent="0.2">
      <c r="C673" s="935"/>
      <c r="D673" s="585">
        <v>6415</v>
      </c>
    </row>
    <row r="674" spans="3:4" s="4" customFormat="1" x14ac:dyDescent="0.2">
      <c r="C674" s="935"/>
      <c r="D674" s="585">
        <v>6416</v>
      </c>
    </row>
    <row r="675" spans="3:4" s="4" customFormat="1" x14ac:dyDescent="0.2">
      <c r="C675" s="935"/>
      <c r="D675" s="585">
        <v>6418</v>
      </c>
    </row>
    <row r="676" spans="3:4" s="4" customFormat="1" x14ac:dyDescent="0.2">
      <c r="C676" s="935"/>
      <c r="D676" s="585">
        <v>6431</v>
      </c>
    </row>
    <row r="677" spans="3:4" s="4" customFormat="1" x14ac:dyDescent="0.2">
      <c r="C677" s="935"/>
      <c r="D677" s="585">
        <v>6432</v>
      </c>
    </row>
    <row r="678" spans="3:4" s="4" customFormat="1" x14ac:dyDescent="0.2">
      <c r="C678" s="935"/>
      <c r="D678" s="585">
        <v>6433</v>
      </c>
    </row>
    <row r="679" spans="3:4" s="4" customFormat="1" x14ac:dyDescent="0.2">
      <c r="C679" s="935"/>
      <c r="D679" s="585">
        <v>6439</v>
      </c>
    </row>
    <row r="680" spans="3:4" s="4" customFormat="1" x14ac:dyDescent="0.2">
      <c r="C680" s="935"/>
      <c r="D680" s="585">
        <v>6441</v>
      </c>
    </row>
    <row r="681" spans="3:4" s="4" customFormat="1" x14ac:dyDescent="0.2">
      <c r="C681" s="935"/>
      <c r="D681" s="585">
        <v>6442</v>
      </c>
    </row>
    <row r="682" spans="3:4" s="4" customFormat="1" x14ac:dyDescent="0.2">
      <c r="C682" s="935"/>
      <c r="D682" s="585">
        <v>6443</v>
      </c>
    </row>
    <row r="683" spans="3:4" s="4" customFormat="1" x14ac:dyDescent="0.2">
      <c r="C683" s="935"/>
      <c r="D683" s="585">
        <v>6446</v>
      </c>
    </row>
    <row r="684" spans="3:4" s="4" customFormat="1" x14ac:dyDescent="0.2">
      <c r="C684" s="935"/>
      <c r="D684" s="585">
        <v>6451</v>
      </c>
    </row>
    <row r="685" spans="3:4" s="4" customFormat="1" x14ac:dyDescent="0.2">
      <c r="C685" s="935"/>
      <c r="D685" s="585">
        <v>6461</v>
      </c>
    </row>
    <row r="686" spans="3:4" s="4" customFormat="1" x14ac:dyDescent="0.2">
      <c r="C686" s="935"/>
      <c r="D686" s="585">
        <v>6462</v>
      </c>
    </row>
    <row r="687" spans="3:4" s="4" customFormat="1" x14ac:dyDescent="0.2">
      <c r="C687" s="935"/>
      <c r="D687" s="585">
        <v>6463</v>
      </c>
    </row>
    <row r="688" spans="3:4" s="4" customFormat="1" x14ac:dyDescent="0.2">
      <c r="C688" s="935"/>
      <c r="D688" s="585">
        <v>6464</v>
      </c>
    </row>
    <row r="689" spans="3:4" s="4" customFormat="1" x14ac:dyDescent="0.2">
      <c r="C689" s="935"/>
      <c r="D689" s="585">
        <v>6465</v>
      </c>
    </row>
    <row r="690" spans="3:4" s="4" customFormat="1" x14ac:dyDescent="0.2">
      <c r="C690" s="935"/>
      <c r="D690" s="585">
        <v>6466</v>
      </c>
    </row>
    <row r="691" spans="3:4" s="4" customFormat="1" x14ac:dyDescent="0.2">
      <c r="C691" s="935"/>
      <c r="D691" s="585">
        <v>6468</v>
      </c>
    </row>
    <row r="692" spans="3:4" s="4" customFormat="1" x14ac:dyDescent="0.2">
      <c r="C692" s="935"/>
      <c r="D692" s="585">
        <v>6469</v>
      </c>
    </row>
    <row r="693" spans="3:4" s="4" customFormat="1" x14ac:dyDescent="0.2">
      <c r="C693" s="935"/>
      <c r="D693" s="585">
        <v>6471</v>
      </c>
    </row>
    <row r="694" spans="3:4" s="4" customFormat="1" x14ac:dyDescent="0.2">
      <c r="C694" s="935"/>
      <c r="D694" s="585">
        <v>6511</v>
      </c>
    </row>
    <row r="695" spans="3:4" s="4" customFormat="1" x14ac:dyDescent="0.2">
      <c r="C695" s="935"/>
      <c r="D695" s="585">
        <v>6512</v>
      </c>
    </row>
    <row r="696" spans="3:4" s="4" customFormat="1" x14ac:dyDescent="0.2">
      <c r="C696" s="935"/>
      <c r="D696" s="585">
        <v>6521</v>
      </c>
    </row>
    <row r="697" spans="3:4" s="4" customFormat="1" x14ac:dyDescent="0.2">
      <c r="C697" s="935"/>
      <c r="D697" s="585">
        <v>6523</v>
      </c>
    </row>
    <row r="698" spans="3:4" s="4" customFormat="1" x14ac:dyDescent="0.2">
      <c r="C698" s="935"/>
      <c r="D698" s="585">
        <v>6531</v>
      </c>
    </row>
    <row r="699" spans="3:4" s="4" customFormat="1" x14ac:dyDescent="0.2">
      <c r="C699" s="935"/>
      <c r="D699" s="585">
        <v>6532</v>
      </c>
    </row>
    <row r="700" spans="3:4" s="4" customFormat="1" x14ac:dyDescent="0.2">
      <c r="C700" s="935"/>
      <c r="D700" s="585">
        <v>6533</v>
      </c>
    </row>
    <row r="701" spans="3:4" s="4" customFormat="1" x14ac:dyDescent="0.2">
      <c r="C701" s="935"/>
      <c r="D701" s="585">
        <v>6534</v>
      </c>
    </row>
    <row r="702" spans="3:4" s="4" customFormat="1" x14ac:dyDescent="0.2">
      <c r="C702" s="935"/>
      <c r="D702" s="585">
        <v>6535</v>
      </c>
    </row>
    <row r="703" spans="3:4" s="4" customFormat="1" x14ac:dyDescent="0.2">
      <c r="C703" s="935"/>
      <c r="D703" s="585">
        <v>6537</v>
      </c>
    </row>
    <row r="704" spans="3:4" s="4" customFormat="1" x14ac:dyDescent="0.2">
      <c r="C704" s="935"/>
      <c r="D704" s="585">
        <v>6538</v>
      </c>
    </row>
    <row r="705" spans="3:4" s="4" customFormat="1" x14ac:dyDescent="0.2">
      <c r="C705" s="935"/>
      <c r="D705" s="585">
        <v>6541</v>
      </c>
    </row>
    <row r="706" spans="3:4" s="4" customFormat="1" x14ac:dyDescent="0.2">
      <c r="C706" s="935"/>
      <c r="D706" s="585">
        <v>6542</v>
      </c>
    </row>
    <row r="707" spans="3:4" s="4" customFormat="1" x14ac:dyDescent="0.2">
      <c r="C707" s="935"/>
      <c r="D707" s="585">
        <v>6543</v>
      </c>
    </row>
    <row r="708" spans="3:4" s="4" customFormat="1" x14ac:dyDescent="0.2">
      <c r="C708" s="935"/>
      <c r="D708" s="585">
        <v>6544</v>
      </c>
    </row>
    <row r="709" spans="3:4" s="4" customFormat="1" x14ac:dyDescent="0.2">
      <c r="C709" s="935"/>
      <c r="D709" s="585">
        <v>6545</v>
      </c>
    </row>
    <row r="710" spans="3:4" s="4" customFormat="1" x14ac:dyDescent="0.2">
      <c r="C710" s="935"/>
      <c r="D710" s="585">
        <v>6546</v>
      </c>
    </row>
    <row r="711" spans="3:4" s="4" customFormat="1" x14ac:dyDescent="0.2">
      <c r="C711" s="935"/>
      <c r="D711" s="585">
        <v>6561</v>
      </c>
    </row>
    <row r="712" spans="3:4" s="4" customFormat="1" x14ac:dyDescent="0.2">
      <c r="C712" s="935"/>
      <c r="D712" s="585">
        <v>6574</v>
      </c>
    </row>
    <row r="713" spans="3:4" s="4" customFormat="1" x14ac:dyDescent="0.2">
      <c r="C713" s="935"/>
      <c r="D713" s="585">
        <v>6579</v>
      </c>
    </row>
    <row r="714" spans="3:4" s="4" customFormat="1" x14ac:dyDescent="0.2">
      <c r="C714" s="935"/>
      <c r="D714" s="585">
        <v>6601</v>
      </c>
    </row>
    <row r="715" spans="3:4" s="4" customFormat="1" x14ac:dyDescent="0.2">
      <c r="C715" s="935"/>
      <c r="D715" s="585">
        <v>6628</v>
      </c>
    </row>
    <row r="716" spans="3:4" s="4" customFormat="1" x14ac:dyDescent="0.2">
      <c r="C716" s="935"/>
      <c r="D716" s="585">
        <v>6677</v>
      </c>
    </row>
    <row r="717" spans="3:4" s="4" customFormat="1" x14ac:dyDescent="0.2">
      <c r="C717" s="935"/>
      <c r="D717" s="585">
        <v>6701</v>
      </c>
    </row>
    <row r="718" spans="3:4" s="4" customFormat="1" x14ac:dyDescent="0.2">
      <c r="C718" s="935"/>
      <c r="D718" s="585">
        <v>6702</v>
      </c>
    </row>
    <row r="719" spans="3:4" s="4" customFormat="1" x14ac:dyDescent="0.2">
      <c r="C719" s="935"/>
      <c r="D719" s="585">
        <v>6706</v>
      </c>
    </row>
    <row r="720" spans="3:4" s="4" customFormat="1" x14ac:dyDescent="0.2">
      <c r="C720" s="935"/>
      <c r="D720" s="585">
        <v>6707</v>
      </c>
    </row>
    <row r="721" spans="3:4" s="4" customFormat="1" x14ac:dyDescent="0.2">
      <c r="C721" s="935"/>
      <c r="D721" s="585">
        <v>6709</v>
      </c>
    </row>
    <row r="722" spans="3:4" s="4" customFormat="1" x14ac:dyDescent="0.2">
      <c r="C722" s="935"/>
      <c r="D722" s="585">
        <v>6714</v>
      </c>
    </row>
    <row r="723" spans="3:4" s="4" customFormat="1" x14ac:dyDescent="0.2">
      <c r="C723" s="935"/>
      <c r="D723" s="585">
        <v>6717</v>
      </c>
    </row>
    <row r="724" spans="3:4" s="4" customFormat="1" x14ac:dyDescent="0.2">
      <c r="C724" s="935"/>
      <c r="D724" s="585">
        <v>6811</v>
      </c>
    </row>
    <row r="725" spans="3:4" s="4" customFormat="1" x14ac:dyDescent="0.2">
      <c r="C725" s="935"/>
      <c r="D725" s="585">
        <v>6821</v>
      </c>
    </row>
    <row r="726" spans="3:4" s="4" customFormat="1" x14ac:dyDescent="0.2">
      <c r="C726" s="935"/>
      <c r="D726" s="585">
        <v>6822</v>
      </c>
    </row>
    <row r="727" spans="3:4" s="4" customFormat="1" x14ac:dyDescent="0.2">
      <c r="C727" s="935"/>
      <c r="D727" s="585">
        <v>6823</v>
      </c>
    </row>
    <row r="728" spans="3:4" s="4" customFormat="1" x14ac:dyDescent="0.2">
      <c r="C728" s="935"/>
      <c r="D728" s="585">
        <v>6826</v>
      </c>
    </row>
    <row r="729" spans="3:4" s="4" customFormat="1" x14ac:dyDescent="0.2">
      <c r="C729" s="935"/>
      <c r="D729" s="585">
        <v>6827</v>
      </c>
    </row>
    <row r="730" spans="3:4" s="4" customFormat="1" x14ac:dyDescent="0.2">
      <c r="C730" s="935"/>
      <c r="D730" s="585">
        <v>6828</v>
      </c>
    </row>
    <row r="731" spans="3:4" s="4" customFormat="1" x14ac:dyDescent="0.2">
      <c r="C731" s="935"/>
      <c r="D731" s="585">
        <v>6831</v>
      </c>
    </row>
    <row r="732" spans="3:4" s="4" customFormat="1" x14ac:dyDescent="0.2">
      <c r="C732" s="935"/>
      <c r="D732" s="585">
        <v>6832</v>
      </c>
    </row>
    <row r="733" spans="3:4" s="4" customFormat="1" x14ac:dyDescent="0.2">
      <c r="C733" s="935"/>
      <c r="D733" s="585">
        <v>6833</v>
      </c>
    </row>
    <row r="734" spans="3:4" s="4" customFormat="1" x14ac:dyDescent="0.2">
      <c r="C734" s="935"/>
      <c r="D734" s="585">
        <v>6834</v>
      </c>
    </row>
    <row r="735" spans="3:4" s="4" customFormat="1" x14ac:dyDescent="0.2">
      <c r="C735" s="935"/>
      <c r="D735" s="585">
        <v>6841</v>
      </c>
    </row>
    <row r="736" spans="3:4" s="4" customFormat="1" x14ac:dyDescent="0.2">
      <c r="C736" s="935"/>
      <c r="D736" s="585">
        <v>6844</v>
      </c>
    </row>
    <row r="737" spans="3:4" s="4" customFormat="1" x14ac:dyDescent="0.2">
      <c r="C737" s="935"/>
      <c r="D737" s="585">
        <v>6845</v>
      </c>
    </row>
    <row r="738" spans="3:4" s="4" customFormat="1" x14ac:dyDescent="0.2">
      <c r="C738" s="935"/>
      <c r="D738" s="585">
        <v>6882</v>
      </c>
    </row>
    <row r="739" spans="3:4" s="4" customFormat="1" x14ac:dyDescent="0.2">
      <c r="C739" s="935"/>
      <c r="D739" s="585">
        <v>6915</v>
      </c>
    </row>
    <row r="740" spans="3:4" s="4" customFormat="1" x14ac:dyDescent="0.2">
      <c r="C740" s="935"/>
      <c r="D740" s="585">
        <v>6917</v>
      </c>
    </row>
    <row r="741" spans="3:4" s="4" customFormat="1" x14ac:dyDescent="0.2">
      <c r="C741" s="935"/>
      <c r="D741" s="585">
        <v>6951</v>
      </c>
    </row>
    <row r="742" spans="3:4" s="4" customFormat="1" x14ac:dyDescent="0.2">
      <c r="C742" s="935"/>
      <c r="D742" s="585">
        <v>6975</v>
      </c>
    </row>
    <row r="743" spans="3:4" s="4" customFormat="1" x14ac:dyDescent="0.2">
      <c r="C743" s="935"/>
      <c r="D743" s="585">
        <v>6981</v>
      </c>
    </row>
    <row r="744" spans="3:4" s="4" customFormat="1" x14ac:dyDescent="0.2">
      <c r="C744" s="935"/>
      <c r="D744" s="585">
        <v>6982</v>
      </c>
    </row>
    <row r="745" spans="3:4" s="4" customFormat="1" x14ac:dyDescent="0.2">
      <c r="C745" s="935"/>
      <c r="D745" s="585">
        <v>7002</v>
      </c>
    </row>
    <row r="746" spans="3:4" s="4" customFormat="1" x14ac:dyDescent="0.2">
      <c r="C746" s="935"/>
      <c r="D746" s="585">
        <v>7008</v>
      </c>
    </row>
    <row r="747" spans="3:4" s="4" customFormat="1" x14ac:dyDescent="0.2">
      <c r="C747" s="935"/>
      <c r="D747" s="585">
        <v>7009</v>
      </c>
    </row>
    <row r="748" spans="3:4" s="4" customFormat="1" x14ac:dyDescent="0.2">
      <c r="C748" s="935"/>
      <c r="D748" s="585">
        <v>7036</v>
      </c>
    </row>
    <row r="749" spans="3:4" s="4" customFormat="1" x14ac:dyDescent="0.2">
      <c r="C749" s="935"/>
      <c r="D749" s="585">
        <v>7041</v>
      </c>
    </row>
    <row r="750" spans="3:4" s="4" customFormat="1" x14ac:dyDescent="0.2">
      <c r="C750" s="935"/>
      <c r="D750" s="585">
        <v>7044</v>
      </c>
    </row>
    <row r="751" spans="3:4" s="4" customFormat="1" x14ac:dyDescent="0.2">
      <c r="C751" s="935"/>
      <c r="D751" s="585">
        <v>7081</v>
      </c>
    </row>
    <row r="752" spans="3:4" s="4" customFormat="1" x14ac:dyDescent="0.2">
      <c r="C752" s="935"/>
      <c r="D752" s="585">
        <v>7113</v>
      </c>
    </row>
    <row r="753" spans="3:4" s="4" customFormat="1" x14ac:dyDescent="0.2">
      <c r="C753" s="935"/>
      <c r="D753" s="585">
        <v>7142</v>
      </c>
    </row>
    <row r="754" spans="3:4" s="4" customFormat="1" x14ac:dyDescent="0.2">
      <c r="C754" s="935"/>
      <c r="D754" s="585">
        <v>7202</v>
      </c>
    </row>
    <row r="755" spans="3:4" s="4" customFormat="1" x14ac:dyDescent="0.2">
      <c r="C755" s="935"/>
      <c r="D755" s="585">
        <v>7203</v>
      </c>
    </row>
    <row r="756" spans="3:4" s="4" customFormat="1" x14ac:dyDescent="0.2">
      <c r="C756" s="935"/>
      <c r="D756" s="585">
        <v>7204</v>
      </c>
    </row>
    <row r="757" spans="3:4" s="4" customFormat="1" x14ac:dyDescent="0.2">
      <c r="C757" s="935"/>
      <c r="D757" s="585">
        <v>7206</v>
      </c>
    </row>
    <row r="758" spans="3:4" s="4" customFormat="1" x14ac:dyDescent="0.2">
      <c r="C758" s="935"/>
      <c r="D758" s="585">
        <v>7216</v>
      </c>
    </row>
    <row r="759" spans="3:4" s="4" customFormat="1" x14ac:dyDescent="0.2">
      <c r="C759" s="935"/>
      <c r="D759" s="585">
        <v>7218</v>
      </c>
    </row>
    <row r="760" spans="3:4" s="4" customFormat="1" x14ac:dyDescent="0.2">
      <c r="C760" s="935"/>
      <c r="D760" s="585">
        <v>7226</v>
      </c>
    </row>
    <row r="761" spans="3:4" s="4" customFormat="1" x14ac:dyDescent="0.2">
      <c r="C761" s="935"/>
      <c r="D761" s="585">
        <v>7312</v>
      </c>
    </row>
    <row r="762" spans="3:4" s="4" customFormat="1" x14ac:dyDescent="0.2">
      <c r="C762" s="935"/>
      <c r="D762" s="585">
        <v>7323</v>
      </c>
    </row>
    <row r="763" spans="3:4" s="4" customFormat="1" x14ac:dyDescent="0.2">
      <c r="C763" s="935"/>
      <c r="D763" s="585">
        <v>7329</v>
      </c>
    </row>
    <row r="764" spans="3:4" s="4" customFormat="1" x14ac:dyDescent="0.2">
      <c r="C764" s="935"/>
      <c r="D764" s="585">
        <v>7331</v>
      </c>
    </row>
    <row r="765" spans="3:4" s="4" customFormat="1" x14ac:dyDescent="0.2">
      <c r="C765" s="935"/>
      <c r="D765" s="585">
        <v>7332</v>
      </c>
    </row>
    <row r="766" spans="3:4" s="4" customFormat="1" x14ac:dyDescent="0.2">
      <c r="C766" s="935"/>
      <c r="D766" s="585">
        <v>7413</v>
      </c>
    </row>
    <row r="767" spans="3:4" s="4" customFormat="1" x14ac:dyDescent="0.2">
      <c r="C767" s="935"/>
      <c r="D767" s="585">
        <v>7415</v>
      </c>
    </row>
    <row r="768" spans="3:4" s="4" customFormat="1" x14ac:dyDescent="0.2">
      <c r="C768" s="935"/>
      <c r="D768" s="585">
        <v>7416</v>
      </c>
    </row>
    <row r="769" spans="3:4" s="4" customFormat="1" x14ac:dyDescent="0.2">
      <c r="C769" s="935"/>
      <c r="D769" s="585">
        <v>7417</v>
      </c>
    </row>
    <row r="770" spans="3:4" s="4" customFormat="1" x14ac:dyDescent="0.2">
      <c r="C770" s="935"/>
      <c r="D770" s="585">
        <v>7418</v>
      </c>
    </row>
    <row r="771" spans="3:4" s="4" customFormat="1" x14ac:dyDescent="0.2">
      <c r="C771" s="935"/>
      <c r="D771" s="585">
        <v>7466</v>
      </c>
    </row>
    <row r="772" spans="3:4" s="4" customFormat="1" x14ac:dyDescent="0.2">
      <c r="C772" s="935"/>
      <c r="D772" s="585">
        <v>7467</v>
      </c>
    </row>
    <row r="773" spans="3:4" s="4" customFormat="1" x14ac:dyDescent="0.2">
      <c r="C773" s="935"/>
      <c r="D773" s="585">
        <v>7495</v>
      </c>
    </row>
    <row r="774" spans="3:4" s="4" customFormat="1" x14ac:dyDescent="0.2">
      <c r="C774" s="935"/>
      <c r="D774" s="585">
        <v>7511</v>
      </c>
    </row>
    <row r="775" spans="3:4" s="4" customFormat="1" x14ac:dyDescent="0.2">
      <c r="C775" s="935"/>
      <c r="D775" s="585">
        <v>7512</v>
      </c>
    </row>
    <row r="776" spans="3:4" s="4" customFormat="1" x14ac:dyDescent="0.2">
      <c r="C776" s="935"/>
      <c r="D776" s="585">
        <v>7513</v>
      </c>
    </row>
    <row r="777" spans="3:4" s="4" customFormat="1" x14ac:dyDescent="0.2">
      <c r="C777" s="935"/>
      <c r="D777" s="585">
        <v>7514</v>
      </c>
    </row>
    <row r="778" spans="3:4" s="4" customFormat="1" x14ac:dyDescent="0.2">
      <c r="C778" s="935"/>
      <c r="D778" s="585">
        <v>7521</v>
      </c>
    </row>
    <row r="779" spans="3:4" s="4" customFormat="1" x14ac:dyDescent="0.2">
      <c r="C779" s="935"/>
      <c r="D779" s="585">
        <v>7523</v>
      </c>
    </row>
    <row r="780" spans="3:4" s="4" customFormat="1" x14ac:dyDescent="0.2">
      <c r="C780" s="935"/>
      <c r="D780" s="585">
        <v>7525</v>
      </c>
    </row>
    <row r="781" spans="3:4" s="4" customFormat="1" x14ac:dyDescent="0.2">
      <c r="C781" s="935"/>
      <c r="D781" s="585">
        <v>7531</v>
      </c>
    </row>
    <row r="782" spans="3:4" s="4" customFormat="1" x14ac:dyDescent="0.2">
      <c r="C782" s="935"/>
      <c r="D782" s="585">
        <v>7532</v>
      </c>
    </row>
    <row r="783" spans="3:4" s="4" customFormat="1" x14ac:dyDescent="0.2">
      <c r="C783" s="935"/>
      <c r="D783" s="585">
        <v>7533</v>
      </c>
    </row>
    <row r="784" spans="3:4" s="4" customFormat="1" x14ac:dyDescent="0.2">
      <c r="C784" s="935"/>
      <c r="D784" s="585">
        <v>7541</v>
      </c>
    </row>
    <row r="785" spans="3:4" s="4" customFormat="1" x14ac:dyDescent="0.2">
      <c r="C785" s="935"/>
      <c r="D785" s="585">
        <v>7542</v>
      </c>
    </row>
    <row r="786" spans="3:4" s="4" customFormat="1" x14ac:dyDescent="0.2">
      <c r="C786" s="935"/>
      <c r="D786" s="585">
        <v>7543</v>
      </c>
    </row>
    <row r="787" spans="3:4" s="4" customFormat="1" x14ac:dyDescent="0.2">
      <c r="C787" s="935"/>
      <c r="D787" s="585">
        <v>7544</v>
      </c>
    </row>
    <row r="788" spans="3:4" s="4" customFormat="1" x14ac:dyDescent="0.2">
      <c r="C788" s="935"/>
      <c r="D788" s="585">
        <v>7545</v>
      </c>
    </row>
    <row r="789" spans="3:4" s="4" customFormat="1" x14ac:dyDescent="0.2">
      <c r="C789" s="935"/>
      <c r="D789" s="585">
        <v>7547</v>
      </c>
    </row>
    <row r="790" spans="3:4" s="4" customFormat="1" x14ac:dyDescent="0.2">
      <c r="C790" s="935"/>
      <c r="D790" s="585">
        <v>7552</v>
      </c>
    </row>
    <row r="791" spans="3:4" s="4" customFormat="1" x14ac:dyDescent="0.2">
      <c r="C791" s="935"/>
      <c r="D791" s="585">
        <v>7553</v>
      </c>
    </row>
    <row r="792" spans="3:4" s="4" customFormat="1" x14ac:dyDescent="0.2">
      <c r="C792" s="935"/>
      <c r="D792" s="585">
        <v>7556</v>
      </c>
    </row>
    <row r="793" spans="3:4" s="4" customFormat="1" x14ac:dyDescent="0.2">
      <c r="C793" s="935"/>
      <c r="D793" s="585">
        <v>7557</v>
      </c>
    </row>
    <row r="794" spans="3:4" s="4" customFormat="1" x14ac:dyDescent="0.2">
      <c r="C794" s="935"/>
      <c r="D794" s="585">
        <v>7571</v>
      </c>
    </row>
    <row r="795" spans="3:4" s="4" customFormat="1" x14ac:dyDescent="0.2">
      <c r="C795" s="935"/>
      <c r="D795" s="585">
        <v>7572</v>
      </c>
    </row>
    <row r="796" spans="3:4" s="4" customFormat="1" x14ac:dyDescent="0.2">
      <c r="C796" s="935"/>
      <c r="D796" s="585">
        <v>7574</v>
      </c>
    </row>
    <row r="797" spans="3:4" s="4" customFormat="1" x14ac:dyDescent="0.2">
      <c r="C797" s="935"/>
      <c r="D797" s="585">
        <v>7576</v>
      </c>
    </row>
    <row r="798" spans="3:4" s="4" customFormat="1" x14ac:dyDescent="0.2">
      <c r="C798" s="935"/>
      <c r="D798" s="585">
        <v>7586</v>
      </c>
    </row>
    <row r="799" spans="3:4" s="4" customFormat="1" x14ac:dyDescent="0.2">
      <c r="C799" s="935"/>
      <c r="D799" s="585">
        <v>7601</v>
      </c>
    </row>
    <row r="800" spans="3:4" s="4" customFormat="1" x14ac:dyDescent="0.2">
      <c r="C800" s="935"/>
      <c r="D800" s="585">
        <v>7603</v>
      </c>
    </row>
    <row r="801" spans="3:4" s="4" customFormat="1" x14ac:dyDescent="0.2">
      <c r="C801" s="935"/>
      <c r="D801" s="585">
        <v>7604</v>
      </c>
    </row>
    <row r="802" spans="3:4" s="4" customFormat="1" x14ac:dyDescent="0.2">
      <c r="C802" s="935"/>
      <c r="D802" s="585">
        <v>7605</v>
      </c>
    </row>
    <row r="803" spans="3:4" s="4" customFormat="1" x14ac:dyDescent="0.2">
      <c r="C803" s="935"/>
      <c r="D803" s="585">
        <v>7606</v>
      </c>
    </row>
    <row r="804" spans="3:4" s="4" customFormat="1" x14ac:dyDescent="0.2">
      <c r="C804" s="935"/>
      <c r="D804" s="585">
        <v>7608</v>
      </c>
    </row>
    <row r="805" spans="3:4" s="4" customFormat="1" x14ac:dyDescent="0.2">
      <c r="C805" s="935"/>
      <c r="D805" s="585">
        <v>7636</v>
      </c>
    </row>
    <row r="806" spans="3:4" s="4" customFormat="1" x14ac:dyDescent="0.2">
      <c r="C806" s="935"/>
      <c r="D806" s="585">
        <v>7637</v>
      </c>
    </row>
    <row r="807" spans="3:4" s="4" customFormat="1" x14ac:dyDescent="0.2">
      <c r="C807" s="935"/>
      <c r="D807" s="585">
        <v>7663</v>
      </c>
    </row>
    <row r="808" spans="3:4" s="4" customFormat="1" x14ac:dyDescent="0.2">
      <c r="C808" s="935"/>
      <c r="D808" s="585">
        <v>7676</v>
      </c>
    </row>
    <row r="809" spans="3:4" s="4" customFormat="1" x14ac:dyDescent="0.2">
      <c r="C809" s="935"/>
      <c r="D809" s="585">
        <v>7734</v>
      </c>
    </row>
    <row r="810" spans="3:4" s="4" customFormat="1" x14ac:dyDescent="0.2">
      <c r="C810" s="935"/>
      <c r="D810" s="585">
        <v>7738</v>
      </c>
    </row>
    <row r="811" spans="3:4" s="4" customFormat="1" x14ac:dyDescent="0.2">
      <c r="C811" s="935"/>
      <c r="D811" s="585">
        <v>7741</v>
      </c>
    </row>
    <row r="812" spans="3:4" s="4" customFormat="1" x14ac:dyDescent="0.2">
      <c r="C812" s="935"/>
      <c r="D812" s="585">
        <v>7756</v>
      </c>
    </row>
    <row r="813" spans="3:4" s="4" customFormat="1" x14ac:dyDescent="0.2">
      <c r="C813" s="935"/>
      <c r="D813" s="585">
        <v>7766</v>
      </c>
    </row>
    <row r="814" spans="3:4" s="4" customFormat="1" x14ac:dyDescent="0.2">
      <c r="C814" s="935"/>
      <c r="D814" s="585">
        <v>7793</v>
      </c>
    </row>
    <row r="815" spans="3:4" s="4" customFormat="1" x14ac:dyDescent="0.2">
      <c r="C815" s="935"/>
      <c r="D815" s="585">
        <v>7794</v>
      </c>
    </row>
    <row r="816" spans="3:4" s="4" customFormat="1" x14ac:dyDescent="0.2">
      <c r="C816" s="935"/>
      <c r="D816" s="585">
        <v>7796</v>
      </c>
    </row>
    <row r="817" spans="3:4" s="4" customFormat="1" x14ac:dyDescent="0.2">
      <c r="C817" s="935"/>
      <c r="D817" s="585">
        <v>7797</v>
      </c>
    </row>
    <row r="818" spans="3:4" s="4" customFormat="1" x14ac:dyDescent="0.2">
      <c r="C818" s="935"/>
      <c r="D818" s="585">
        <v>7798</v>
      </c>
    </row>
    <row r="819" spans="3:4" s="4" customFormat="1" x14ac:dyDescent="0.2">
      <c r="C819" s="935"/>
      <c r="D819" s="585">
        <v>7812</v>
      </c>
    </row>
    <row r="820" spans="3:4" s="4" customFormat="1" x14ac:dyDescent="0.2">
      <c r="C820" s="935"/>
      <c r="D820" s="585">
        <v>7814</v>
      </c>
    </row>
    <row r="821" spans="3:4" s="4" customFormat="1" x14ac:dyDescent="0.2">
      <c r="C821" s="935"/>
      <c r="D821" s="585">
        <v>7815</v>
      </c>
    </row>
    <row r="822" spans="3:4" s="4" customFormat="1" x14ac:dyDescent="0.2">
      <c r="C822" s="935"/>
      <c r="D822" s="585">
        <v>7823</v>
      </c>
    </row>
    <row r="823" spans="3:4" s="4" customFormat="1" x14ac:dyDescent="0.2">
      <c r="C823" s="935"/>
      <c r="D823" s="585">
        <v>7824</v>
      </c>
    </row>
    <row r="824" spans="3:4" s="4" customFormat="1" x14ac:dyDescent="0.2">
      <c r="C824" s="935"/>
      <c r="D824" s="585">
        <v>7831</v>
      </c>
    </row>
    <row r="825" spans="3:4" s="4" customFormat="1" x14ac:dyDescent="0.2">
      <c r="C825" s="935"/>
      <c r="D825" s="585">
        <v>7843</v>
      </c>
    </row>
    <row r="826" spans="3:4" s="4" customFormat="1" x14ac:dyDescent="0.2">
      <c r="C826" s="935"/>
      <c r="D826" s="585">
        <v>7844</v>
      </c>
    </row>
    <row r="827" spans="3:4" s="4" customFormat="1" x14ac:dyDescent="0.2">
      <c r="C827" s="935"/>
      <c r="D827" s="585">
        <v>7845</v>
      </c>
    </row>
    <row r="828" spans="3:4" s="4" customFormat="1" x14ac:dyDescent="0.2">
      <c r="C828" s="935"/>
      <c r="D828" s="585">
        <v>7847</v>
      </c>
    </row>
    <row r="829" spans="3:4" s="4" customFormat="1" x14ac:dyDescent="0.2">
      <c r="C829" s="935"/>
      <c r="D829" s="585">
        <v>7876</v>
      </c>
    </row>
    <row r="830" spans="3:4" s="4" customFormat="1" x14ac:dyDescent="0.2">
      <c r="C830" s="935"/>
      <c r="D830" s="585">
        <v>7881</v>
      </c>
    </row>
    <row r="831" spans="3:4" s="4" customFormat="1" x14ac:dyDescent="0.2">
      <c r="C831" s="935"/>
      <c r="D831" s="585">
        <v>7885</v>
      </c>
    </row>
    <row r="832" spans="3:4" s="4" customFormat="1" x14ac:dyDescent="0.2">
      <c r="C832" s="935"/>
      <c r="D832" s="585">
        <v>7894</v>
      </c>
    </row>
    <row r="833" spans="3:4" s="4" customFormat="1" x14ac:dyDescent="0.2">
      <c r="C833" s="935"/>
      <c r="D833" s="585">
        <v>7902</v>
      </c>
    </row>
    <row r="834" spans="3:4" s="4" customFormat="1" x14ac:dyDescent="0.2">
      <c r="C834" s="935"/>
      <c r="D834" s="585">
        <v>7904</v>
      </c>
    </row>
    <row r="835" spans="3:4" s="4" customFormat="1" x14ac:dyDescent="0.2">
      <c r="C835" s="935"/>
      <c r="D835" s="585">
        <v>7905</v>
      </c>
    </row>
    <row r="836" spans="3:4" s="4" customFormat="1" x14ac:dyDescent="0.2">
      <c r="C836" s="935"/>
      <c r="D836" s="585">
        <v>7906</v>
      </c>
    </row>
    <row r="837" spans="3:4" s="4" customFormat="1" x14ac:dyDescent="0.2">
      <c r="C837" s="935"/>
      <c r="D837" s="585">
        <v>7909</v>
      </c>
    </row>
    <row r="838" spans="3:4" s="4" customFormat="1" x14ac:dyDescent="0.2">
      <c r="C838" s="935"/>
      <c r="D838" s="585">
        <v>7912</v>
      </c>
    </row>
    <row r="839" spans="3:4" s="4" customFormat="1" x14ac:dyDescent="0.2">
      <c r="C839" s="935"/>
      <c r="D839" s="585">
        <v>7916</v>
      </c>
    </row>
    <row r="840" spans="3:4" s="4" customFormat="1" x14ac:dyDescent="0.2">
      <c r="C840" s="935"/>
      <c r="D840" s="585">
        <v>7917</v>
      </c>
    </row>
    <row r="841" spans="3:4" s="4" customFormat="1" x14ac:dyDescent="0.2">
      <c r="C841" s="935"/>
      <c r="D841" s="585">
        <v>7925</v>
      </c>
    </row>
    <row r="842" spans="3:4" s="4" customFormat="1" x14ac:dyDescent="0.2">
      <c r="C842" s="935"/>
      <c r="D842" s="585">
        <v>7927</v>
      </c>
    </row>
    <row r="843" spans="3:4" s="4" customFormat="1" x14ac:dyDescent="0.2">
      <c r="C843" s="935"/>
      <c r="D843" s="585">
        <v>7932</v>
      </c>
    </row>
    <row r="844" spans="3:4" s="4" customFormat="1" x14ac:dyDescent="0.2">
      <c r="C844" s="935"/>
      <c r="D844" s="585">
        <v>7942</v>
      </c>
    </row>
    <row r="845" spans="3:4" s="4" customFormat="1" x14ac:dyDescent="0.2">
      <c r="C845" s="935"/>
      <c r="D845" s="585">
        <v>7964</v>
      </c>
    </row>
    <row r="846" spans="3:4" s="4" customFormat="1" x14ac:dyDescent="0.2">
      <c r="C846" s="935"/>
      <c r="D846" s="585">
        <v>7974</v>
      </c>
    </row>
    <row r="847" spans="3:4" s="4" customFormat="1" x14ac:dyDescent="0.2">
      <c r="C847" s="935"/>
      <c r="D847" s="585">
        <v>7983</v>
      </c>
    </row>
    <row r="848" spans="3:4" s="4" customFormat="1" x14ac:dyDescent="0.2">
      <c r="C848" s="935"/>
      <c r="D848" s="585">
        <v>8012</v>
      </c>
    </row>
    <row r="849" spans="3:4" s="4" customFormat="1" x14ac:dyDescent="0.2">
      <c r="C849" s="935"/>
      <c r="D849" s="585">
        <v>8021</v>
      </c>
    </row>
    <row r="850" spans="3:4" s="4" customFormat="1" x14ac:dyDescent="0.2">
      <c r="C850" s="935"/>
      <c r="D850" s="585">
        <v>8022</v>
      </c>
    </row>
    <row r="851" spans="3:4" s="4" customFormat="1" x14ac:dyDescent="0.2">
      <c r="C851" s="935"/>
      <c r="D851" s="585">
        <v>8025</v>
      </c>
    </row>
    <row r="852" spans="3:4" s="4" customFormat="1" x14ac:dyDescent="0.2">
      <c r="C852" s="935"/>
      <c r="D852" s="585">
        <v>8028</v>
      </c>
    </row>
    <row r="853" spans="3:4" s="4" customFormat="1" x14ac:dyDescent="0.2">
      <c r="C853" s="935"/>
      <c r="D853" s="585">
        <v>8031</v>
      </c>
    </row>
    <row r="854" spans="3:4" s="4" customFormat="1" x14ac:dyDescent="0.2">
      <c r="C854" s="935"/>
      <c r="D854" s="585">
        <v>8032</v>
      </c>
    </row>
    <row r="855" spans="3:4" s="4" customFormat="1" x14ac:dyDescent="0.2">
      <c r="C855" s="935"/>
      <c r="D855" s="585">
        <v>8033</v>
      </c>
    </row>
    <row r="856" spans="3:4" s="4" customFormat="1" x14ac:dyDescent="0.2">
      <c r="C856" s="935"/>
      <c r="D856" s="585">
        <v>8035</v>
      </c>
    </row>
    <row r="857" spans="3:4" s="4" customFormat="1" x14ac:dyDescent="0.2">
      <c r="C857" s="935"/>
      <c r="D857" s="585">
        <v>8076</v>
      </c>
    </row>
    <row r="858" spans="3:4" s="4" customFormat="1" x14ac:dyDescent="0.2">
      <c r="C858" s="935"/>
      <c r="D858" s="585">
        <v>8146</v>
      </c>
    </row>
    <row r="859" spans="3:4" s="4" customFormat="1" x14ac:dyDescent="0.2">
      <c r="C859" s="935"/>
      <c r="D859" s="585">
        <v>8167</v>
      </c>
    </row>
    <row r="860" spans="3:4" s="4" customFormat="1" x14ac:dyDescent="0.2">
      <c r="C860" s="935"/>
      <c r="D860" s="585">
        <v>8218</v>
      </c>
    </row>
    <row r="861" spans="3:4" s="4" customFormat="1" x14ac:dyDescent="0.2">
      <c r="C861" s="935"/>
      <c r="D861" s="585">
        <v>8223</v>
      </c>
    </row>
    <row r="862" spans="3:4" s="4" customFormat="1" x14ac:dyDescent="0.2">
      <c r="C862" s="935"/>
      <c r="D862" s="585">
        <v>8224</v>
      </c>
    </row>
    <row r="863" spans="3:4" s="4" customFormat="1" x14ac:dyDescent="0.2">
      <c r="C863" s="935"/>
      <c r="D863" s="585">
        <v>8225</v>
      </c>
    </row>
    <row r="864" spans="3:4" s="4" customFormat="1" x14ac:dyDescent="0.2">
      <c r="C864" s="935"/>
      <c r="D864" s="585">
        <v>8226</v>
      </c>
    </row>
    <row r="865" spans="3:4" s="4" customFormat="1" x14ac:dyDescent="0.2">
      <c r="C865" s="935"/>
      <c r="D865" s="585">
        <v>8231</v>
      </c>
    </row>
    <row r="866" spans="3:4" s="4" customFormat="1" x14ac:dyDescent="0.2">
      <c r="C866" s="935"/>
      <c r="D866" s="585">
        <v>8232</v>
      </c>
    </row>
    <row r="867" spans="3:4" s="4" customFormat="1" x14ac:dyDescent="0.2">
      <c r="C867" s="935"/>
      <c r="D867" s="585">
        <v>8243</v>
      </c>
    </row>
    <row r="868" spans="3:4" s="4" customFormat="1" x14ac:dyDescent="0.2">
      <c r="C868" s="935"/>
      <c r="D868" s="585">
        <v>8261</v>
      </c>
    </row>
    <row r="869" spans="3:4" s="4" customFormat="1" x14ac:dyDescent="0.2">
      <c r="C869" s="935"/>
      <c r="D869" s="585">
        <v>8262</v>
      </c>
    </row>
    <row r="870" spans="3:4" s="4" customFormat="1" x14ac:dyDescent="0.2">
      <c r="C870" s="935"/>
      <c r="D870" s="585">
        <v>8263</v>
      </c>
    </row>
    <row r="871" spans="3:4" s="4" customFormat="1" x14ac:dyDescent="0.2">
      <c r="C871" s="935"/>
      <c r="D871" s="585">
        <v>8303</v>
      </c>
    </row>
    <row r="872" spans="3:4" s="4" customFormat="1" x14ac:dyDescent="0.2">
      <c r="C872" s="935"/>
      <c r="D872" s="585">
        <v>8307</v>
      </c>
    </row>
    <row r="873" spans="3:4" s="4" customFormat="1" x14ac:dyDescent="0.2">
      <c r="C873" s="935"/>
      <c r="D873" s="585">
        <v>8308</v>
      </c>
    </row>
    <row r="874" spans="3:4" s="4" customFormat="1" x14ac:dyDescent="0.2">
      <c r="C874" s="935"/>
      <c r="D874" s="585">
        <v>8311</v>
      </c>
    </row>
    <row r="875" spans="3:4" s="4" customFormat="1" x14ac:dyDescent="0.2">
      <c r="C875" s="935"/>
      <c r="D875" s="585">
        <v>8312</v>
      </c>
    </row>
    <row r="876" spans="3:4" s="4" customFormat="1" x14ac:dyDescent="0.2">
      <c r="C876" s="935"/>
      <c r="D876" s="585">
        <v>8313</v>
      </c>
    </row>
    <row r="877" spans="3:4" s="4" customFormat="1" x14ac:dyDescent="0.2">
      <c r="C877" s="935"/>
      <c r="D877" s="585">
        <v>8314</v>
      </c>
    </row>
    <row r="878" spans="3:4" s="4" customFormat="1" x14ac:dyDescent="0.2">
      <c r="C878" s="935"/>
      <c r="D878" s="585">
        <v>8315</v>
      </c>
    </row>
    <row r="879" spans="3:4" s="4" customFormat="1" x14ac:dyDescent="0.2">
      <c r="C879" s="935"/>
      <c r="D879" s="585">
        <v>8331</v>
      </c>
    </row>
    <row r="880" spans="3:4" s="4" customFormat="1" x14ac:dyDescent="0.2">
      <c r="C880" s="935"/>
      <c r="D880" s="585">
        <v>8341</v>
      </c>
    </row>
    <row r="881" spans="3:4" s="4" customFormat="1" x14ac:dyDescent="0.2">
      <c r="C881" s="935"/>
      <c r="D881" s="585">
        <v>8343</v>
      </c>
    </row>
    <row r="882" spans="3:4" s="4" customFormat="1" x14ac:dyDescent="0.2">
      <c r="C882" s="935"/>
      <c r="D882" s="585">
        <v>8346</v>
      </c>
    </row>
    <row r="883" spans="3:4" s="4" customFormat="1" x14ac:dyDescent="0.2">
      <c r="C883" s="935"/>
      <c r="D883" s="585">
        <v>8347</v>
      </c>
    </row>
    <row r="884" spans="3:4" s="4" customFormat="1" x14ac:dyDescent="0.2">
      <c r="C884" s="935"/>
      <c r="D884" s="585">
        <v>8351</v>
      </c>
    </row>
    <row r="885" spans="3:4" s="4" customFormat="1" x14ac:dyDescent="0.2">
      <c r="C885" s="935"/>
      <c r="D885" s="585">
        <v>8363</v>
      </c>
    </row>
    <row r="886" spans="3:4" s="4" customFormat="1" x14ac:dyDescent="0.2">
      <c r="C886" s="935"/>
      <c r="D886" s="585">
        <v>8373</v>
      </c>
    </row>
    <row r="887" spans="3:4" s="4" customFormat="1" x14ac:dyDescent="0.2">
      <c r="C887" s="935"/>
      <c r="D887" s="585">
        <v>8374</v>
      </c>
    </row>
    <row r="888" spans="3:4" s="4" customFormat="1" x14ac:dyDescent="0.2">
      <c r="C888" s="935"/>
      <c r="D888" s="585">
        <v>8378</v>
      </c>
    </row>
    <row r="889" spans="3:4" s="4" customFormat="1" x14ac:dyDescent="0.2">
      <c r="C889" s="935"/>
      <c r="D889" s="585">
        <v>8382</v>
      </c>
    </row>
    <row r="890" spans="3:4" s="4" customFormat="1" x14ac:dyDescent="0.2">
      <c r="C890" s="935"/>
      <c r="D890" s="585">
        <v>8383</v>
      </c>
    </row>
    <row r="891" spans="3:4" s="4" customFormat="1" x14ac:dyDescent="0.2">
      <c r="C891" s="935"/>
      <c r="D891" s="585">
        <v>8385</v>
      </c>
    </row>
    <row r="892" spans="3:4" s="4" customFormat="1" x14ac:dyDescent="0.2">
      <c r="C892" s="935"/>
      <c r="D892" s="585">
        <v>8389</v>
      </c>
    </row>
    <row r="893" spans="3:4" s="4" customFormat="1" x14ac:dyDescent="0.2">
      <c r="C893" s="935"/>
      <c r="D893" s="585">
        <v>8391</v>
      </c>
    </row>
    <row r="894" spans="3:4" s="4" customFormat="1" x14ac:dyDescent="0.2">
      <c r="C894" s="935"/>
      <c r="D894" s="585">
        <v>8394</v>
      </c>
    </row>
    <row r="895" spans="3:4" s="4" customFormat="1" x14ac:dyDescent="0.2">
      <c r="C895" s="935"/>
      <c r="D895" s="585">
        <v>8395</v>
      </c>
    </row>
    <row r="896" spans="3:4" s="4" customFormat="1" x14ac:dyDescent="0.2">
      <c r="C896" s="935"/>
      <c r="D896" s="585">
        <v>8406</v>
      </c>
    </row>
    <row r="897" spans="3:4" s="4" customFormat="1" x14ac:dyDescent="0.2">
      <c r="C897" s="935"/>
      <c r="D897" s="585">
        <v>8408</v>
      </c>
    </row>
    <row r="898" spans="3:4" s="4" customFormat="1" x14ac:dyDescent="0.2">
      <c r="C898" s="935"/>
      <c r="D898" s="585">
        <v>8422</v>
      </c>
    </row>
    <row r="899" spans="3:4" s="4" customFormat="1" x14ac:dyDescent="0.2">
      <c r="C899" s="935"/>
      <c r="D899" s="585">
        <v>8423</v>
      </c>
    </row>
    <row r="900" spans="3:4" s="4" customFormat="1" x14ac:dyDescent="0.2">
      <c r="C900" s="935"/>
      <c r="D900" s="585">
        <v>8428</v>
      </c>
    </row>
    <row r="901" spans="3:4" s="4" customFormat="1" x14ac:dyDescent="0.2">
      <c r="C901" s="935"/>
      <c r="D901" s="585">
        <v>8432</v>
      </c>
    </row>
    <row r="902" spans="3:4" s="4" customFormat="1" x14ac:dyDescent="0.2">
      <c r="C902" s="935"/>
      <c r="D902" s="585">
        <v>8434</v>
      </c>
    </row>
    <row r="903" spans="3:4" s="4" customFormat="1" x14ac:dyDescent="0.2">
      <c r="C903" s="935"/>
      <c r="D903" s="585">
        <v>8437</v>
      </c>
    </row>
    <row r="904" spans="3:4" s="4" customFormat="1" x14ac:dyDescent="0.2">
      <c r="C904" s="935"/>
      <c r="D904" s="585">
        <v>8442</v>
      </c>
    </row>
    <row r="905" spans="3:4" s="4" customFormat="1" x14ac:dyDescent="0.2">
      <c r="C905" s="935"/>
      <c r="D905" s="585">
        <v>8451</v>
      </c>
    </row>
    <row r="906" spans="3:4" s="4" customFormat="1" x14ac:dyDescent="0.2">
      <c r="C906" s="935"/>
      <c r="D906" s="585">
        <v>8457</v>
      </c>
    </row>
    <row r="907" spans="3:4" s="4" customFormat="1" x14ac:dyDescent="0.2">
      <c r="C907" s="935"/>
      <c r="D907" s="585">
        <v>8459</v>
      </c>
    </row>
    <row r="908" spans="3:4" s="4" customFormat="1" x14ac:dyDescent="0.2">
      <c r="C908" s="935"/>
      <c r="D908" s="585">
        <v>8463</v>
      </c>
    </row>
    <row r="909" spans="3:4" s="4" customFormat="1" x14ac:dyDescent="0.2">
      <c r="C909" s="935"/>
      <c r="D909" s="585">
        <v>8467</v>
      </c>
    </row>
    <row r="910" spans="3:4" s="4" customFormat="1" x14ac:dyDescent="0.2">
      <c r="C910" s="935"/>
      <c r="D910" s="585">
        <v>8472</v>
      </c>
    </row>
    <row r="911" spans="3:4" s="4" customFormat="1" x14ac:dyDescent="0.2">
      <c r="C911" s="935"/>
      <c r="D911" s="585">
        <v>8475</v>
      </c>
    </row>
    <row r="912" spans="3:4" s="4" customFormat="1" x14ac:dyDescent="0.2">
      <c r="C912" s="935"/>
      <c r="D912" s="585">
        <v>8479</v>
      </c>
    </row>
    <row r="913" spans="3:4" s="4" customFormat="1" x14ac:dyDescent="0.2">
      <c r="C913" s="935"/>
      <c r="D913" s="585">
        <v>8483</v>
      </c>
    </row>
    <row r="914" spans="3:4" s="4" customFormat="1" x14ac:dyDescent="0.2">
      <c r="C914" s="935"/>
      <c r="D914" s="585">
        <v>8485</v>
      </c>
    </row>
    <row r="915" spans="3:4" s="4" customFormat="1" x14ac:dyDescent="0.2">
      <c r="C915" s="935"/>
      <c r="D915" s="585">
        <v>8486</v>
      </c>
    </row>
    <row r="916" spans="3:4" s="4" customFormat="1" x14ac:dyDescent="0.2">
      <c r="C916" s="935"/>
      <c r="D916" s="585">
        <v>8508</v>
      </c>
    </row>
    <row r="917" spans="3:4" s="4" customFormat="1" x14ac:dyDescent="0.2">
      <c r="C917" s="935"/>
      <c r="D917" s="585">
        <v>8511</v>
      </c>
    </row>
    <row r="918" spans="3:4" s="4" customFormat="1" x14ac:dyDescent="0.2">
      <c r="C918" s="935"/>
      <c r="D918" s="585">
        <v>8513</v>
      </c>
    </row>
    <row r="919" spans="3:4" s="4" customFormat="1" x14ac:dyDescent="0.2">
      <c r="C919" s="935"/>
      <c r="D919" s="585">
        <v>8522</v>
      </c>
    </row>
    <row r="920" spans="3:4" s="4" customFormat="1" x14ac:dyDescent="0.2">
      <c r="C920" s="935"/>
      <c r="D920" s="585">
        <v>8531</v>
      </c>
    </row>
    <row r="921" spans="3:4" s="4" customFormat="1" x14ac:dyDescent="0.2">
      <c r="C921" s="935"/>
      <c r="D921" s="585">
        <v>8539</v>
      </c>
    </row>
    <row r="922" spans="3:4" s="4" customFormat="1" x14ac:dyDescent="0.2">
      <c r="C922" s="935"/>
      <c r="D922" s="585">
        <v>8565</v>
      </c>
    </row>
    <row r="923" spans="3:4" s="4" customFormat="1" x14ac:dyDescent="0.2">
      <c r="C923" s="935"/>
      <c r="D923" s="585">
        <v>8584</v>
      </c>
    </row>
    <row r="924" spans="3:4" s="4" customFormat="1" x14ac:dyDescent="0.2">
      <c r="C924" s="935"/>
      <c r="D924" s="585">
        <v>8602</v>
      </c>
    </row>
    <row r="925" spans="3:4" s="4" customFormat="1" x14ac:dyDescent="0.2">
      <c r="C925" s="935"/>
      <c r="D925" s="585">
        <v>8606</v>
      </c>
    </row>
    <row r="926" spans="3:4" s="4" customFormat="1" x14ac:dyDescent="0.2">
      <c r="C926" s="935"/>
      <c r="D926" s="585">
        <v>8607</v>
      </c>
    </row>
    <row r="927" spans="3:4" s="4" customFormat="1" x14ac:dyDescent="0.2">
      <c r="C927" s="935"/>
      <c r="D927" s="585">
        <v>8608</v>
      </c>
    </row>
    <row r="928" spans="3:4" s="4" customFormat="1" x14ac:dyDescent="0.2">
      <c r="C928" s="935"/>
      <c r="D928" s="585">
        <v>8611</v>
      </c>
    </row>
    <row r="929" spans="3:4" s="4" customFormat="1" x14ac:dyDescent="0.2">
      <c r="C929" s="935"/>
      <c r="D929" s="585">
        <v>8614</v>
      </c>
    </row>
    <row r="930" spans="3:4" s="4" customFormat="1" x14ac:dyDescent="0.2">
      <c r="C930" s="935"/>
      <c r="D930" s="585">
        <v>8615</v>
      </c>
    </row>
    <row r="931" spans="3:4" s="4" customFormat="1" x14ac:dyDescent="0.2">
      <c r="C931" s="935"/>
      <c r="D931" s="585">
        <v>8627</v>
      </c>
    </row>
    <row r="932" spans="3:4" s="4" customFormat="1" x14ac:dyDescent="0.2">
      <c r="C932" s="935"/>
      <c r="D932" s="585">
        <v>8628</v>
      </c>
    </row>
    <row r="933" spans="3:4" s="4" customFormat="1" x14ac:dyDescent="0.2">
      <c r="C933" s="935"/>
      <c r="D933" s="585">
        <v>8635</v>
      </c>
    </row>
    <row r="934" spans="3:4" s="4" customFormat="1" x14ac:dyDescent="0.2">
      <c r="C934" s="935"/>
      <c r="D934" s="585">
        <v>8637</v>
      </c>
    </row>
    <row r="935" spans="3:4" s="4" customFormat="1" x14ac:dyDescent="0.2">
      <c r="C935" s="935"/>
      <c r="D935" s="585">
        <v>8647</v>
      </c>
    </row>
    <row r="936" spans="3:4" s="4" customFormat="1" x14ac:dyDescent="0.2">
      <c r="C936" s="935"/>
      <c r="D936" s="585">
        <v>8711</v>
      </c>
    </row>
    <row r="937" spans="3:4" s="4" customFormat="1" x14ac:dyDescent="0.2">
      <c r="C937" s="935"/>
      <c r="D937" s="585">
        <v>8713</v>
      </c>
    </row>
    <row r="938" spans="3:4" s="4" customFormat="1" x14ac:dyDescent="0.2">
      <c r="C938" s="935"/>
      <c r="D938" s="585">
        <v>8715</v>
      </c>
    </row>
    <row r="939" spans="3:4" s="4" customFormat="1" x14ac:dyDescent="0.2">
      <c r="C939" s="935"/>
      <c r="D939" s="585">
        <v>8721</v>
      </c>
    </row>
    <row r="940" spans="3:4" s="4" customFormat="1" x14ac:dyDescent="0.2">
      <c r="C940" s="935"/>
      <c r="D940" s="585">
        <v>8724</v>
      </c>
    </row>
    <row r="941" spans="3:4" s="4" customFormat="1" x14ac:dyDescent="0.2">
      <c r="C941" s="935"/>
      <c r="D941" s="585">
        <v>8735</v>
      </c>
    </row>
    <row r="942" spans="3:4" s="4" customFormat="1" x14ac:dyDescent="0.2">
      <c r="C942" s="935"/>
      <c r="D942" s="585">
        <v>8736</v>
      </c>
    </row>
    <row r="943" spans="3:4" s="4" customFormat="1" x14ac:dyDescent="0.2">
      <c r="C943" s="935"/>
      <c r="D943" s="585">
        <v>8742</v>
      </c>
    </row>
    <row r="944" spans="3:4" s="4" customFormat="1" x14ac:dyDescent="0.2">
      <c r="C944" s="935"/>
      <c r="D944" s="585">
        <v>8748</v>
      </c>
    </row>
    <row r="945" spans="3:4" s="4" customFormat="1" x14ac:dyDescent="0.2">
      <c r="C945" s="935"/>
      <c r="D945" s="585">
        <v>8751</v>
      </c>
    </row>
    <row r="946" spans="3:4" s="4" customFormat="1" x14ac:dyDescent="0.2">
      <c r="C946" s="935"/>
      <c r="D946" s="585">
        <v>8757</v>
      </c>
    </row>
    <row r="947" spans="3:4" s="4" customFormat="1" x14ac:dyDescent="0.2">
      <c r="C947" s="935"/>
      <c r="D947" s="585">
        <v>8759</v>
      </c>
    </row>
    <row r="948" spans="3:4" s="4" customFormat="1" x14ac:dyDescent="0.2">
      <c r="C948" s="935"/>
      <c r="D948" s="585">
        <v>8761</v>
      </c>
    </row>
    <row r="949" spans="3:4" s="4" customFormat="1" x14ac:dyDescent="0.2">
      <c r="C949" s="935"/>
      <c r="D949" s="585">
        <v>8765</v>
      </c>
    </row>
    <row r="950" spans="3:4" s="4" customFormat="1" x14ac:dyDescent="0.2">
      <c r="C950" s="935"/>
      <c r="D950" s="585">
        <v>8802</v>
      </c>
    </row>
    <row r="951" spans="3:4" s="4" customFormat="1" x14ac:dyDescent="0.2">
      <c r="C951" s="935"/>
      <c r="D951" s="585">
        <v>8804</v>
      </c>
    </row>
    <row r="952" spans="3:4" s="4" customFormat="1" x14ac:dyDescent="0.2">
      <c r="C952" s="935"/>
      <c r="D952" s="585">
        <v>8806</v>
      </c>
    </row>
    <row r="953" spans="3:4" s="4" customFormat="1" x14ac:dyDescent="0.2">
      <c r="C953" s="935"/>
      <c r="D953" s="585">
        <v>8807</v>
      </c>
    </row>
    <row r="954" spans="3:4" s="4" customFormat="1" x14ac:dyDescent="0.2">
      <c r="C954" s="935"/>
      <c r="D954" s="585">
        <v>8808</v>
      </c>
    </row>
    <row r="955" spans="3:4" s="4" customFormat="1" x14ac:dyDescent="0.2">
      <c r="C955" s="935"/>
      <c r="D955" s="585">
        <v>8812</v>
      </c>
    </row>
    <row r="956" spans="3:4" s="4" customFormat="1" x14ac:dyDescent="0.2">
      <c r="C956" s="935"/>
      <c r="D956" s="585">
        <v>8854</v>
      </c>
    </row>
    <row r="957" spans="3:4" s="4" customFormat="1" x14ac:dyDescent="0.2">
      <c r="C957" s="935"/>
      <c r="D957" s="585">
        <v>8861</v>
      </c>
    </row>
    <row r="958" spans="3:4" s="4" customFormat="1" x14ac:dyDescent="0.2">
      <c r="C958" s="935"/>
      <c r="D958" s="585">
        <v>8862</v>
      </c>
    </row>
    <row r="959" spans="3:4" s="4" customFormat="1" x14ac:dyDescent="0.2">
      <c r="C959" s="935"/>
      <c r="D959" s="585">
        <v>8891</v>
      </c>
    </row>
    <row r="960" spans="3:4" s="4" customFormat="1" x14ac:dyDescent="0.2">
      <c r="C960" s="935"/>
      <c r="D960" s="585">
        <v>8895</v>
      </c>
    </row>
    <row r="961" spans="3:4" s="4" customFormat="1" x14ac:dyDescent="0.2">
      <c r="C961" s="935"/>
      <c r="D961" s="585">
        <v>8896</v>
      </c>
    </row>
    <row r="962" spans="3:4" s="4" customFormat="1" x14ac:dyDescent="0.2">
      <c r="C962" s="935"/>
      <c r="D962" s="585">
        <v>8911</v>
      </c>
    </row>
    <row r="963" spans="3:4" s="4" customFormat="1" x14ac:dyDescent="0.2">
      <c r="C963" s="935"/>
      <c r="D963" s="585">
        <v>8915</v>
      </c>
    </row>
    <row r="964" spans="3:4" s="4" customFormat="1" x14ac:dyDescent="0.2">
      <c r="C964" s="935"/>
      <c r="D964" s="585">
        <v>8917</v>
      </c>
    </row>
    <row r="965" spans="3:4" s="4" customFormat="1" x14ac:dyDescent="0.2">
      <c r="C965" s="935"/>
      <c r="D965" s="585">
        <v>8918</v>
      </c>
    </row>
    <row r="966" spans="3:4" s="4" customFormat="1" x14ac:dyDescent="0.2">
      <c r="C966" s="935"/>
      <c r="D966" s="585">
        <v>8921</v>
      </c>
    </row>
    <row r="967" spans="3:4" s="4" customFormat="1" x14ac:dyDescent="0.2">
      <c r="C967" s="935"/>
      <c r="D967" s="585">
        <v>8922</v>
      </c>
    </row>
    <row r="968" spans="3:4" s="4" customFormat="1" x14ac:dyDescent="0.2">
      <c r="C968" s="935"/>
      <c r="D968" s="585">
        <v>8923</v>
      </c>
    </row>
    <row r="969" spans="3:4" s="4" customFormat="1" x14ac:dyDescent="0.2">
      <c r="C969" s="935"/>
      <c r="D969" s="585">
        <v>8924</v>
      </c>
    </row>
    <row r="970" spans="3:4" s="4" customFormat="1" x14ac:dyDescent="0.2">
      <c r="C970" s="935"/>
      <c r="D970" s="585">
        <v>8926</v>
      </c>
    </row>
    <row r="971" spans="3:4" s="4" customFormat="1" x14ac:dyDescent="0.2">
      <c r="C971" s="935"/>
      <c r="D971" s="585">
        <v>8931</v>
      </c>
    </row>
    <row r="972" spans="3:4" s="4" customFormat="1" x14ac:dyDescent="0.2">
      <c r="C972" s="935"/>
      <c r="D972" s="585">
        <v>8932</v>
      </c>
    </row>
    <row r="973" spans="3:4" s="4" customFormat="1" x14ac:dyDescent="0.2">
      <c r="C973" s="935"/>
      <c r="D973" s="585">
        <v>8933</v>
      </c>
    </row>
    <row r="974" spans="3:4" s="4" customFormat="1" x14ac:dyDescent="0.2">
      <c r="C974" s="935"/>
      <c r="D974" s="585">
        <v>8936</v>
      </c>
    </row>
    <row r="975" spans="3:4" s="4" customFormat="1" x14ac:dyDescent="0.2">
      <c r="C975" s="935"/>
      <c r="D975" s="585">
        <v>8937</v>
      </c>
    </row>
    <row r="976" spans="3:4" s="4" customFormat="1" x14ac:dyDescent="0.2">
      <c r="C976" s="935"/>
      <c r="D976" s="585">
        <v>9014</v>
      </c>
    </row>
    <row r="977" spans="3:4" s="4" customFormat="1" x14ac:dyDescent="0.2">
      <c r="C977" s="935"/>
      <c r="D977" s="585">
        <v>9021</v>
      </c>
    </row>
    <row r="978" spans="3:4" s="4" customFormat="1" x14ac:dyDescent="0.2">
      <c r="C978" s="935"/>
      <c r="D978" s="585">
        <v>9054</v>
      </c>
    </row>
    <row r="979" spans="3:4" s="4" customFormat="1" x14ac:dyDescent="0.2">
      <c r="C979" s="935"/>
      <c r="D979" s="585">
        <v>9055</v>
      </c>
    </row>
    <row r="980" spans="3:4" s="4" customFormat="1" x14ac:dyDescent="0.2">
      <c r="C980" s="935"/>
      <c r="D980" s="585">
        <v>9063</v>
      </c>
    </row>
    <row r="981" spans="3:4" s="4" customFormat="1" x14ac:dyDescent="0.2">
      <c r="C981" s="935"/>
      <c r="D981" s="585">
        <v>9071</v>
      </c>
    </row>
    <row r="982" spans="3:4" s="4" customFormat="1" x14ac:dyDescent="0.2">
      <c r="C982" s="935"/>
      <c r="D982" s="585">
        <v>9074</v>
      </c>
    </row>
    <row r="983" spans="3:4" s="4" customFormat="1" x14ac:dyDescent="0.2">
      <c r="C983" s="935"/>
      <c r="D983" s="585">
        <v>9075</v>
      </c>
    </row>
    <row r="984" spans="3:4" s="4" customFormat="1" x14ac:dyDescent="0.2">
      <c r="C984" s="935"/>
      <c r="D984" s="585">
        <v>9078</v>
      </c>
    </row>
    <row r="985" spans="3:4" s="4" customFormat="1" x14ac:dyDescent="0.2">
      <c r="C985" s="935"/>
      <c r="D985" s="585">
        <v>9079</v>
      </c>
    </row>
    <row r="986" spans="3:4" s="4" customFormat="1" x14ac:dyDescent="0.2">
      <c r="C986" s="935"/>
      <c r="D986" s="585">
        <v>9089</v>
      </c>
    </row>
    <row r="987" spans="3:4" s="4" customFormat="1" x14ac:dyDescent="0.2">
      <c r="C987" s="935"/>
      <c r="D987" s="585">
        <v>9108</v>
      </c>
    </row>
    <row r="988" spans="3:4" s="4" customFormat="1" x14ac:dyDescent="0.2">
      <c r="C988" s="935"/>
      <c r="D988" s="585">
        <v>9112</v>
      </c>
    </row>
    <row r="989" spans="3:4" s="4" customFormat="1" x14ac:dyDescent="0.2">
      <c r="C989" s="935"/>
      <c r="D989" s="585">
        <v>9132</v>
      </c>
    </row>
    <row r="990" spans="3:4" s="4" customFormat="1" x14ac:dyDescent="0.2">
      <c r="C990" s="935"/>
      <c r="D990" s="585">
        <v>9134</v>
      </c>
    </row>
    <row r="991" spans="3:4" s="4" customFormat="1" x14ac:dyDescent="0.2">
      <c r="C991" s="935"/>
      <c r="D991" s="585">
        <v>9135</v>
      </c>
    </row>
    <row r="992" spans="3:4" s="4" customFormat="1" x14ac:dyDescent="0.2">
      <c r="C992" s="935"/>
      <c r="D992" s="585">
        <v>9138</v>
      </c>
    </row>
    <row r="993" spans="3:4" s="4" customFormat="1" x14ac:dyDescent="0.2">
      <c r="C993" s="935"/>
      <c r="D993" s="585">
        <v>9141</v>
      </c>
    </row>
    <row r="994" spans="3:4" s="4" customFormat="1" x14ac:dyDescent="0.2">
      <c r="C994" s="935"/>
      <c r="D994" s="585">
        <v>9142</v>
      </c>
    </row>
    <row r="995" spans="3:4" s="4" customFormat="1" x14ac:dyDescent="0.2">
      <c r="C995" s="935"/>
      <c r="D995" s="585">
        <v>9143</v>
      </c>
    </row>
    <row r="996" spans="3:4" s="4" customFormat="1" x14ac:dyDescent="0.2">
      <c r="C996" s="935"/>
      <c r="D996" s="585">
        <v>9144</v>
      </c>
    </row>
    <row r="997" spans="3:4" s="4" customFormat="1" x14ac:dyDescent="0.2">
      <c r="C997" s="935"/>
      <c r="D997" s="585">
        <v>9151</v>
      </c>
    </row>
    <row r="998" spans="3:4" s="4" customFormat="1" x14ac:dyDescent="0.2">
      <c r="C998" s="935"/>
      <c r="D998" s="585">
        <v>9162</v>
      </c>
    </row>
    <row r="999" spans="3:4" s="4" customFormat="1" x14ac:dyDescent="0.2">
      <c r="C999" s="935"/>
      <c r="D999" s="585">
        <v>9172</v>
      </c>
    </row>
    <row r="1000" spans="3:4" s="4" customFormat="1" x14ac:dyDescent="0.2">
      <c r="C1000" s="935"/>
      <c r="D1000" s="585">
        <v>9178</v>
      </c>
    </row>
    <row r="1001" spans="3:4" s="4" customFormat="1" x14ac:dyDescent="0.2">
      <c r="C1001" s="935"/>
      <c r="D1001" s="585">
        <v>9201</v>
      </c>
    </row>
    <row r="1002" spans="3:4" s="4" customFormat="1" x14ac:dyDescent="0.2">
      <c r="C1002" s="935"/>
      <c r="D1002" s="585">
        <v>9202</v>
      </c>
    </row>
    <row r="1003" spans="3:4" s="4" customFormat="1" x14ac:dyDescent="0.2">
      <c r="C1003" s="935"/>
      <c r="D1003" s="585">
        <v>9205</v>
      </c>
    </row>
    <row r="1004" spans="3:4" s="4" customFormat="1" x14ac:dyDescent="0.2">
      <c r="C1004" s="935"/>
      <c r="D1004" s="585">
        <v>9223</v>
      </c>
    </row>
    <row r="1005" spans="3:4" s="4" customFormat="1" x14ac:dyDescent="0.2">
      <c r="C1005" s="935"/>
      <c r="D1005" s="585">
        <v>9248</v>
      </c>
    </row>
    <row r="1006" spans="3:4" s="4" customFormat="1" x14ac:dyDescent="0.2">
      <c r="C1006" s="935"/>
      <c r="D1006" s="585">
        <v>9256</v>
      </c>
    </row>
    <row r="1007" spans="3:4" s="4" customFormat="1" x14ac:dyDescent="0.2">
      <c r="C1007" s="935"/>
      <c r="D1007" s="585">
        <v>9258</v>
      </c>
    </row>
    <row r="1008" spans="3:4" s="4" customFormat="1" x14ac:dyDescent="0.2">
      <c r="C1008" s="935"/>
      <c r="D1008" s="585">
        <v>9261</v>
      </c>
    </row>
    <row r="1009" spans="3:4" s="4" customFormat="1" x14ac:dyDescent="0.2">
      <c r="C1009" s="935"/>
      <c r="D1009" s="585">
        <v>9262</v>
      </c>
    </row>
    <row r="1010" spans="3:4" s="4" customFormat="1" x14ac:dyDescent="0.2">
      <c r="C1010" s="935"/>
      <c r="D1010" s="585">
        <v>9265</v>
      </c>
    </row>
    <row r="1011" spans="3:4" s="4" customFormat="1" x14ac:dyDescent="0.2">
      <c r="C1011" s="935"/>
      <c r="D1011" s="585">
        <v>9271</v>
      </c>
    </row>
    <row r="1012" spans="3:4" s="4" customFormat="1" x14ac:dyDescent="0.2">
      <c r="C1012" s="935"/>
      <c r="D1012" s="585">
        <v>9281</v>
      </c>
    </row>
    <row r="1013" spans="3:4" s="4" customFormat="1" x14ac:dyDescent="0.2">
      <c r="C1013" s="935"/>
      <c r="D1013" s="585">
        <v>9283</v>
      </c>
    </row>
    <row r="1014" spans="3:4" s="4" customFormat="1" x14ac:dyDescent="0.2">
      <c r="C1014" s="935"/>
      <c r="D1014" s="585">
        <v>9286</v>
      </c>
    </row>
    <row r="1015" spans="3:4" s="4" customFormat="1" x14ac:dyDescent="0.2">
      <c r="C1015" s="935"/>
      <c r="D1015" s="585">
        <v>9287</v>
      </c>
    </row>
    <row r="1016" spans="3:4" s="4" customFormat="1" x14ac:dyDescent="0.2">
      <c r="C1016" s="935"/>
      <c r="D1016" s="585">
        <v>9288</v>
      </c>
    </row>
    <row r="1017" spans="3:4" s="4" customFormat="1" x14ac:dyDescent="0.2">
      <c r="C1017" s="935"/>
      <c r="D1017" s="585">
        <v>9289</v>
      </c>
    </row>
    <row r="1018" spans="3:4" s="4" customFormat="1" x14ac:dyDescent="0.2">
      <c r="C1018" s="935"/>
      <c r="D1018" s="585">
        <v>9296</v>
      </c>
    </row>
    <row r="1019" spans="3:4" s="4" customFormat="1" x14ac:dyDescent="0.2">
      <c r="C1019" s="935"/>
      <c r="D1019" s="585">
        <v>9298</v>
      </c>
    </row>
    <row r="1020" spans="3:4" s="4" customFormat="1" x14ac:dyDescent="0.2">
      <c r="C1020" s="935"/>
      <c r="D1020" s="585">
        <v>9299</v>
      </c>
    </row>
    <row r="1021" spans="3:4" s="4" customFormat="1" x14ac:dyDescent="0.2">
      <c r="C1021" s="935"/>
      <c r="D1021" s="585">
        <v>9305</v>
      </c>
    </row>
    <row r="1022" spans="3:4" s="4" customFormat="1" x14ac:dyDescent="0.2">
      <c r="C1022" s="935"/>
      <c r="D1022" s="585">
        <v>9307</v>
      </c>
    </row>
    <row r="1023" spans="3:4" s="4" customFormat="1" x14ac:dyDescent="0.2">
      <c r="C1023" s="935"/>
      <c r="D1023" s="585">
        <v>9311</v>
      </c>
    </row>
    <row r="1024" spans="3:4" s="4" customFormat="1" x14ac:dyDescent="0.2">
      <c r="C1024" s="935"/>
      <c r="D1024" s="585">
        <v>9313</v>
      </c>
    </row>
    <row r="1025" spans="3:4" s="4" customFormat="1" x14ac:dyDescent="0.2">
      <c r="C1025" s="935"/>
      <c r="D1025" s="585">
        <v>9335</v>
      </c>
    </row>
    <row r="1026" spans="3:4" s="4" customFormat="1" x14ac:dyDescent="0.2">
      <c r="C1026" s="935"/>
      <c r="D1026" s="585">
        <v>9361</v>
      </c>
    </row>
    <row r="1027" spans="3:4" s="4" customFormat="1" x14ac:dyDescent="0.2">
      <c r="C1027" s="935"/>
      <c r="D1027" s="585">
        <v>9362</v>
      </c>
    </row>
    <row r="1028" spans="3:4" s="4" customFormat="1" x14ac:dyDescent="0.2">
      <c r="C1028" s="935"/>
      <c r="D1028" s="585">
        <v>9402</v>
      </c>
    </row>
    <row r="1029" spans="3:4" s="4" customFormat="1" x14ac:dyDescent="0.2">
      <c r="C1029" s="935"/>
      <c r="D1029" s="585">
        <v>9404</v>
      </c>
    </row>
    <row r="1030" spans="3:4" s="4" customFormat="1" x14ac:dyDescent="0.2">
      <c r="C1030" s="935"/>
      <c r="D1030" s="585">
        <v>9406</v>
      </c>
    </row>
    <row r="1031" spans="3:4" s="4" customFormat="1" x14ac:dyDescent="0.2">
      <c r="C1031" s="935"/>
      <c r="D1031" s="585">
        <v>9407</v>
      </c>
    </row>
    <row r="1032" spans="3:4" s="4" customFormat="1" x14ac:dyDescent="0.2">
      <c r="C1032" s="935"/>
      <c r="D1032" s="585">
        <v>9417</v>
      </c>
    </row>
    <row r="1033" spans="3:4" s="4" customFormat="1" x14ac:dyDescent="0.2">
      <c r="C1033" s="935"/>
      <c r="D1033" s="585">
        <v>9419</v>
      </c>
    </row>
    <row r="1034" spans="3:4" s="4" customFormat="1" x14ac:dyDescent="0.2">
      <c r="C1034" s="935"/>
      <c r="D1034" s="585">
        <v>9423</v>
      </c>
    </row>
    <row r="1035" spans="3:4" s="4" customFormat="1" x14ac:dyDescent="0.2">
      <c r="C1035" s="935"/>
      <c r="D1035" s="585">
        <v>9441</v>
      </c>
    </row>
    <row r="1036" spans="3:4" s="4" customFormat="1" x14ac:dyDescent="0.2">
      <c r="C1036" s="935"/>
      <c r="D1036" s="585">
        <v>9443</v>
      </c>
    </row>
    <row r="1037" spans="3:4" s="4" customFormat="1" x14ac:dyDescent="0.2">
      <c r="C1037" s="935"/>
      <c r="D1037" s="585">
        <v>9465</v>
      </c>
    </row>
    <row r="1038" spans="3:4" s="4" customFormat="1" x14ac:dyDescent="0.2">
      <c r="C1038" s="935"/>
      <c r="D1038" s="585">
        <v>9483</v>
      </c>
    </row>
    <row r="1039" spans="3:4" s="4" customFormat="1" x14ac:dyDescent="0.2">
      <c r="C1039" s="935"/>
      <c r="D1039" s="585">
        <v>9493</v>
      </c>
    </row>
    <row r="1040" spans="3:4" s="4" customFormat="1" x14ac:dyDescent="0.2">
      <c r="C1040" s="935"/>
      <c r="D1040" s="585">
        <v>9496</v>
      </c>
    </row>
    <row r="1041" spans="3:4" s="4" customFormat="1" x14ac:dyDescent="0.2">
      <c r="C1041" s="935"/>
      <c r="D1041" s="585">
        <v>9501</v>
      </c>
    </row>
    <row r="1042" spans="3:4" s="4" customFormat="1" x14ac:dyDescent="0.2">
      <c r="C1042" s="935"/>
      <c r="D1042" s="585">
        <v>9502</v>
      </c>
    </row>
    <row r="1043" spans="3:4" s="4" customFormat="1" x14ac:dyDescent="0.2">
      <c r="C1043" s="935"/>
      <c r="D1043" s="585">
        <v>9503</v>
      </c>
    </row>
    <row r="1044" spans="3:4" s="4" customFormat="1" x14ac:dyDescent="0.2">
      <c r="C1044" s="935"/>
      <c r="D1044" s="585">
        <v>9514</v>
      </c>
    </row>
    <row r="1045" spans="3:4" s="4" customFormat="1" x14ac:dyDescent="0.2">
      <c r="C1045" s="935"/>
      <c r="D1045" s="585">
        <v>9521</v>
      </c>
    </row>
    <row r="1046" spans="3:4" s="4" customFormat="1" x14ac:dyDescent="0.2">
      <c r="C1046" s="935"/>
      <c r="D1046" s="585">
        <v>9545</v>
      </c>
    </row>
    <row r="1047" spans="3:4" s="4" customFormat="1" x14ac:dyDescent="0.2">
      <c r="C1047" s="935"/>
      <c r="D1047" s="585">
        <v>9563</v>
      </c>
    </row>
    <row r="1048" spans="3:4" s="4" customFormat="1" x14ac:dyDescent="0.2">
      <c r="C1048" s="935"/>
      <c r="D1048" s="585">
        <v>9566</v>
      </c>
    </row>
    <row r="1049" spans="3:4" s="4" customFormat="1" x14ac:dyDescent="0.2">
      <c r="C1049" s="935"/>
      <c r="D1049" s="585">
        <v>9571</v>
      </c>
    </row>
    <row r="1050" spans="3:4" s="4" customFormat="1" x14ac:dyDescent="0.2">
      <c r="C1050" s="935"/>
      <c r="D1050" s="585">
        <v>9573</v>
      </c>
    </row>
    <row r="1051" spans="3:4" s="4" customFormat="1" x14ac:dyDescent="0.2">
      <c r="C1051" s="935"/>
      <c r="D1051" s="585">
        <v>9581</v>
      </c>
    </row>
    <row r="1052" spans="3:4" s="4" customFormat="1" x14ac:dyDescent="0.2">
      <c r="C1052" s="935"/>
      <c r="D1052" s="585">
        <v>9585</v>
      </c>
    </row>
    <row r="1053" spans="3:4" s="4" customFormat="1" x14ac:dyDescent="0.2">
      <c r="C1053" s="935"/>
      <c r="D1053" s="585">
        <v>9601</v>
      </c>
    </row>
    <row r="1054" spans="3:4" s="4" customFormat="1" x14ac:dyDescent="0.2">
      <c r="C1054" s="935"/>
      <c r="D1054" s="585">
        <v>9602</v>
      </c>
    </row>
    <row r="1055" spans="3:4" s="4" customFormat="1" x14ac:dyDescent="0.2">
      <c r="C1055" s="935"/>
      <c r="D1055" s="585">
        <v>9607</v>
      </c>
    </row>
    <row r="1056" spans="3:4" s="4" customFormat="1" x14ac:dyDescent="0.2">
      <c r="C1056" s="935"/>
      <c r="D1056" s="585">
        <v>9618</v>
      </c>
    </row>
    <row r="1057" spans="3:4" s="4" customFormat="1" x14ac:dyDescent="0.2">
      <c r="C1057" s="935"/>
      <c r="D1057" s="585">
        <v>9621</v>
      </c>
    </row>
    <row r="1058" spans="3:4" s="4" customFormat="1" x14ac:dyDescent="0.2">
      <c r="C1058" s="935"/>
      <c r="D1058" s="585">
        <v>9625</v>
      </c>
    </row>
    <row r="1059" spans="3:4" s="4" customFormat="1" x14ac:dyDescent="0.2">
      <c r="C1059" s="935"/>
      <c r="D1059" s="585">
        <v>9635</v>
      </c>
    </row>
    <row r="1060" spans="3:4" s="4" customFormat="1" x14ac:dyDescent="0.2">
      <c r="C1060" s="935"/>
      <c r="D1060" s="585">
        <v>9641</v>
      </c>
    </row>
    <row r="1061" spans="3:4" s="4" customFormat="1" x14ac:dyDescent="0.2">
      <c r="C1061" s="935"/>
      <c r="D1061" s="585">
        <v>9642</v>
      </c>
    </row>
    <row r="1062" spans="3:4" s="4" customFormat="1" x14ac:dyDescent="0.2">
      <c r="C1062" s="935"/>
      <c r="D1062" s="585">
        <v>9645</v>
      </c>
    </row>
    <row r="1063" spans="3:4" s="4" customFormat="1" x14ac:dyDescent="0.2">
      <c r="C1063" s="935"/>
      <c r="D1063" s="585">
        <v>9648</v>
      </c>
    </row>
    <row r="1064" spans="3:4" s="4" customFormat="1" x14ac:dyDescent="0.2">
      <c r="C1064" s="935"/>
      <c r="D1064" s="585">
        <v>9649</v>
      </c>
    </row>
    <row r="1065" spans="3:4" s="4" customFormat="1" x14ac:dyDescent="0.2">
      <c r="C1065" s="935"/>
      <c r="D1065" s="585">
        <v>9659</v>
      </c>
    </row>
    <row r="1066" spans="3:4" s="4" customFormat="1" x14ac:dyDescent="0.2">
      <c r="C1066" s="935"/>
      <c r="D1066" s="585">
        <v>9661</v>
      </c>
    </row>
    <row r="1067" spans="3:4" s="4" customFormat="1" x14ac:dyDescent="0.2">
      <c r="C1067" s="935"/>
      <c r="D1067" s="585">
        <v>9663</v>
      </c>
    </row>
    <row r="1068" spans="3:4" s="4" customFormat="1" x14ac:dyDescent="0.2">
      <c r="C1068" s="935"/>
      <c r="D1068" s="585">
        <v>9665</v>
      </c>
    </row>
    <row r="1069" spans="3:4" s="4" customFormat="1" x14ac:dyDescent="0.2">
      <c r="C1069" s="935"/>
      <c r="D1069" s="585">
        <v>9673</v>
      </c>
    </row>
    <row r="1070" spans="3:4" s="4" customFormat="1" x14ac:dyDescent="0.2">
      <c r="C1070" s="935"/>
      <c r="D1070" s="585">
        <v>9684</v>
      </c>
    </row>
    <row r="1071" spans="3:4" s="4" customFormat="1" x14ac:dyDescent="0.2">
      <c r="C1071" s="935"/>
      <c r="D1071" s="585">
        <v>9686</v>
      </c>
    </row>
    <row r="1072" spans="3:4" s="4" customFormat="1" x14ac:dyDescent="0.2">
      <c r="C1072" s="935"/>
      <c r="D1072" s="585">
        <v>9687</v>
      </c>
    </row>
    <row r="1073" spans="3:4" s="4" customFormat="1" x14ac:dyDescent="0.2">
      <c r="C1073" s="935"/>
      <c r="D1073" s="585">
        <v>9688</v>
      </c>
    </row>
    <row r="1074" spans="3:4" s="4" customFormat="1" x14ac:dyDescent="0.2">
      <c r="C1074" s="935"/>
      <c r="D1074" s="585">
        <v>9696</v>
      </c>
    </row>
    <row r="1075" spans="3:4" s="4" customFormat="1" x14ac:dyDescent="0.2">
      <c r="C1075" s="935"/>
      <c r="D1075" s="585">
        <v>9697</v>
      </c>
    </row>
    <row r="1076" spans="3:4" s="4" customFormat="1" x14ac:dyDescent="0.2">
      <c r="C1076" s="935"/>
      <c r="D1076" s="585">
        <v>9698</v>
      </c>
    </row>
    <row r="1077" spans="3:4" s="4" customFormat="1" x14ac:dyDescent="0.2">
      <c r="C1077" s="935"/>
      <c r="D1077" s="585">
        <v>9699</v>
      </c>
    </row>
    <row r="1078" spans="3:4" s="4" customFormat="1" x14ac:dyDescent="0.2">
      <c r="C1078" s="935"/>
      <c r="D1078" s="585">
        <v>9711</v>
      </c>
    </row>
    <row r="1079" spans="3:4" s="4" customFormat="1" x14ac:dyDescent="0.2">
      <c r="C1079" s="935"/>
      <c r="D1079" s="585">
        <v>9712</v>
      </c>
    </row>
    <row r="1080" spans="3:4" s="4" customFormat="1" x14ac:dyDescent="0.2">
      <c r="C1080" s="935"/>
      <c r="D1080" s="585">
        <v>9713</v>
      </c>
    </row>
    <row r="1081" spans="3:4" s="4" customFormat="1" x14ac:dyDescent="0.2">
      <c r="C1081" s="935"/>
      <c r="D1081" s="585">
        <v>9714</v>
      </c>
    </row>
    <row r="1082" spans="3:4" s="4" customFormat="1" x14ac:dyDescent="0.2">
      <c r="C1082" s="935"/>
      <c r="D1082" s="585">
        <v>9715</v>
      </c>
    </row>
    <row r="1083" spans="3:4" s="4" customFormat="1" x14ac:dyDescent="0.2">
      <c r="C1083" s="935"/>
      <c r="D1083" s="585">
        <v>9716</v>
      </c>
    </row>
    <row r="1084" spans="3:4" s="4" customFormat="1" x14ac:dyDescent="0.2">
      <c r="C1084" s="935"/>
      <c r="D1084" s="585">
        <v>9717</v>
      </c>
    </row>
    <row r="1085" spans="3:4" s="4" customFormat="1" x14ac:dyDescent="0.2">
      <c r="C1085" s="935"/>
      <c r="D1085" s="585">
        <v>9718</v>
      </c>
    </row>
    <row r="1086" spans="3:4" s="4" customFormat="1" x14ac:dyDescent="0.2">
      <c r="C1086" s="935"/>
      <c r="D1086" s="585">
        <v>9723</v>
      </c>
    </row>
    <row r="1087" spans="3:4" s="4" customFormat="1" x14ac:dyDescent="0.2">
      <c r="C1087" s="935"/>
      <c r="D1087" s="585">
        <v>9724</v>
      </c>
    </row>
    <row r="1088" spans="3:4" s="4" customFormat="1" x14ac:dyDescent="0.2">
      <c r="C1088" s="935"/>
      <c r="D1088" s="585">
        <v>9725</v>
      </c>
    </row>
    <row r="1089" spans="3:4" s="4" customFormat="1" x14ac:dyDescent="0.2">
      <c r="C1089" s="935"/>
      <c r="D1089" s="585">
        <v>9726</v>
      </c>
    </row>
    <row r="1090" spans="3:4" s="4" customFormat="1" x14ac:dyDescent="0.2">
      <c r="C1090" s="935"/>
      <c r="D1090" s="585">
        <v>9727</v>
      </c>
    </row>
    <row r="1091" spans="3:4" s="4" customFormat="1" x14ac:dyDescent="0.2">
      <c r="C1091" s="935"/>
      <c r="D1091" s="585">
        <v>9732</v>
      </c>
    </row>
    <row r="1092" spans="3:4" s="4" customFormat="1" x14ac:dyDescent="0.2">
      <c r="C1092" s="935"/>
      <c r="D1092" s="585">
        <v>9733</v>
      </c>
    </row>
    <row r="1093" spans="3:4" s="4" customFormat="1" x14ac:dyDescent="0.2">
      <c r="C1093" s="935"/>
      <c r="D1093" s="585">
        <v>9736</v>
      </c>
    </row>
    <row r="1094" spans="3:4" s="4" customFormat="1" x14ac:dyDescent="0.2">
      <c r="C1094" s="935"/>
      <c r="D1094" s="585">
        <v>9737</v>
      </c>
    </row>
    <row r="1095" spans="3:4" s="4" customFormat="1" x14ac:dyDescent="0.2">
      <c r="C1095" s="935"/>
      <c r="D1095" s="585">
        <v>9738</v>
      </c>
    </row>
    <row r="1096" spans="3:4" s="4" customFormat="1" x14ac:dyDescent="0.2">
      <c r="C1096" s="935"/>
      <c r="D1096" s="585">
        <v>9741</v>
      </c>
    </row>
    <row r="1097" spans="3:4" s="4" customFormat="1" x14ac:dyDescent="0.2">
      <c r="C1097" s="935"/>
      <c r="D1097" s="585">
        <v>9742</v>
      </c>
    </row>
    <row r="1098" spans="3:4" s="4" customFormat="1" x14ac:dyDescent="0.2">
      <c r="C1098" s="935"/>
      <c r="D1098" s="585">
        <v>9743</v>
      </c>
    </row>
    <row r="1099" spans="3:4" s="4" customFormat="1" x14ac:dyDescent="0.2">
      <c r="C1099" s="935"/>
      <c r="D1099" s="585">
        <v>9745</v>
      </c>
    </row>
    <row r="1100" spans="3:4" s="4" customFormat="1" x14ac:dyDescent="0.2">
      <c r="C1100" s="935"/>
      <c r="D1100" s="585">
        <v>9771</v>
      </c>
    </row>
    <row r="1101" spans="3:4" s="4" customFormat="1" x14ac:dyDescent="0.2">
      <c r="C1101" s="935"/>
      <c r="D1101" s="585">
        <v>9832</v>
      </c>
    </row>
    <row r="1102" spans="3:4" s="4" customFormat="1" x14ac:dyDescent="0.2">
      <c r="C1102" s="935"/>
      <c r="D1102" s="585">
        <v>9864</v>
      </c>
    </row>
    <row r="1103" spans="3:4" s="4" customFormat="1" x14ac:dyDescent="0.2">
      <c r="C1103" s="935"/>
      <c r="D1103" s="585">
        <v>9871</v>
      </c>
    </row>
    <row r="1104" spans="3:4" s="4" customFormat="1" x14ac:dyDescent="0.2">
      <c r="C1104" s="935"/>
      <c r="D1104" s="585">
        <v>9873</v>
      </c>
    </row>
    <row r="1105" spans="3:4" s="4" customFormat="1" x14ac:dyDescent="0.2">
      <c r="C1105" s="935"/>
      <c r="D1105" s="585">
        <v>9882</v>
      </c>
    </row>
    <row r="1106" spans="3:4" s="4" customFormat="1" x14ac:dyDescent="0.2">
      <c r="C1106" s="935"/>
      <c r="D1106" s="585">
        <v>9884</v>
      </c>
    </row>
    <row r="1107" spans="3:4" s="4" customFormat="1" x14ac:dyDescent="0.2">
      <c r="C1107" s="935"/>
      <c r="D1107" s="585">
        <v>9885</v>
      </c>
    </row>
    <row r="1108" spans="3:4" s="4" customFormat="1" x14ac:dyDescent="0.2">
      <c r="C1108" s="935"/>
      <c r="D1108" s="585">
        <v>9892</v>
      </c>
    </row>
    <row r="1109" spans="3:4" s="4" customFormat="1" x14ac:dyDescent="0.2">
      <c r="C1109" s="935"/>
      <c r="D1109" s="585">
        <v>9902</v>
      </c>
    </row>
    <row r="1110" spans="3:4" s="4" customFormat="1" x14ac:dyDescent="0.2">
      <c r="C1110" s="935"/>
      <c r="D1110" s="585">
        <v>9907</v>
      </c>
    </row>
    <row r="1111" spans="3:4" s="4" customFormat="1" x14ac:dyDescent="0.2">
      <c r="C1111" s="935"/>
      <c r="D1111" s="585">
        <v>9908</v>
      </c>
    </row>
    <row r="1112" spans="3:4" s="4" customFormat="1" x14ac:dyDescent="0.2">
      <c r="C1112" s="935"/>
      <c r="D1112" s="585">
        <v>9911</v>
      </c>
    </row>
    <row r="1113" spans="3:4" s="4" customFormat="1" x14ac:dyDescent="0.2">
      <c r="C1113" s="935"/>
      <c r="D1113" s="585">
        <v>9912</v>
      </c>
    </row>
    <row r="1114" spans="3:4" s="4" customFormat="1" x14ac:dyDescent="0.2">
      <c r="C1114" s="935"/>
      <c r="D1114" s="585">
        <v>9914</v>
      </c>
    </row>
    <row r="1115" spans="3:4" s="4" customFormat="1" x14ac:dyDescent="0.2">
      <c r="C1115" s="935"/>
      <c r="D1115" s="585">
        <v>9917</v>
      </c>
    </row>
    <row r="1116" spans="3:4" s="4" customFormat="1" x14ac:dyDescent="0.2">
      <c r="C1116" s="935"/>
      <c r="D1116" s="585">
        <v>9918</v>
      </c>
    </row>
    <row r="1117" spans="3:4" s="4" customFormat="1" x14ac:dyDescent="0.2">
      <c r="C1117" s="935"/>
      <c r="D1117" s="585">
        <v>9921</v>
      </c>
    </row>
    <row r="1118" spans="3:4" s="4" customFormat="1" x14ac:dyDescent="0.2">
      <c r="C1118" s="935"/>
      <c r="D1118" s="585">
        <v>9923</v>
      </c>
    </row>
    <row r="1119" spans="3:4" s="4" customFormat="1" x14ac:dyDescent="0.2">
      <c r="C1119" s="935"/>
      <c r="D1119" s="585">
        <v>9931</v>
      </c>
    </row>
    <row r="1120" spans="3:4" s="4" customFormat="1" x14ac:dyDescent="0.2">
      <c r="C1120" s="935"/>
      <c r="D1120" s="585">
        <v>9932</v>
      </c>
    </row>
    <row r="1121" spans="3:4" s="4" customFormat="1" x14ac:dyDescent="0.2">
      <c r="C1121" s="935"/>
      <c r="D1121" s="585">
        <v>9933</v>
      </c>
    </row>
    <row r="1122" spans="3:4" s="4" customFormat="1" x14ac:dyDescent="0.2">
      <c r="C1122" s="935"/>
      <c r="D1122" s="585">
        <v>9936</v>
      </c>
    </row>
    <row r="1123" spans="3:4" s="4" customFormat="1" x14ac:dyDescent="0.2">
      <c r="C1123" s="935"/>
      <c r="D1123" s="585">
        <v>9939</v>
      </c>
    </row>
    <row r="1124" spans="3:4" s="4" customFormat="1" x14ac:dyDescent="0.2">
      <c r="C1124" s="935"/>
      <c r="D1124" s="585">
        <v>9943</v>
      </c>
    </row>
    <row r="1125" spans="3:4" s="4" customFormat="1" x14ac:dyDescent="0.2">
      <c r="C1125" s="935"/>
      <c r="D1125" s="585">
        <v>9947</v>
      </c>
    </row>
    <row r="1126" spans="3:4" s="4" customFormat="1" x14ac:dyDescent="0.2">
      <c r="C1126" s="935"/>
      <c r="D1126" s="585">
        <v>9948</v>
      </c>
    </row>
    <row r="1127" spans="3:4" s="4" customFormat="1" x14ac:dyDescent="0.2">
      <c r="C1127" s="935"/>
      <c r="D1127" s="585">
        <v>9955</v>
      </c>
    </row>
    <row r="1128" spans="3:4" s="4" customFormat="1" x14ac:dyDescent="0.2">
      <c r="C1128" s="935"/>
      <c r="D1128" s="585">
        <v>9956</v>
      </c>
    </row>
    <row r="1129" spans="3:4" s="4" customFormat="1" x14ac:dyDescent="0.2">
      <c r="C1129" s="935"/>
      <c r="D1129" s="585">
        <v>9961</v>
      </c>
    </row>
    <row r="1130" spans="3:4" s="4" customFormat="1" x14ac:dyDescent="0.2">
      <c r="C1130" s="935"/>
      <c r="D1130" s="585">
        <v>9963</v>
      </c>
    </row>
    <row r="1131" spans="3:4" s="4" customFormat="1" x14ac:dyDescent="0.2">
      <c r="C1131" s="935"/>
      <c r="D1131" s="585">
        <v>9964</v>
      </c>
    </row>
    <row r="1132" spans="3:4" s="4" customFormat="1" x14ac:dyDescent="0.2">
      <c r="C1132" s="935"/>
      <c r="D1132" s="585">
        <v>9965</v>
      </c>
    </row>
    <row r="1133" spans="3:4" s="4" customFormat="1" x14ac:dyDescent="0.2">
      <c r="C1133" s="935"/>
      <c r="D1133" s="585">
        <v>9969</v>
      </c>
    </row>
    <row r="1134" spans="3:4" s="4" customFormat="1" x14ac:dyDescent="0.2">
      <c r="C1134" s="935"/>
      <c r="D1134" s="585">
        <v>9973</v>
      </c>
    </row>
    <row r="1135" spans="3:4" s="4" customFormat="1" x14ac:dyDescent="0.2">
      <c r="C1135" s="935"/>
      <c r="D1135" s="585">
        <v>9974</v>
      </c>
    </row>
    <row r="1136" spans="3:4" s="4" customFormat="1" x14ac:dyDescent="0.2">
      <c r="C1136" s="935"/>
      <c r="D1136" s="585">
        <v>9977</v>
      </c>
    </row>
    <row r="1137" spans="3:4" s="4" customFormat="1" x14ac:dyDescent="0.2">
      <c r="C1137" s="935"/>
      <c r="D1137" s="585">
        <v>9981</v>
      </c>
    </row>
    <row r="1138" spans="3:4" s="4" customFormat="1" x14ac:dyDescent="0.2">
      <c r="C1138" s="935"/>
      <c r="D1138" s="585">
        <v>9982</v>
      </c>
    </row>
    <row r="1139" spans="3:4" s="4" customFormat="1" x14ac:dyDescent="0.2">
      <c r="C1139" s="935"/>
      <c r="D1139" s="585">
        <v>9984</v>
      </c>
    </row>
    <row r="1140" spans="3:4" s="4" customFormat="1" x14ac:dyDescent="0.2">
      <c r="C1140" s="935"/>
      <c r="D1140" s="585">
        <v>9987</v>
      </c>
    </row>
    <row r="1141" spans="3:4" s="4" customFormat="1" x14ac:dyDescent="0.2">
      <c r="C1141" s="935"/>
      <c r="D1141" s="585">
        <v>9995</v>
      </c>
    </row>
    <row r="1142" spans="3:4" s="4" customFormat="1" x14ac:dyDescent="0.2">
      <c r="C1142" s="935"/>
      <c r="D1142" s="585">
        <v>9999</v>
      </c>
    </row>
    <row r="1143" spans="3:4" s="4" customFormat="1" x14ac:dyDescent="0.2">
      <c r="C1143" s="935"/>
    </row>
  </sheetData>
  <sheetProtection algorithmName="SHA-512" hashValue="SQ2O0kCnX9/ulE55EeUHdPw8L0oBaxw0ATXCVQt6xPnmzNyNsGHg8mIVEQ+dTl2xo3l6+Sp0MJzAxryUfGHEig==" saltValue="SAVuFQR0nC1K7REieIaH7A==" spinCount="100000" sheet="1" objects="1" scenarios="1"/>
  <phoneticPr fontId="0" type="noConversion"/>
  <pageMargins left="0.74803149606299213" right="0.74803149606299213" top="0.98425196850393704" bottom="0.98425196850393704" header="0.51181102362204722" footer="0.51181102362204722"/>
  <pageSetup paperSize="9" scale="44" orientation="portrait" r:id="rId1"/>
  <headerFooter alignWithMargins="0">
    <oddHeader>&amp;L&amp;F&amp;R&amp;A</oddHeader>
    <oddFooter>&amp;LPO-Raad&amp;C&amp;D&amp;Rpagina &amp;P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B1:Z1755"/>
  <sheetViews>
    <sheetView showGridLines="0" tabSelected="1" zoomScale="85" zoomScaleNormal="85" zoomScaleSheetLayoutView="70" workbookViewId="0">
      <selection activeCell="B2" sqref="B2"/>
    </sheetView>
  </sheetViews>
  <sheetFormatPr defaultColWidth="9.140625" defaultRowHeight="12.75" x14ac:dyDescent="0.2"/>
  <cols>
    <col min="1" max="1" width="3.7109375" style="5" customWidth="1"/>
    <col min="2" max="3" width="2.7109375" style="5" customWidth="1"/>
    <col min="4" max="4" width="22.7109375" style="5" customWidth="1"/>
    <col min="5" max="5" width="23.7109375" style="5" customWidth="1"/>
    <col min="6" max="6" width="2.7109375" style="5" customWidth="1"/>
    <col min="7" max="11" width="16.85546875" style="6" customWidth="1"/>
    <col min="12" max="14" width="2.7109375" style="5" customWidth="1"/>
    <col min="15" max="15" width="1.7109375" style="5" customWidth="1"/>
    <col min="16" max="16" width="8.5703125" style="5" customWidth="1"/>
    <col min="17" max="17" width="0.7109375" style="5" customWidth="1"/>
    <col min="18" max="18" width="40.7109375" style="5" customWidth="1"/>
    <col min="19" max="19" width="2.42578125" style="5" customWidth="1"/>
    <col min="20" max="24" width="14.7109375" style="6" customWidth="1"/>
    <col min="25" max="25" width="1.7109375" style="5" customWidth="1"/>
    <col min="26" max="26" width="2.5703125" style="5" customWidth="1"/>
    <col min="27" max="30" width="12.28515625" style="5" customWidth="1"/>
    <col min="31" max="39" width="11.7109375" style="5" customWidth="1"/>
    <col min="40" max="16384" width="9.140625" style="5"/>
  </cols>
  <sheetData>
    <row r="1" spans="2:26" ht="12.75" customHeight="1" x14ac:dyDescent="0.2"/>
    <row r="2" spans="2:26" x14ac:dyDescent="0.2">
      <c r="B2" s="30"/>
      <c r="C2" s="31"/>
      <c r="D2" s="31"/>
      <c r="E2" s="31"/>
      <c r="F2" s="31"/>
      <c r="G2" s="32"/>
      <c r="H2" s="32"/>
      <c r="I2" s="32"/>
      <c r="J2" s="32"/>
      <c r="K2" s="32"/>
      <c r="L2" s="31"/>
      <c r="M2" s="33"/>
    </row>
    <row r="3" spans="2:26" x14ac:dyDescent="0.2">
      <c r="B3" s="34"/>
      <c r="C3" s="35"/>
      <c r="D3" s="35"/>
      <c r="E3" s="35"/>
      <c r="F3" s="35"/>
      <c r="G3" s="36"/>
      <c r="H3" s="36"/>
      <c r="I3" s="36"/>
      <c r="J3" s="36"/>
      <c r="K3" s="36"/>
      <c r="L3" s="35"/>
      <c r="M3" s="37"/>
    </row>
    <row r="4" spans="2:26" s="8" customFormat="1" ht="18.75" x14ac:dyDescent="0.3">
      <c r="B4" s="38"/>
      <c r="C4" s="151" t="s">
        <v>340</v>
      </c>
      <c r="D4" s="40"/>
      <c r="E4" s="40"/>
      <c r="F4" s="40"/>
      <c r="G4" s="41"/>
      <c r="H4" s="41"/>
      <c r="I4" s="41"/>
      <c r="J4" s="41"/>
      <c r="K4" s="41"/>
      <c r="L4" s="40"/>
      <c r="M4" s="42"/>
      <c r="N4" s="7"/>
      <c r="O4" s="7"/>
      <c r="T4" s="9"/>
      <c r="U4" s="9"/>
      <c r="V4" s="9"/>
      <c r="W4" s="9"/>
      <c r="X4" s="9"/>
    </row>
    <row r="5" spans="2:26" s="231" customFormat="1" ht="18.75" customHeight="1" x14ac:dyDescent="0.3">
      <c r="B5" s="172"/>
      <c r="C5" s="173" t="str">
        <f>geg!G10</f>
        <v>Basisschool</v>
      </c>
      <c r="D5" s="654"/>
      <c r="E5" s="173"/>
      <c r="F5" s="173"/>
      <c r="G5" s="655"/>
      <c r="H5" s="655"/>
      <c r="I5" s="655"/>
      <c r="J5" s="655"/>
      <c r="K5" s="655"/>
      <c r="L5" s="173"/>
      <c r="M5" s="174"/>
      <c r="P5" s="656"/>
      <c r="Q5" s="656"/>
      <c r="T5" s="657"/>
      <c r="U5" s="657"/>
      <c r="V5" s="657"/>
      <c r="W5" s="657"/>
      <c r="X5" s="657"/>
    </row>
    <row r="6" spans="2:26" ht="14.45" customHeight="1" x14ac:dyDescent="0.2">
      <c r="B6" s="34"/>
      <c r="C6" s="35"/>
      <c r="D6" s="43"/>
      <c r="E6" s="35"/>
      <c r="F6" s="35"/>
      <c r="G6" s="36"/>
      <c r="H6" s="36"/>
      <c r="I6" s="36"/>
      <c r="J6" s="36"/>
      <c r="K6" s="36"/>
      <c r="L6" s="35"/>
      <c r="M6" s="37"/>
      <c r="P6" s="10"/>
      <c r="Q6" s="10"/>
    </row>
    <row r="7" spans="2:26" ht="14.45" customHeight="1" x14ac:dyDescent="0.2">
      <c r="B7" s="34"/>
      <c r="C7" s="35"/>
      <c r="D7" s="43"/>
      <c r="E7" s="35"/>
      <c r="F7" s="35"/>
      <c r="G7" s="36"/>
      <c r="H7" s="36"/>
      <c r="I7" s="36"/>
      <c r="J7" s="36"/>
      <c r="K7" s="36"/>
      <c r="L7" s="35"/>
      <c r="M7" s="37"/>
      <c r="P7" s="10"/>
      <c r="Q7" s="10"/>
    </row>
    <row r="8" spans="2:26" ht="14.45" customHeight="1" x14ac:dyDescent="0.2">
      <c r="B8" s="34"/>
      <c r="C8" s="35"/>
      <c r="D8" s="35"/>
      <c r="E8" s="44"/>
      <c r="F8" s="44"/>
      <c r="G8" s="45"/>
      <c r="H8" s="45"/>
      <c r="I8" s="45"/>
      <c r="J8" s="45"/>
      <c r="K8" s="45"/>
      <c r="L8" s="46"/>
      <c r="M8" s="47"/>
      <c r="R8" s="11"/>
      <c r="S8" s="10"/>
      <c r="T8" s="12"/>
      <c r="U8" s="12"/>
      <c r="V8" s="12"/>
      <c r="W8" s="12"/>
      <c r="X8" s="12"/>
      <c r="Y8" s="13"/>
      <c r="Z8" s="13"/>
    </row>
    <row r="9" spans="2:26" ht="14.45" customHeight="1" x14ac:dyDescent="0.2">
      <c r="B9" s="34"/>
      <c r="C9" s="86"/>
      <c r="D9" s="87"/>
      <c r="E9" s="88"/>
      <c r="F9" s="88"/>
      <c r="G9" s="89"/>
      <c r="H9" s="89"/>
      <c r="I9" s="89"/>
      <c r="J9" s="89"/>
      <c r="K9" s="89"/>
      <c r="L9" s="90"/>
      <c r="M9" s="47"/>
      <c r="R9" s="11"/>
      <c r="S9" s="10"/>
      <c r="T9" s="12"/>
      <c r="U9" s="12"/>
      <c r="V9" s="12"/>
      <c r="W9" s="12"/>
      <c r="X9" s="12"/>
      <c r="Y9" s="13"/>
      <c r="Z9" s="13"/>
    </row>
    <row r="10" spans="2:26" ht="14.45" customHeight="1" x14ac:dyDescent="0.2">
      <c r="B10" s="34"/>
      <c r="C10" s="91"/>
      <c r="D10" s="92" t="s">
        <v>259</v>
      </c>
      <c r="E10" s="93"/>
      <c r="F10" s="93"/>
      <c r="G10" s="133" t="s">
        <v>494</v>
      </c>
      <c r="H10" s="94"/>
      <c r="I10" s="94"/>
      <c r="J10" s="95"/>
      <c r="K10" s="95"/>
      <c r="L10" s="96"/>
      <c r="M10" s="47"/>
      <c r="R10" s="11"/>
      <c r="S10" s="10"/>
      <c r="T10" s="12"/>
      <c r="U10" s="12"/>
      <c r="V10" s="12"/>
      <c r="W10" s="12"/>
      <c r="X10" s="12"/>
      <c r="Y10" s="13"/>
      <c r="Z10" s="13"/>
    </row>
    <row r="11" spans="2:26" ht="14.45" customHeight="1" x14ac:dyDescent="0.2">
      <c r="B11" s="34"/>
      <c r="C11" s="91"/>
      <c r="D11" s="92" t="s">
        <v>81</v>
      </c>
      <c r="E11" s="93"/>
      <c r="F11" s="93"/>
      <c r="G11" s="132" t="s">
        <v>366</v>
      </c>
      <c r="H11" s="94"/>
      <c r="I11" s="94"/>
      <c r="J11" s="95"/>
      <c r="K11" s="95"/>
      <c r="L11" s="96"/>
      <c r="M11" s="47"/>
      <c r="R11" s="11"/>
      <c r="S11" s="10"/>
      <c r="T11" s="12"/>
      <c r="U11" s="12"/>
      <c r="V11" s="12"/>
      <c r="W11" s="12"/>
      <c r="X11" s="12"/>
      <c r="Y11" s="13"/>
      <c r="Z11" s="13"/>
    </row>
    <row r="12" spans="2:26" ht="14.45" customHeight="1" x14ac:dyDescent="0.2">
      <c r="B12" s="34"/>
      <c r="C12" s="91"/>
      <c r="D12" s="92" t="s">
        <v>80</v>
      </c>
      <c r="E12" s="93"/>
      <c r="F12" s="93"/>
      <c r="G12" s="133">
        <v>1011</v>
      </c>
      <c r="H12" s="94"/>
      <c r="I12" s="94"/>
      <c r="J12" s="95"/>
      <c r="K12" s="95"/>
      <c r="L12" s="96"/>
      <c r="M12" s="47"/>
      <c r="R12" s="11"/>
      <c r="S12" s="10"/>
      <c r="T12" s="12"/>
      <c r="U12" s="12"/>
      <c r="V12" s="12"/>
      <c r="W12" s="12"/>
      <c r="X12" s="12"/>
      <c r="Y12" s="13"/>
      <c r="Z12" s="13"/>
    </row>
    <row r="13" spans="2:26" ht="14.45" customHeight="1" x14ac:dyDescent="0.2">
      <c r="B13" s="34"/>
      <c r="C13" s="124"/>
      <c r="D13" s="125"/>
      <c r="E13" s="129"/>
      <c r="F13" s="129"/>
      <c r="G13" s="130"/>
      <c r="H13" s="130"/>
      <c r="I13" s="130"/>
      <c r="J13" s="130"/>
      <c r="K13" s="130"/>
      <c r="L13" s="131"/>
      <c r="M13" s="47"/>
      <c r="R13" s="11"/>
      <c r="S13" s="10"/>
      <c r="T13" s="12"/>
      <c r="U13" s="12"/>
      <c r="V13" s="12"/>
      <c r="W13" s="12"/>
      <c r="X13" s="12"/>
      <c r="Y13" s="13"/>
      <c r="Z13" s="13"/>
    </row>
    <row r="14" spans="2:26" ht="14.45" customHeight="1" x14ac:dyDescent="0.2">
      <c r="B14" s="34"/>
      <c r="C14" s="35"/>
      <c r="D14" s="35"/>
      <c r="E14" s="44"/>
      <c r="F14" s="44"/>
      <c r="G14" s="45"/>
      <c r="H14" s="45"/>
      <c r="I14" s="45"/>
      <c r="J14" s="45"/>
      <c r="K14" s="45"/>
      <c r="L14" s="46"/>
      <c r="M14" s="47"/>
      <c r="R14" s="11"/>
      <c r="S14" s="10"/>
      <c r="T14" s="12"/>
      <c r="U14" s="12"/>
      <c r="V14" s="12"/>
      <c r="W14" s="12"/>
      <c r="X14" s="12"/>
      <c r="Y14" s="13"/>
      <c r="Z14" s="13"/>
    </row>
    <row r="15" spans="2:26" ht="14.45" customHeight="1" x14ac:dyDescent="0.2">
      <c r="B15" s="34"/>
      <c r="C15" s="35"/>
      <c r="D15" s="43"/>
      <c r="E15" s="35"/>
      <c r="F15" s="35"/>
      <c r="G15" s="36"/>
      <c r="H15" s="36"/>
      <c r="I15" s="36"/>
      <c r="J15" s="36"/>
      <c r="K15" s="36"/>
      <c r="L15" s="35"/>
      <c r="M15" s="37"/>
      <c r="P15" s="10"/>
      <c r="Q15" s="10"/>
    </row>
    <row r="16" spans="2:26" s="14" customFormat="1" ht="14.45" customHeight="1" x14ac:dyDescent="0.2">
      <c r="B16" s="48"/>
      <c r="C16" s="49"/>
      <c r="D16" s="50"/>
      <c r="E16" s="738" t="s">
        <v>114</v>
      </c>
      <c r="F16" s="739"/>
      <c r="G16" s="740" t="str">
        <f>tab!E2</f>
        <v>2016/17</v>
      </c>
      <c r="H16" s="740" t="str">
        <f>tab!F2</f>
        <v>2017/18</v>
      </c>
      <c r="I16" s="740" t="str">
        <f>tab!G2</f>
        <v>2018/19</v>
      </c>
      <c r="J16" s="740" t="str">
        <f>tab!H2</f>
        <v>2019/20</v>
      </c>
      <c r="K16" s="740" t="str">
        <f>tab!I2</f>
        <v>2020/21</v>
      </c>
      <c r="L16" s="49"/>
      <c r="M16" s="51"/>
      <c r="P16" s="15"/>
      <c r="Q16" s="15"/>
      <c r="T16" s="16"/>
      <c r="U16" s="16"/>
      <c r="V16" s="16"/>
      <c r="W16" s="16"/>
      <c r="X16" s="16"/>
    </row>
    <row r="17" spans="2:26" s="14" customFormat="1" ht="14.45" customHeight="1" x14ac:dyDescent="0.2">
      <c r="B17" s="48"/>
      <c r="C17" s="49"/>
      <c r="D17" s="49"/>
      <c r="E17" s="738" t="s">
        <v>119</v>
      </c>
      <c r="F17" s="741"/>
      <c r="G17" s="742">
        <f>tab!D4</f>
        <v>2015</v>
      </c>
      <c r="H17" s="742">
        <f>G17+1</f>
        <v>2016</v>
      </c>
      <c r="I17" s="742">
        <f>H17+1</f>
        <v>2017</v>
      </c>
      <c r="J17" s="742">
        <f>I17+1</f>
        <v>2018</v>
      </c>
      <c r="K17" s="742">
        <f>J17+1</f>
        <v>2019</v>
      </c>
      <c r="L17" s="52"/>
      <c r="M17" s="53"/>
      <c r="T17" s="16"/>
      <c r="U17" s="16"/>
      <c r="V17" s="16"/>
      <c r="W17" s="16"/>
      <c r="X17" s="16"/>
    </row>
    <row r="18" spans="2:26" ht="14.45" customHeight="1" x14ac:dyDescent="0.2">
      <c r="B18" s="34"/>
      <c r="C18" s="35"/>
      <c r="D18" s="35"/>
      <c r="E18" s="44"/>
      <c r="F18" s="44"/>
      <c r="G18" s="45"/>
      <c r="H18" s="45"/>
      <c r="I18" s="45"/>
      <c r="J18" s="45"/>
      <c r="K18" s="45"/>
      <c r="L18" s="46"/>
      <c r="M18" s="47"/>
      <c r="T18" s="5"/>
      <c r="U18" s="5"/>
      <c r="V18" s="5"/>
      <c r="W18" s="5"/>
      <c r="X18" s="5"/>
      <c r="Z18" s="13"/>
    </row>
    <row r="19" spans="2:26" ht="14.45" customHeight="1" x14ac:dyDescent="0.2">
      <c r="B19" s="34"/>
      <c r="C19" s="136"/>
      <c r="D19" s="137"/>
      <c r="E19" s="138"/>
      <c r="F19" s="138"/>
      <c r="G19" s="139"/>
      <c r="H19" s="139"/>
      <c r="I19" s="139"/>
      <c r="J19" s="139"/>
      <c r="K19" s="139"/>
      <c r="L19" s="141"/>
      <c r="M19" s="47"/>
      <c r="T19" s="5"/>
      <c r="U19" s="5"/>
      <c r="V19" s="5"/>
      <c r="W19" s="5"/>
      <c r="X19" s="5"/>
      <c r="Z19" s="13"/>
    </row>
    <row r="20" spans="2:26" ht="14.45" customHeight="1" x14ac:dyDescent="0.2">
      <c r="B20" s="34"/>
      <c r="C20" s="100"/>
      <c r="D20" s="743" t="s">
        <v>52</v>
      </c>
      <c r="E20" s="101"/>
      <c r="F20" s="101"/>
      <c r="G20" s="102"/>
      <c r="H20" s="102"/>
      <c r="I20" s="102"/>
      <c r="J20" s="102"/>
      <c r="K20" s="102"/>
      <c r="L20" s="99"/>
      <c r="M20" s="47"/>
      <c r="T20" s="5"/>
      <c r="U20" s="5"/>
      <c r="V20" s="5"/>
      <c r="W20" s="5"/>
      <c r="X20" s="5"/>
      <c r="Z20" s="13"/>
    </row>
    <row r="21" spans="2:26" ht="14.45" customHeight="1" x14ac:dyDescent="0.2">
      <c r="B21" s="34"/>
      <c r="C21" s="91"/>
      <c r="D21" s="92"/>
      <c r="E21" s="93"/>
      <c r="F21" s="93"/>
      <c r="G21" s="95"/>
      <c r="H21" s="95"/>
      <c r="I21" s="95"/>
      <c r="J21" s="95"/>
      <c r="K21" s="95"/>
      <c r="L21" s="96"/>
      <c r="M21" s="47"/>
      <c r="T21" s="5"/>
      <c r="U21" s="5"/>
      <c r="V21" s="5"/>
      <c r="W21" s="5"/>
      <c r="X21" s="5"/>
      <c r="Z21" s="13"/>
    </row>
    <row r="22" spans="2:26" ht="14.45" customHeight="1" x14ac:dyDescent="0.2">
      <c r="B22" s="34"/>
      <c r="C22" s="91"/>
      <c r="D22" s="103" t="s">
        <v>43</v>
      </c>
      <c r="E22" s="92"/>
      <c r="F22" s="92"/>
      <c r="G22" s="159">
        <v>55</v>
      </c>
      <c r="H22" s="159">
        <v>45</v>
      </c>
      <c r="I22" s="159">
        <f>H22</f>
        <v>45</v>
      </c>
      <c r="J22" s="159">
        <f t="shared" ref="J22:J23" si="0">I22</f>
        <v>45</v>
      </c>
      <c r="K22" s="159">
        <f t="shared" ref="K22:K23" si="1">J22</f>
        <v>45</v>
      </c>
      <c r="L22" s="104"/>
      <c r="M22" s="57"/>
      <c r="T22" s="5"/>
      <c r="U22" s="5"/>
      <c r="V22" s="5"/>
      <c r="W22" s="5"/>
      <c r="X22" s="5"/>
      <c r="Z22" s="18"/>
    </row>
    <row r="23" spans="2:26" ht="14.45" customHeight="1" x14ac:dyDescent="0.2">
      <c r="B23" s="34"/>
      <c r="C23" s="91"/>
      <c r="D23" s="103" t="s">
        <v>44</v>
      </c>
      <c r="E23" s="92"/>
      <c r="F23" s="92"/>
      <c r="G23" s="159">
        <v>55</v>
      </c>
      <c r="H23" s="159">
        <v>45</v>
      </c>
      <c r="I23" s="159">
        <f>H23</f>
        <v>45</v>
      </c>
      <c r="J23" s="159">
        <f t="shared" si="0"/>
        <v>45</v>
      </c>
      <c r="K23" s="159">
        <f t="shared" si="1"/>
        <v>45</v>
      </c>
      <c r="L23" s="104"/>
      <c r="M23" s="57"/>
      <c r="T23" s="5"/>
      <c r="U23" s="5"/>
      <c r="V23" s="5"/>
      <c r="W23" s="5"/>
      <c r="X23" s="5"/>
      <c r="Z23" s="18"/>
    </row>
    <row r="24" spans="2:26" s="19" customFormat="1" ht="14.45" customHeight="1" x14ac:dyDescent="0.2">
      <c r="B24" s="58"/>
      <c r="C24" s="105"/>
      <c r="D24" s="106" t="s">
        <v>180</v>
      </c>
      <c r="E24" s="106"/>
      <c r="F24" s="106"/>
      <c r="G24" s="944">
        <f>SUM(G22:G23)</f>
        <v>110</v>
      </c>
      <c r="H24" s="944">
        <f>SUM(H22:H23)</f>
        <v>90</v>
      </c>
      <c r="I24" s="944">
        <f>SUM(I22:I23)</f>
        <v>90</v>
      </c>
      <c r="J24" s="944">
        <f>SUM(J22:J23)</f>
        <v>90</v>
      </c>
      <c r="K24" s="944">
        <f>SUM(K22:K23)</f>
        <v>90</v>
      </c>
      <c r="L24" s="107"/>
      <c r="M24" s="61"/>
      <c r="Z24" s="21"/>
    </row>
    <row r="25" spans="2:26" ht="14.45" customHeight="1" x14ac:dyDescent="0.2">
      <c r="B25" s="34"/>
      <c r="C25" s="91"/>
      <c r="D25" s="205" t="s">
        <v>86</v>
      </c>
      <c r="E25" s="605">
        <v>0.3</v>
      </c>
      <c r="F25" s="111"/>
      <c r="G25" s="159">
        <v>0</v>
      </c>
      <c r="H25" s="159">
        <v>0</v>
      </c>
      <c r="I25" s="159">
        <f>H25</f>
        <v>0</v>
      </c>
      <c r="J25" s="159">
        <f t="shared" ref="I25:K26" si="2">I25</f>
        <v>0</v>
      </c>
      <c r="K25" s="159">
        <f t="shared" si="2"/>
        <v>0</v>
      </c>
      <c r="L25" s="110"/>
      <c r="M25" s="63"/>
      <c r="T25" s="5"/>
      <c r="U25" s="5"/>
      <c r="V25" s="5"/>
      <c r="W25" s="5"/>
      <c r="X25" s="5"/>
      <c r="Z25" s="22"/>
    </row>
    <row r="26" spans="2:26" ht="14.45" customHeight="1" x14ac:dyDescent="0.2">
      <c r="B26" s="34"/>
      <c r="C26" s="91"/>
      <c r="D26" s="205" t="s">
        <v>86</v>
      </c>
      <c r="E26" s="605">
        <v>1.2</v>
      </c>
      <c r="F26" s="111"/>
      <c r="G26" s="159">
        <v>0</v>
      </c>
      <c r="H26" s="159">
        <v>0</v>
      </c>
      <c r="I26" s="159">
        <f t="shared" si="2"/>
        <v>0</v>
      </c>
      <c r="J26" s="159">
        <f t="shared" si="2"/>
        <v>0</v>
      </c>
      <c r="K26" s="159">
        <f t="shared" si="2"/>
        <v>0</v>
      </c>
      <c r="L26" s="110"/>
      <c r="M26" s="63"/>
      <c r="T26" s="5"/>
      <c r="U26" s="5"/>
      <c r="V26" s="5"/>
      <c r="W26" s="5"/>
      <c r="X26" s="5"/>
      <c r="Z26" s="22"/>
    </row>
    <row r="27" spans="2:26" ht="14.45" customHeight="1" x14ac:dyDescent="0.2">
      <c r="B27" s="34"/>
      <c r="C27" s="91"/>
      <c r="D27" s="103" t="s">
        <v>110</v>
      </c>
      <c r="E27" s="103"/>
      <c r="F27" s="103"/>
      <c r="G27" s="928">
        <f>($E$25*G25)+($E$26*G26)</f>
        <v>0</v>
      </c>
      <c r="H27" s="928">
        <f>($E$25*H25)+($E$26*H26)</f>
        <v>0</v>
      </c>
      <c r="I27" s="928">
        <f>($E$25*I25)+($E$26*I26)</f>
        <v>0</v>
      </c>
      <c r="J27" s="928">
        <f>($E$25*J25)+($E$26*J26)</f>
        <v>0</v>
      </c>
      <c r="K27" s="928">
        <f>($E$25*K25)+($E$26*K26)</f>
        <v>0</v>
      </c>
      <c r="L27" s="110"/>
      <c r="M27" s="63"/>
      <c r="T27" s="5"/>
      <c r="U27" s="5"/>
      <c r="V27" s="5"/>
      <c r="W27" s="5"/>
      <c r="X27" s="5"/>
      <c r="Z27" s="22"/>
    </row>
    <row r="28" spans="2:26" s="19" customFormat="1" ht="14.45" customHeight="1" x14ac:dyDescent="0.2">
      <c r="B28" s="58"/>
      <c r="C28" s="105"/>
      <c r="D28" s="106" t="s">
        <v>132</v>
      </c>
      <c r="E28" s="106"/>
      <c r="F28" s="106"/>
      <c r="G28" s="945">
        <f>ROUND(IF(G29&gt;G24*0.8,0.8*G24,G29),0)</f>
        <v>0</v>
      </c>
      <c r="H28" s="945">
        <f>ROUND(IF(H29&gt;H24*0.8,0.8*H24,H29),0)</f>
        <v>0</v>
      </c>
      <c r="I28" s="945">
        <f>ROUND(IF(I29&gt;I24*0.8,0.8*I24,I29),0)</f>
        <v>0</v>
      </c>
      <c r="J28" s="945">
        <f>ROUND(IF(J29&gt;J24*0.8,0.8*J24,J29),0)</f>
        <v>0</v>
      </c>
      <c r="K28" s="945">
        <f>ROUND(IF(K29&gt;K24*0.8,0.8*K24,K29),0)</f>
        <v>0</v>
      </c>
      <c r="L28" s="107"/>
      <c r="M28" s="61"/>
      <c r="Z28" s="21"/>
    </row>
    <row r="29" spans="2:26" ht="14.45" customHeight="1" x14ac:dyDescent="0.2">
      <c r="B29" s="34"/>
      <c r="C29" s="91"/>
      <c r="D29" s="161" t="s">
        <v>343</v>
      </c>
      <c r="E29" s="161"/>
      <c r="F29" s="161"/>
      <c r="G29" s="162">
        <f>IF((ROUND(IF(G27-(tab!E$26*G24)&lt;0,0,(G27-(tab!E$26*G24))),0))&lt;(G89+G102+G115+G128),(G89+G102+G115+G128),(ROUND(IF(G27-(tab!E$26*G24)&lt;0,0,(G27-(tab!E$26*G24))),0)))</f>
        <v>0</v>
      </c>
      <c r="H29" s="162">
        <f>IF((ROUND(IF(H27-(tab!$F$26*H24)&lt;0,0,(H27-(tab!$F$26*H24))),0))&lt;(H89+H102+H115+H128),(H89+H102+H115+H128),(ROUND(IF(H27-(tab!$F$26*H24)&lt;0,0,(H27-(tab!$F$26*H24))),0)))</f>
        <v>0</v>
      </c>
      <c r="I29" s="162">
        <f>IF((ROUND(IF(I27-(tab!$F$26*I24)&lt;0,0,(I27-(tab!$F$26*I24))),0))&lt;(I89+I102+I115+I128),(I89+I102+I115+I128),(ROUND(IF(I27-(tab!$F$26*I24)&lt;0,0,(I27-(tab!$F$26*I24))),0)))</f>
        <v>0</v>
      </c>
      <c r="J29" s="162">
        <f>IF((ROUND(IF(J27-(tab!$F$26*J24)&lt;0,0,(J27-(tab!$F$26*J24))),0))&lt;(J89+J102+J115+J128),(J89+J102+J115+J128),(ROUND(IF(J27-(tab!$F$26*J24)&lt;0,0,(J27-(tab!$F$26*J24))),0)))</f>
        <v>0</v>
      </c>
      <c r="K29" s="162">
        <f>IF((ROUND(IF(K27-(tab!$F$26*K24)&lt;0,0,(K27-(tab!$F$26*K24))),0))&lt;(K89+K102+K115+K128),(K89+K102+K115+K128),(ROUND(IF(K27-(tab!$F$26*K24)&lt;0,0,(K27-(tab!$F$26*K24))),0)))</f>
        <v>0</v>
      </c>
      <c r="L29" s="110"/>
      <c r="M29" s="63"/>
      <c r="T29" s="5"/>
      <c r="U29" s="5"/>
      <c r="V29" s="5"/>
      <c r="W29" s="5"/>
      <c r="X29" s="5"/>
      <c r="Z29" s="22"/>
    </row>
    <row r="30" spans="2:26" ht="14.45" customHeight="1" x14ac:dyDescent="0.2">
      <c r="B30" s="34"/>
      <c r="C30" s="91"/>
      <c r="D30" s="103" t="s">
        <v>62</v>
      </c>
      <c r="E30" s="103"/>
      <c r="F30" s="103"/>
      <c r="G30" s="928" t="str">
        <f>IF($G12=LOOKUP($G12,Postcode_gebieden),"ja","nee")</f>
        <v>ja</v>
      </c>
      <c r="H30" s="950" t="str">
        <f>+G30</f>
        <v>ja</v>
      </c>
      <c r="I30" s="950" t="str">
        <f>+H30</f>
        <v>ja</v>
      </c>
      <c r="J30" s="950" t="str">
        <f>+I30</f>
        <v>ja</v>
      </c>
      <c r="K30" s="950" t="str">
        <f>J30</f>
        <v>ja</v>
      </c>
      <c r="L30" s="110"/>
      <c r="M30" s="63"/>
      <c r="T30" s="5"/>
      <c r="U30" s="5"/>
      <c r="V30" s="5"/>
      <c r="W30" s="5"/>
      <c r="X30" s="5"/>
      <c r="Z30" s="22"/>
    </row>
    <row r="31" spans="2:26" s="19" customFormat="1" ht="14.45" customHeight="1" x14ac:dyDescent="0.2">
      <c r="B31" s="58"/>
      <c r="C31" s="105"/>
      <c r="D31" s="106" t="s">
        <v>365</v>
      </c>
      <c r="E31" s="106"/>
      <c r="F31" s="106"/>
      <c r="G31" s="945">
        <f>SUM(G25:G26)</f>
        <v>0</v>
      </c>
      <c r="H31" s="945">
        <f>SUM(H25:H26)</f>
        <v>0</v>
      </c>
      <c r="I31" s="945">
        <f>SUM(I25:I26)</f>
        <v>0</v>
      </c>
      <c r="J31" s="945">
        <f>SUM(J25:J26)</f>
        <v>0</v>
      </c>
      <c r="K31" s="945">
        <f>SUM(K25:K26)</f>
        <v>0</v>
      </c>
      <c r="L31" s="107"/>
      <c r="M31" s="61"/>
      <c r="Z31" s="21"/>
    </row>
    <row r="32" spans="2:26" ht="14.45" customHeight="1" x14ac:dyDescent="0.2">
      <c r="B32" s="34"/>
      <c r="C32" s="91"/>
      <c r="D32" s="103"/>
      <c r="E32" s="103"/>
      <c r="F32" s="103"/>
      <c r="G32" s="112"/>
      <c r="H32" s="112"/>
      <c r="I32" s="112"/>
      <c r="J32" s="112"/>
      <c r="K32" s="112"/>
      <c r="L32" s="110"/>
      <c r="M32" s="63"/>
      <c r="T32" s="5"/>
      <c r="U32" s="5"/>
      <c r="V32" s="5"/>
      <c r="W32" s="5"/>
      <c r="X32" s="5"/>
      <c r="Z32" s="22"/>
    </row>
    <row r="33" spans="2:26" ht="14.45" customHeight="1" x14ac:dyDescent="0.2">
      <c r="B33" s="34"/>
      <c r="C33" s="91"/>
      <c r="D33" s="103" t="s">
        <v>124</v>
      </c>
      <c r="E33" s="103"/>
      <c r="F33" s="103"/>
      <c r="G33" s="946">
        <f>FLOOR(G24*1.03,1)</f>
        <v>113</v>
      </c>
      <c r="H33" s="946">
        <f>FLOOR(H24*1.03,1)</f>
        <v>92</v>
      </c>
      <c r="I33" s="946">
        <f>FLOOR(I24*1.03,1)</f>
        <v>92</v>
      </c>
      <c r="J33" s="946">
        <f>FLOOR(J24*1.03,1)</f>
        <v>92</v>
      </c>
      <c r="K33" s="946">
        <f>FLOOR(K24*1.03,1)</f>
        <v>92</v>
      </c>
      <c r="L33" s="110"/>
      <c r="M33" s="63"/>
      <c r="T33" s="5"/>
      <c r="U33" s="5"/>
      <c r="V33" s="5"/>
      <c r="W33" s="5"/>
      <c r="X33" s="5"/>
      <c r="Z33" s="22"/>
    </row>
    <row r="34" spans="2:26" ht="14.45" customHeight="1" x14ac:dyDescent="0.2">
      <c r="B34" s="34"/>
      <c r="C34" s="91"/>
      <c r="D34" s="92"/>
      <c r="E34" s="92"/>
      <c r="F34" s="92"/>
      <c r="G34" s="113"/>
      <c r="H34" s="113"/>
      <c r="I34" s="113"/>
      <c r="J34" s="113"/>
      <c r="K34" s="113"/>
      <c r="L34" s="114"/>
      <c r="M34" s="65"/>
      <c r="P34" s="381"/>
      <c r="T34" s="5"/>
      <c r="U34" s="5"/>
      <c r="V34" s="5"/>
      <c r="W34" s="5"/>
      <c r="X34" s="5"/>
      <c r="Z34" s="23"/>
    </row>
    <row r="35" spans="2:26" ht="14.45" customHeight="1" x14ac:dyDescent="0.2">
      <c r="B35" s="34"/>
      <c r="C35" s="35"/>
      <c r="D35" s="35"/>
      <c r="E35" s="35"/>
      <c r="F35" s="35"/>
      <c r="G35" s="56"/>
      <c r="H35" s="56"/>
      <c r="I35" s="56"/>
      <c r="J35" s="56"/>
      <c r="K35" s="56"/>
      <c r="L35" s="64"/>
      <c r="M35" s="65"/>
      <c r="T35" s="5"/>
      <c r="U35" s="5"/>
      <c r="V35" s="5"/>
      <c r="W35" s="5"/>
      <c r="X35" s="5"/>
      <c r="Z35" s="23"/>
    </row>
    <row r="36" spans="2:26" ht="14.45" customHeight="1" x14ac:dyDescent="0.2">
      <c r="B36" s="34"/>
      <c r="C36" s="86"/>
      <c r="D36" s="87"/>
      <c r="E36" s="87"/>
      <c r="F36" s="87"/>
      <c r="G36" s="144"/>
      <c r="H36" s="145"/>
      <c r="I36" s="145"/>
      <c r="J36" s="145"/>
      <c r="K36" s="145"/>
      <c r="L36" s="146"/>
      <c r="M36" s="65"/>
      <c r="T36" s="5"/>
      <c r="U36" s="5"/>
      <c r="V36" s="5"/>
      <c r="W36" s="5"/>
      <c r="X36" s="5"/>
      <c r="Z36" s="23"/>
    </row>
    <row r="37" spans="2:26" ht="14.45" customHeight="1" x14ac:dyDescent="0.2">
      <c r="B37" s="34"/>
      <c r="C37" s="91"/>
      <c r="D37" s="743" t="s">
        <v>432</v>
      </c>
      <c r="E37" s="744"/>
      <c r="F37" s="744"/>
      <c r="G37" s="745" t="str">
        <f>G16</f>
        <v>2016/17</v>
      </c>
      <c r="H37" s="745" t="str">
        <f>H16</f>
        <v>2017/18</v>
      </c>
      <c r="I37" s="746" t="s">
        <v>436</v>
      </c>
      <c r="J37" s="747"/>
      <c r="K37" s="747"/>
      <c r="L37" s="114"/>
      <c r="M37" s="65"/>
      <c r="T37" s="5"/>
      <c r="U37" s="5"/>
      <c r="V37" s="5"/>
      <c r="W37" s="5"/>
      <c r="X37" s="5"/>
      <c r="Z37" s="23"/>
    </row>
    <row r="38" spans="2:26" ht="14.45" customHeight="1" x14ac:dyDescent="0.2">
      <c r="B38" s="34"/>
      <c r="C38" s="91"/>
      <c r="D38" s="117"/>
      <c r="E38" s="92"/>
      <c r="F38" s="92"/>
      <c r="I38" s="748" t="s">
        <v>437</v>
      </c>
      <c r="J38" s="747"/>
      <c r="K38" s="747"/>
      <c r="L38" s="114"/>
      <c r="M38" s="65"/>
      <c r="T38" s="5"/>
      <c r="U38" s="5"/>
      <c r="V38" s="5"/>
      <c r="W38" s="5"/>
      <c r="X38" s="5"/>
      <c r="Z38" s="23"/>
    </row>
    <row r="39" spans="2:26" ht="14.45" customHeight="1" x14ac:dyDescent="0.2">
      <c r="B39" s="34"/>
      <c r="C39" s="91"/>
      <c r="D39" s="117" t="s">
        <v>499</v>
      </c>
      <c r="E39" s="92"/>
      <c r="F39" s="92"/>
      <c r="G39" s="947">
        <f>IF(G40=0,0,(ROUND(tab!E22+tab!E23*G40,2)))</f>
        <v>61309.61</v>
      </c>
      <c r="H39" s="947">
        <f>IF(H40=0,0,(ROUND(tab!F22+tab!F23*H40,2)))</f>
        <v>61309.61</v>
      </c>
      <c r="I39" s="748" t="s">
        <v>501</v>
      </c>
      <c r="J39" s="749"/>
      <c r="K39" s="749"/>
      <c r="L39" s="114"/>
      <c r="M39" s="65"/>
      <c r="T39" s="5"/>
      <c r="U39" s="5"/>
      <c r="V39" s="5"/>
      <c r="W39" s="5"/>
      <c r="X39" s="5"/>
      <c r="Z39" s="23"/>
    </row>
    <row r="40" spans="2:26" ht="14.45" customHeight="1" x14ac:dyDescent="0.2">
      <c r="B40" s="34"/>
      <c r="C40" s="91"/>
      <c r="D40" s="205" t="s">
        <v>438</v>
      </c>
      <c r="E40" s="92"/>
      <c r="F40" s="92"/>
      <c r="G40" s="163">
        <v>40.520000000000003</v>
      </c>
      <c r="H40" s="163">
        <f>G40</f>
        <v>40.520000000000003</v>
      </c>
      <c r="I40" s="748" t="s">
        <v>502</v>
      </c>
      <c r="J40" s="747"/>
      <c r="K40" s="747"/>
      <c r="L40" s="114"/>
      <c r="M40" s="65"/>
      <c r="T40" s="5"/>
      <c r="U40" s="5"/>
      <c r="V40" s="5"/>
      <c r="W40" s="5"/>
      <c r="X40" s="5"/>
      <c r="Z40" s="23"/>
    </row>
    <row r="41" spans="2:26" ht="14.45" customHeight="1" x14ac:dyDescent="0.2">
      <c r="B41" s="34"/>
      <c r="D41" s="205"/>
      <c r="G41" s="5"/>
      <c r="H41" s="5"/>
      <c r="I41" s="748" t="s">
        <v>503</v>
      </c>
      <c r="J41" s="750"/>
      <c r="K41" s="750"/>
      <c r="L41" s="23"/>
      <c r="M41" s="65"/>
      <c r="T41" s="5"/>
      <c r="U41" s="5"/>
      <c r="V41" s="5"/>
      <c r="W41" s="5"/>
      <c r="X41" s="5"/>
      <c r="Z41" s="23"/>
    </row>
    <row r="42" spans="2:26" ht="14.45" customHeight="1" x14ac:dyDescent="0.2">
      <c r="B42" s="34"/>
      <c r="D42" s="117" t="s">
        <v>500</v>
      </c>
      <c r="E42" s="381"/>
      <c r="G42" s="948">
        <f>IF(G43=0,0,(G44/G43))</f>
        <v>61000</v>
      </c>
      <c r="H42" s="948">
        <f>IF(H43=0,0,(H44/H43))</f>
        <v>61000</v>
      </c>
      <c r="I42" s="748" t="s">
        <v>528</v>
      </c>
      <c r="J42" s="750"/>
      <c r="K42" s="750"/>
      <c r="L42" s="23"/>
      <c r="M42" s="65"/>
      <c r="T42" s="5"/>
      <c r="U42" s="5"/>
      <c r="V42" s="5"/>
      <c r="W42" s="5"/>
      <c r="X42" s="5"/>
      <c r="Z42" s="23"/>
    </row>
    <row r="43" spans="2:26" ht="14.45" customHeight="1" x14ac:dyDescent="0.2">
      <c r="B43" s="34"/>
      <c r="D43" s="160" t="s">
        <v>434</v>
      </c>
      <c r="E43" s="205"/>
      <c r="F43" s="205"/>
      <c r="G43" s="164">
        <v>1</v>
      </c>
      <c r="H43" s="164">
        <f>G43</f>
        <v>1</v>
      </c>
      <c r="I43" s="748" t="s">
        <v>529</v>
      </c>
      <c r="J43" s="750"/>
      <c r="K43" s="750"/>
      <c r="L43" s="23"/>
      <c r="M43" s="65"/>
      <c r="T43" s="5"/>
      <c r="U43" s="5"/>
      <c r="V43" s="5"/>
      <c r="W43" s="5"/>
      <c r="X43" s="5"/>
      <c r="Z43" s="23"/>
    </row>
    <row r="44" spans="2:26" ht="14.45" customHeight="1" x14ac:dyDescent="0.2">
      <c r="B44" s="34"/>
      <c r="D44" s="160" t="s">
        <v>435</v>
      </c>
      <c r="E44" s="205"/>
      <c r="F44" s="205"/>
      <c r="G44" s="667">
        <v>61000</v>
      </c>
      <c r="H44" s="667">
        <f>G44</f>
        <v>61000</v>
      </c>
      <c r="I44" s="960" t="s">
        <v>504</v>
      </c>
      <c r="J44" s="750"/>
      <c r="K44" s="750"/>
      <c r="L44" s="23"/>
      <c r="M44" s="65"/>
      <c r="T44" s="5"/>
      <c r="U44" s="5"/>
      <c r="V44" s="5"/>
      <c r="W44" s="5"/>
      <c r="X44" s="5"/>
      <c r="Z44" s="23"/>
    </row>
    <row r="45" spans="2:26" ht="14.45" customHeight="1" x14ac:dyDescent="0.2">
      <c r="B45" s="34"/>
      <c r="D45" s="205"/>
      <c r="E45" s="205"/>
      <c r="F45" s="205"/>
      <c r="G45" s="205"/>
      <c r="H45" s="205"/>
      <c r="I45" s="607"/>
      <c r="J45" s="18"/>
      <c r="K45" s="18"/>
      <c r="L45" s="23"/>
      <c r="M45" s="65"/>
      <c r="T45" s="5"/>
      <c r="U45" s="5"/>
      <c r="V45" s="5"/>
      <c r="W45" s="5"/>
      <c r="X45" s="5"/>
      <c r="Z45" s="23"/>
    </row>
    <row r="46" spans="2:26" ht="14.45" customHeight="1" x14ac:dyDescent="0.2">
      <c r="B46" s="34"/>
      <c r="C46" s="35"/>
      <c r="D46" s="35"/>
      <c r="E46" s="35"/>
      <c r="F46" s="35"/>
      <c r="G46" s="56"/>
      <c r="H46" s="56"/>
      <c r="I46" s="56"/>
      <c r="J46" s="56"/>
      <c r="K46" s="56"/>
      <c r="L46" s="64"/>
      <c r="M46" s="65"/>
      <c r="T46" s="5"/>
      <c r="U46" s="5"/>
      <c r="V46" s="5"/>
      <c r="W46" s="5"/>
      <c r="X46" s="5"/>
      <c r="Z46" s="23"/>
    </row>
    <row r="47" spans="2:26" ht="14.45" customHeight="1" x14ac:dyDescent="0.2">
      <c r="B47" s="34"/>
      <c r="C47" s="35"/>
      <c r="D47" s="35"/>
      <c r="E47" s="35"/>
      <c r="F47" s="35"/>
      <c r="G47" s="56"/>
      <c r="H47" s="56"/>
      <c r="I47" s="56"/>
      <c r="J47" s="56"/>
      <c r="K47" s="56"/>
      <c r="L47" s="64"/>
      <c r="M47" s="65"/>
      <c r="T47" s="5"/>
      <c r="U47" s="5"/>
      <c r="V47" s="5"/>
      <c r="W47" s="5"/>
      <c r="X47" s="5"/>
      <c r="Z47" s="23"/>
    </row>
    <row r="48" spans="2:26" ht="14.45" customHeight="1" x14ac:dyDescent="0.2">
      <c r="B48" s="34"/>
      <c r="C48" s="35"/>
      <c r="D48" s="35"/>
      <c r="E48" s="35"/>
      <c r="F48" s="35"/>
      <c r="G48" s="56"/>
      <c r="H48" s="56"/>
      <c r="I48" s="56"/>
      <c r="J48" s="56"/>
      <c r="K48" s="56"/>
      <c r="L48" s="64"/>
      <c r="M48" s="65"/>
      <c r="T48" s="5"/>
      <c r="U48" s="5"/>
      <c r="V48" s="5"/>
      <c r="W48" s="5"/>
      <c r="X48" s="5"/>
      <c r="Z48" s="23"/>
    </row>
    <row r="49" spans="2:26" ht="14.45" customHeight="1" x14ac:dyDescent="0.2">
      <c r="B49" s="34"/>
      <c r="C49" s="35"/>
      <c r="D49" s="35"/>
      <c r="E49" s="738" t="s">
        <v>140</v>
      </c>
      <c r="F49" s="751"/>
      <c r="G49" s="752">
        <f>G17+1</f>
        <v>2016</v>
      </c>
      <c r="H49" s="752">
        <f>H17+1</f>
        <v>2017</v>
      </c>
      <c r="I49" s="752">
        <f>I17+1</f>
        <v>2018</v>
      </c>
      <c r="J49" s="752">
        <f>J17+1</f>
        <v>2019</v>
      </c>
      <c r="K49" s="752">
        <f>K17+1</f>
        <v>2020</v>
      </c>
      <c r="L49" s="64"/>
      <c r="M49" s="65"/>
      <c r="T49" s="5"/>
      <c r="U49" s="5"/>
      <c r="V49" s="5"/>
      <c r="W49" s="5"/>
      <c r="X49" s="5"/>
      <c r="Z49" s="23"/>
    </row>
    <row r="50" spans="2:26" ht="14.45" customHeight="1" x14ac:dyDescent="0.2">
      <c r="B50" s="34"/>
      <c r="C50" s="35"/>
      <c r="D50" s="35"/>
      <c r="E50" s="35"/>
      <c r="F50" s="35"/>
      <c r="G50" s="67"/>
      <c r="H50" s="67"/>
      <c r="I50" s="56"/>
      <c r="J50" s="56"/>
      <c r="K50" s="56"/>
      <c r="L50" s="62"/>
      <c r="M50" s="65"/>
      <c r="T50" s="5"/>
      <c r="U50" s="5"/>
      <c r="V50" s="5"/>
      <c r="W50" s="5"/>
      <c r="X50" s="5"/>
      <c r="Z50" s="23"/>
    </row>
    <row r="51" spans="2:26" ht="14.45" customHeight="1" x14ac:dyDescent="0.2">
      <c r="B51" s="34"/>
      <c r="C51" s="86"/>
      <c r="D51" s="87"/>
      <c r="E51" s="87"/>
      <c r="F51" s="87"/>
      <c r="G51" s="148"/>
      <c r="H51" s="148"/>
      <c r="I51" s="145"/>
      <c r="J51" s="145"/>
      <c r="K51" s="145"/>
      <c r="L51" s="149"/>
      <c r="M51" s="65"/>
      <c r="T51" s="5"/>
      <c r="U51" s="5"/>
      <c r="V51" s="5"/>
      <c r="W51" s="5"/>
      <c r="X51" s="5"/>
      <c r="Z51" s="23"/>
    </row>
    <row r="52" spans="2:26" ht="14.45" customHeight="1" x14ac:dyDescent="0.2">
      <c r="B52" s="34"/>
      <c r="C52" s="91"/>
      <c r="D52" s="103" t="s">
        <v>257</v>
      </c>
      <c r="E52" s="160"/>
      <c r="F52" s="103"/>
      <c r="G52" s="157">
        <v>0</v>
      </c>
      <c r="H52" s="158">
        <v>0</v>
      </c>
      <c r="I52" s="158">
        <f>H52</f>
        <v>0</v>
      </c>
      <c r="J52" s="158">
        <f>I52</f>
        <v>0</v>
      </c>
      <c r="K52" s="158">
        <f>J52</f>
        <v>0</v>
      </c>
      <c r="L52" s="114"/>
      <c r="M52" s="65"/>
      <c r="T52" s="5"/>
      <c r="U52" s="5"/>
      <c r="V52" s="5"/>
      <c r="W52" s="5"/>
      <c r="X52" s="5"/>
      <c r="Z52" s="23"/>
    </row>
    <row r="53" spans="2:26" ht="14.45" customHeight="1" x14ac:dyDescent="0.2">
      <c r="B53" s="34"/>
      <c r="C53" s="91"/>
      <c r="D53" s="103" t="s">
        <v>260</v>
      </c>
      <c r="E53" s="103"/>
      <c r="F53" s="103"/>
      <c r="G53" s="951">
        <f>FLOOR(+G52*1.03,1)</f>
        <v>0</v>
      </c>
      <c r="H53" s="951">
        <f>FLOOR(+H52*1.03,1)</f>
        <v>0</v>
      </c>
      <c r="I53" s="951">
        <f>FLOOR(+I52*1.03,1)</f>
        <v>0</v>
      </c>
      <c r="J53" s="951">
        <f>FLOOR(+J52*1.03,1)</f>
        <v>0</v>
      </c>
      <c r="K53" s="951">
        <f>FLOOR(+K52*1.03,1)</f>
        <v>0</v>
      </c>
      <c r="L53" s="114"/>
      <c r="M53" s="65"/>
      <c r="T53" s="5"/>
      <c r="U53" s="5"/>
      <c r="V53" s="5"/>
      <c r="W53" s="5"/>
      <c r="X53" s="5"/>
      <c r="Z53" s="23"/>
    </row>
    <row r="54" spans="2:26" ht="14.45" customHeight="1" x14ac:dyDescent="0.2">
      <c r="B54" s="34"/>
      <c r="C54" s="91"/>
      <c r="D54" s="92"/>
      <c r="E54" s="92"/>
      <c r="F54" s="92"/>
      <c r="G54" s="113"/>
      <c r="H54" s="113"/>
      <c r="I54" s="113"/>
      <c r="J54" s="113"/>
      <c r="K54" s="113"/>
      <c r="L54" s="114"/>
      <c r="M54" s="65"/>
      <c r="T54" s="5"/>
      <c r="U54" s="5"/>
      <c r="V54" s="5"/>
      <c r="W54" s="5"/>
      <c r="X54" s="5"/>
      <c r="Z54" s="23"/>
    </row>
    <row r="55" spans="2:26" ht="14.45" customHeight="1" x14ac:dyDescent="0.2">
      <c r="B55" s="34"/>
      <c r="C55" s="91"/>
      <c r="D55" s="753" t="s">
        <v>113</v>
      </c>
      <c r="E55" s="103"/>
      <c r="F55" s="92"/>
      <c r="G55" s="113"/>
      <c r="H55" s="113"/>
      <c r="I55" s="113"/>
      <c r="J55" s="113"/>
      <c r="K55" s="113"/>
      <c r="L55" s="110"/>
      <c r="M55" s="65"/>
      <c r="T55" s="5"/>
      <c r="U55" s="5"/>
      <c r="V55" s="5"/>
      <c r="W55" s="5"/>
      <c r="X55" s="5"/>
      <c r="Z55" s="23"/>
    </row>
    <row r="56" spans="2:26" ht="14.45" customHeight="1" x14ac:dyDescent="0.2">
      <c r="B56" s="34"/>
      <c r="C56" s="91"/>
      <c r="D56" s="92" t="s">
        <v>322</v>
      </c>
      <c r="E56" s="92"/>
      <c r="F56" s="103"/>
      <c r="G56" s="928">
        <f>IF(G24=0,0,ROUND(((tab!$D$114*G22)+(tab!$D$115*G23)+(IF(tab!$D$117-(G24*tab!$D$118)&lt;0,0,(tab!$D$117-(G24*tab!$D$118))))+(tab!$D$116*G28)),0))</f>
        <v>5</v>
      </c>
      <c r="H56" s="928">
        <f>IF(H24=0,0,ROUND(((tab!$J$114*H22)+(tab!$J$115*H23)+(IF(tab!$J$117-(H24*tab!$J$118)&lt;0,0,(tab!$J$117-(H24*tab!$J$118))))+(tab!$J$116*H28)),0))</f>
        <v>4</v>
      </c>
      <c r="I56" s="928">
        <f>IF(I24=0,0,ROUND(((tab!$J$114*I22)+(tab!$J$115*I23)+(IF(tab!$J$117-(I24*tab!$J$118)&lt;0,0,(tab!$J$117-(I24*tab!$J$118))))+(tab!$J$116*I28)),0))</f>
        <v>4</v>
      </c>
      <c r="J56" s="928">
        <f>IF(J24=0,0,ROUND(((tab!$J$114*J22)+(tab!$J$115*J23)+(IF(tab!$J$117-(J24*tab!$J$118)&lt;0,0,(tab!$J$117-(J24*tab!$J$118))))+(tab!$J$116*J28)),0))</f>
        <v>4</v>
      </c>
      <c r="K56" s="928">
        <f>IF(K24=0,0,ROUND(((tab!$J$114*K22)+(tab!$J$115*K23)+(IF(tab!$J$117-(K24*tab!$J$118)&lt;0,0,(tab!$J$117-(K24*tab!$J$118))))+(tab!$J$116*K28)),0))</f>
        <v>4</v>
      </c>
      <c r="L56" s="119"/>
      <c r="M56" s="65"/>
      <c r="T56" s="5"/>
      <c r="U56" s="5"/>
      <c r="V56" s="5"/>
      <c r="W56" s="5"/>
      <c r="X56" s="5"/>
      <c r="Z56" s="23"/>
    </row>
    <row r="57" spans="2:26" ht="14.45" customHeight="1" x14ac:dyDescent="0.2">
      <c r="B57" s="34"/>
      <c r="C57" s="91"/>
      <c r="D57" s="103" t="str">
        <f>D81</f>
        <v xml:space="preserve">Hoofdvestiging </v>
      </c>
      <c r="E57" s="103"/>
      <c r="F57" s="103"/>
      <c r="G57" s="913">
        <f>IF(G85=0,0,(ROUND(((tab!$D$114*G83)+(tab!$D$115*G84)+(IF(tab!$D$117-(G85*tab!$D$118)&lt;0,0,(tab!$D$117-(G85*tab!$D$118))))+(tab!$D$116*G89)),0)))</f>
        <v>0</v>
      </c>
      <c r="H57" s="913">
        <f>IF(H85=0,0,(ROUND(((tab!$J$114*H83)+(tab!$J$115*H84)+(IF(tab!$J$117-(H85*tab!$J$118)&lt;0,0,(tab!$J$117-(H85*tab!$J$118))))+(tab!$J$116*H89)),0)))</f>
        <v>0</v>
      </c>
      <c r="I57" s="913">
        <f>IF(I85=0,0,(ROUND(((tab!$J$114*I83)+(tab!$J$115*I84)+(IF(tab!$J$117-(I85*tab!$J$118)&lt;0,0,(tab!$J$117-(I85*tab!$J$118))))+(tab!$J$116*I89)),0)))</f>
        <v>0</v>
      </c>
      <c r="J57" s="913">
        <f>IF(J85=0,0,(ROUND(((tab!$J$114*J83)+(tab!$J$115*J84)+(IF(tab!$J$117-(J85*tab!$J$118)&lt;0,0,(tab!$J$117-(J85*tab!$J$118))))+(tab!$J$116*J89)),0)))</f>
        <v>0</v>
      </c>
      <c r="K57" s="913">
        <f>IF(K85=0,0,(ROUND(((tab!$J$114*K83)+(tab!$J$115*K84)+(IF(tab!$J$117-(K85*tab!$J$118)&lt;0,0,(tab!$J$117-(K85*tab!$J$118))))+(tab!$J$116*K89)),0)))</f>
        <v>0</v>
      </c>
      <c r="L57" s="119"/>
      <c r="M57" s="65"/>
      <c r="T57" s="5"/>
      <c r="U57" s="5"/>
      <c r="V57" s="5"/>
      <c r="W57" s="5"/>
      <c r="X57" s="5"/>
      <c r="Z57" s="23"/>
    </row>
    <row r="58" spans="2:26" ht="14.45" customHeight="1" x14ac:dyDescent="0.2">
      <c r="B58" s="34"/>
      <c r="C58" s="91"/>
      <c r="D58" s="103" t="str">
        <f>D94</f>
        <v>Nevenvestiging 1</v>
      </c>
      <c r="E58" s="103"/>
      <c r="F58" s="103"/>
      <c r="G58" s="913">
        <f>IF(G98=0,0,(ROUND(((tab!$D$114*G96)+(tab!$D$115*G97)+(IF(tab!$D$117-(G98*tab!$D$118)&lt;0,0,(tab!$D$117-(G98*tab!$D$118))))+(tab!$D$116*G102)),0)))</f>
        <v>0</v>
      </c>
      <c r="H58" s="913">
        <f>IF(H98=0,0,(ROUND(((tab!$J$114*H96)+(tab!$J$115*H97)+(IF(tab!$J$117-(H98*tab!$J$118)&lt;0,0,(tab!$J$117-(H98*tab!$J$118))))+(tab!$J$116*H102)),0)))</f>
        <v>0</v>
      </c>
      <c r="I58" s="913">
        <f>IF(I98=0,0,(ROUND(((tab!$J$114*I96)+(tab!$J$115*I97)+(IF(tab!$J$117-(I98*tab!$J$118)&lt;0,0,(tab!$J$117-(I98*tab!$J$118))))+(tab!$J$116*I102)),0)))</f>
        <v>0</v>
      </c>
      <c r="J58" s="913">
        <f>IF(J98=0,0,(ROUND(((tab!$J$114*J96)+(tab!$J$115*J97)+(IF(tab!$J$117-(J98*tab!$J$118)&lt;0,0,(tab!$J$117-(J98*tab!$J$118))))+(tab!$J$116*J102)),0)))</f>
        <v>0</v>
      </c>
      <c r="K58" s="913">
        <f>IF(K98=0,0,(ROUND(((tab!$J$114*K96)+(tab!$J$115*K97)+(IF(tab!$J$117-(K98*tab!$J$118)&lt;0,0,(tab!$J$117-(K98*tab!$J$118))))+(tab!$J$116*K102)),0)))</f>
        <v>0</v>
      </c>
      <c r="L58" s="119"/>
      <c r="M58" s="65"/>
      <c r="T58" s="5"/>
      <c r="U58" s="5"/>
      <c r="V58" s="5"/>
      <c r="W58" s="5"/>
      <c r="X58" s="5"/>
      <c r="Z58" s="23"/>
    </row>
    <row r="59" spans="2:26" ht="14.45" customHeight="1" x14ac:dyDescent="0.2">
      <c r="B59" s="34"/>
      <c r="C59" s="91"/>
      <c r="D59" s="103" t="str">
        <f>D107</f>
        <v>Nevenvestiging 2</v>
      </c>
      <c r="E59" s="103"/>
      <c r="F59" s="103"/>
      <c r="G59" s="913">
        <f>IF(G111=0,0,(ROUND(((tab!$D$114*G109)+(tab!$D$115*G110)+(IF(tab!$D$117-(G111*tab!$D$118)&lt;0,0,(tab!$D$117-(G111*tab!$D$118))))+(tab!$D$116*G115)),0)))</f>
        <v>0</v>
      </c>
      <c r="H59" s="913">
        <f>IF(H111=0,0,(ROUND(((tab!$J$114*H109)+(tab!$J$115*H110)+(IF(tab!$J$117-(H111*tab!$J$118)&lt;0,0,(tab!$J$117-(H111*tab!$J$118))))+(tab!$J$116*H115)),0)))</f>
        <v>0</v>
      </c>
      <c r="I59" s="913">
        <f>IF(I111=0,0,(ROUND(((tab!$J$114*I109)+(tab!$J$115*I110)+(IF(tab!$J$117-(I111*tab!$J$118)&lt;0,0,(tab!$J$117-(I111*tab!$J$118))))+(tab!$J$116*I115)),0)))</f>
        <v>0</v>
      </c>
      <c r="J59" s="913">
        <f>IF(J111=0,0,(ROUND(((tab!$J$114*J109)+(tab!$J$115*J110)+(IF(tab!$J$117-(J111*tab!$J$118)&lt;0,0,(tab!$J$117-(J111*tab!$J$118))))+(tab!$J$116*J115)),0)))</f>
        <v>0</v>
      </c>
      <c r="K59" s="913">
        <f>IF(K111=0,0,(ROUND(((tab!$J$114*K109)+(tab!$J$115*K110)+(IF(tab!$J$117-(K111*tab!$J$118)&lt;0,0,(tab!$J$117-(K111*tab!$J$118))))+(tab!$J$116*K115)),0)))</f>
        <v>0</v>
      </c>
      <c r="L59" s="119"/>
      <c r="M59" s="65"/>
      <c r="T59" s="5"/>
      <c r="U59" s="5"/>
      <c r="V59" s="5"/>
      <c r="W59" s="5"/>
      <c r="X59" s="5"/>
      <c r="Z59" s="23"/>
    </row>
    <row r="60" spans="2:26" ht="14.45" customHeight="1" x14ac:dyDescent="0.2">
      <c r="B60" s="34"/>
      <c r="C60" s="91"/>
      <c r="D60" s="103" t="str">
        <f>D120</f>
        <v>Nevenvestiging 3</v>
      </c>
      <c r="E60" s="103"/>
      <c r="F60" s="103"/>
      <c r="G60" s="913">
        <f>IF(G124=0,0,(ROUND(((tab!$D$114*G122)+(tab!$D$115*G123)+(IF(tab!$D$117-(G124*tab!$D$118)&lt;0,0,(tab!$D$117-(G124*tab!$D$118))))+(tab!$D$116*G128)),0)))</f>
        <v>0</v>
      </c>
      <c r="H60" s="913">
        <f>IF(H124=0,0,(ROUND(((tab!$J$114*H122)+(tab!$J$115*H123)+(IF(tab!$J$117-(H124*tab!$J$118)&lt;0,0,(tab!$J$117-(H124*tab!$J$118))))+(tab!$J$116*H128)),0)))</f>
        <v>0</v>
      </c>
      <c r="I60" s="913">
        <f>IF(I124=0,0,(ROUND(((tab!$J$114*I122)+(tab!$J$115*I123)+(IF(tab!$J$117-(I124*tab!$J$118)&lt;0,0,(tab!$J$117-(I124*tab!$J$118))))+(tab!$J$116*I128)),0)))</f>
        <v>0</v>
      </c>
      <c r="J60" s="913">
        <f>IF(J124=0,0,(ROUND(((tab!$J$114*J122)+(tab!$J$115*J123)+(IF(tab!$J$117-(J124*tab!$J$118)&lt;0,0,(tab!$J$117-(J124*tab!$J$118))))+(tab!$J$116*J128)),0)))</f>
        <v>0</v>
      </c>
      <c r="K60" s="913">
        <f>IF(K124=0,0,(ROUND(((tab!$J$114*K122)+(tab!$J$115*K123)+(IF(tab!$J$117-(K124*tab!$J$118)&lt;0,0,(tab!$J$117-(K124*tab!$J$118))))+(tab!$J$116*K128)),0)))</f>
        <v>0</v>
      </c>
      <c r="L60" s="119"/>
      <c r="M60" s="65"/>
      <c r="T60" s="5"/>
      <c r="U60" s="5"/>
      <c r="V60" s="5"/>
      <c r="W60" s="5"/>
      <c r="X60" s="5"/>
      <c r="Z60" s="23"/>
    </row>
    <row r="61" spans="2:26" ht="14.45" customHeight="1" x14ac:dyDescent="0.2">
      <c r="B61" s="34"/>
      <c r="C61" s="91"/>
      <c r="D61" s="103"/>
      <c r="E61" s="103"/>
      <c r="F61" s="103"/>
      <c r="G61" s="109"/>
      <c r="H61" s="109"/>
      <c r="I61" s="109"/>
      <c r="J61" s="109"/>
      <c r="K61" s="109"/>
      <c r="L61" s="119"/>
      <c r="M61" s="65"/>
      <c r="T61" s="5"/>
      <c r="U61" s="5"/>
      <c r="V61" s="5"/>
      <c r="W61" s="5"/>
      <c r="X61" s="5"/>
      <c r="Z61" s="23"/>
    </row>
    <row r="62" spans="2:26" ht="14.45" customHeight="1" x14ac:dyDescent="0.2">
      <c r="B62" s="34"/>
      <c r="C62" s="91"/>
      <c r="D62" s="753" t="s">
        <v>122</v>
      </c>
      <c r="E62" s="103"/>
      <c r="F62" s="103"/>
      <c r="G62" s="109"/>
      <c r="H62" s="109"/>
      <c r="I62" s="109"/>
      <c r="J62" s="109"/>
      <c r="K62" s="109"/>
      <c r="L62" s="119"/>
      <c r="M62" s="65"/>
      <c r="T62" s="5"/>
      <c r="U62" s="5"/>
      <c r="V62" s="5"/>
      <c r="W62" s="5"/>
      <c r="X62" s="5"/>
      <c r="Z62" s="23"/>
    </row>
    <row r="63" spans="2:26" ht="14.45" customHeight="1" x14ac:dyDescent="0.2">
      <c r="B63" s="34"/>
      <c r="C63" s="91"/>
      <c r="D63" s="92" t="s">
        <v>322</v>
      </c>
      <c r="E63" s="92"/>
      <c r="F63" s="103"/>
      <c r="G63" s="913">
        <f t="shared" ref="G63:J67" si="3">LOOKUP(G56,groepenleerlingennu,vloeroppervlaknu)</f>
        <v>785</v>
      </c>
      <c r="H63" s="913">
        <f t="shared" si="3"/>
        <v>650</v>
      </c>
      <c r="I63" s="913">
        <f t="shared" si="3"/>
        <v>650</v>
      </c>
      <c r="J63" s="913">
        <f t="shared" si="3"/>
        <v>650</v>
      </c>
      <c r="K63" s="913">
        <f>LOOKUP(K56,groepenleerlingennu,vloeroppervlaknu)</f>
        <v>650</v>
      </c>
      <c r="L63" s="119"/>
      <c r="M63" s="65"/>
      <c r="T63" s="5"/>
      <c r="U63" s="5"/>
      <c r="V63" s="5"/>
      <c r="W63" s="5"/>
      <c r="X63" s="5"/>
      <c r="Z63" s="23"/>
    </row>
    <row r="64" spans="2:26" ht="14.45" customHeight="1" x14ac:dyDescent="0.2">
      <c r="B64" s="34"/>
      <c r="C64" s="91"/>
      <c r="D64" s="103" t="str">
        <f>D57</f>
        <v xml:space="preserve">Hoofdvestiging </v>
      </c>
      <c r="E64" s="103"/>
      <c r="F64" s="103"/>
      <c r="G64" s="913">
        <f t="shared" si="3"/>
        <v>0</v>
      </c>
      <c r="H64" s="913">
        <f t="shared" si="3"/>
        <v>0</v>
      </c>
      <c r="I64" s="913">
        <f t="shared" si="3"/>
        <v>0</v>
      </c>
      <c r="J64" s="913">
        <f t="shared" si="3"/>
        <v>0</v>
      </c>
      <c r="K64" s="913">
        <f>LOOKUP(K57,groepenleerlingennu,vloeroppervlaknu)</f>
        <v>0</v>
      </c>
      <c r="L64" s="119"/>
      <c r="M64" s="65"/>
      <c r="T64" s="5"/>
      <c r="U64" s="5"/>
      <c r="V64" s="5"/>
      <c r="W64" s="5"/>
      <c r="X64" s="5"/>
      <c r="Z64" s="23"/>
    </row>
    <row r="65" spans="2:26" ht="14.45" customHeight="1" x14ac:dyDescent="0.2">
      <c r="B65" s="34"/>
      <c r="C65" s="91"/>
      <c r="D65" s="103" t="str">
        <f>D58</f>
        <v>Nevenvestiging 1</v>
      </c>
      <c r="E65" s="103"/>
      <c r="F65" s="103"/>
      <c r="G65" s="913">
        <f t="shared" si="3"/>
        <v>0</v>
      </c>
      <c r="H65" s="913">
        <f t="shared" si="3"/>
        <v>0</v>
      </c>
      <c r="I65" s="913">
        <f t="shared" si="3"/>
        <v>0</v>
      </c>
      <c r="J65" s="913">
        <f t="shared" si="3"/>
        <v>0</v>
      </c>
      <c r="K65" s="913">
        <f>LOOKUP(K58,groepenleerlingennu,vloeroppervlaknu)</f>
        <v>0</v>
      </c>
      <c r="L65" s="119"/>
      <c r="M65" s="65"/>
      <c r="T65" s="5"/>
      <c r="U65" s="5"/>
      <c r="V65" s="5"/>
      <c r="W65" s="5"/>
      <c r="X65" s="5"/>
      <c r="Z65" s="23"/>
    </row>
    <row r="66" spans="2:26" ht="14.45" customHeight="1" x14ac:dyDescent="0.2">
      <c r="B66" s="34"/>
      <c r="C66" s="91"/>
      <c r="D66" s="103" t="str">
        <f>D59</f>
        <v>Nevenvestiging 2</v>
      </c>
      <c r="E66" s="103"/>
      <c r="F66" s="103"/>
      <c r="G66" s="913">
        <f t="shared" si="3"/>
        <v>0</v>
      </c>
      <c r="H66" s="913">
        <f t="shared" si="3"/>
        <v>0</v>
      </c>
      <c r="I66" s="913">
        <f t="shared" si="3"/>
        <v>0</v>
      </c>
      <c r="J66" s="913">
        <f t="shared" si="3"/>
        <v>0</v>
      </c>
      <c r="K66" s="913">
        <f>LOOKUP(K59,groepenleerlingennu,vloeroppervlaknu)</f>
        <v>0</v>
      </c>
      <c r="L66" s="119"/>
      <c r="M66" s="65"/>
      <c r="T66" s="5"/>
      <c r="U66" s="5"/>
      <c r="V66" s="5"/>
      <c r="W66" s="5"/>
      <c r="X66" s="5"/>
      <c r="Z66" s="23"/>
    </row>
    <row r="67" spans="2:26" ht="14.45" customHeight="1" x14ac:dyDescent="0.2">
      <c r="B67" s="34"/>
      <c r="C67" s="124"/>
      <c r="D67" s="143" t="str">
        <f>D60</f>
        <v>Nevenvestiging 3</v>
      </c>
      <c r="E67" s="143"/>
      <c r="F67" s="143"/>
      <c r="G67" s="952">
        <f t="shared" si="3"/>
        <v>0</v>
      </c>
      <c r="H67" s="952">
        <f t="shared" si="3"/>
        <v>0</v>
      </c>
      <c r="I67" s="952">
        <f t="shared" si="3"/>
        <v>0</v>
      </c>
      <c r="J67" s="952">
        <f t="shared" si="3"/>
        <v>0</v>
      </c>
      <c r="K67" s="952">
        <f>LOOKUP(K60,groepenleerlingennu,vloeroppervlaknu)</f>
        <v>0</v>
      </c>
      <c r="L67" s="147"/>
      <c r="M67" s="65"/>
      <c r="T67" s="5"/>
      <c r="U67" s="5"/>
      <c r="V67" s="5"/>
      <c r="W67" s="5"/>
      <c r="X67" s="5"/>
      <c r="Z67" s="23"/>
    </row>
    <row r="68" spans="2:26" ht="14.45" customHeight="1" x14ac:dyDescent="0.2">
      <c r="B68" s="34"/>
      <c r="D68" s="17"/>
      <c r="E68" s="17"/>
      <c r="F68" s="17"/>
      <c r="G68" s="27"/>
      <c r="H68" s="27"/>
      <c r="I68" s="27"/>
      <c r="J68" s="27"/>
      <c r="K68" s="27"/>
      <c r="L68" s="25"/>
      <c r="M68" s="65"/>
      <c r="T68" s="5"/>
      <c r="U68" s="5"/>
      <c r="V68" s="5"/>
      <c r="W68" s="5"/>
      <c r="X68" s="5"/>
      <c r="Z68" s="23"/>
    </row>
    <row r="69" spans="2:26" ht="14.45" customHeight="1" x14ac:dyDescent="0.2">
      <c r="B69" s="34"/>
      <c r="C69" s="35"/>
      <c r="D69" s="35"/>
      <c r="E69" s="35"/>
      <c r="F69" s="35"/>
      <c r="G69" s="35"/>
      <c r="H69" s="35"/>
      <c r="I69" s="35"/>
      <c r="J69" s="35"/>
      <c r="K69" s="35"/>
      <c r="L69" s="35"/>
      <c r="M69" s="65"/>
      <c r="T69" s="5"/>
      <c r="U69" s="5"/>
      <c r="V69" s="5"/>
      <c r="W69" s="5"/>
      <c r="X69" s="5"/>
      <c r="Z69" s="23"/>
    </row>
    <row r="70" spans="2:26" ht="14.45" customHeight="1" x14ac:dyDescent="0.25">
      <c r="B70" s="68"/>
      <c r="C70" s="69"/>
      <c r="D70" s="69"/>
      <c r="E70" s="69"/>
      <c r="F70" s="69"/>
      <c r="G70" s="70"/>
      <c r="H70" s="71"/>
      <c r="I70" s="71"/>
      <c r="J70" s="71"/>
      <c r="K70" s="71"/>
      <c r="L70" s="72" t="s">
        <v>388</v>
      </c>
      <c r="M70" s="73"/>
      <c r="T70" s="5"/>
      <c r="U70" s="5"/>
      <c r="V70" s="5"/>
      <c r="W70" s="5"/>
      <c r="X70" s="5"/>
      <c r="Z70" s="22"/>
    </row>
    <row r="71" spans="2:26" ht="12.75" customHeight="1" x14ac:dyDescent="0.2">
      <c r="B71" s="30"/>
      <c r="C71" s="31"/>
      <c r="D71" s="31"/>
      <c r="E71" s="31"/>
      <c r="F71" s="31"/>
      <c r="G71" s="74"/>
      <c r="H71" s="75"/>
      <c r="I71" s="75"/>
      <c r="J71" s="75"/>
      <c r="K71" s="75"/>
      <c r="L71" s="76"/>
      <c r="M71" s="77"/>
      <c r="T71" s="5"/>
      <c r="U71" s="5"/>
      <c r="V71" s="5"/>
      <c r="W71" s="5"/>
      <c r="X71" s="5"/>
      <c r="Z71" s="22"/>
    </row>
    <row r="72" spans="2:26" ht="12.75" customHeight="1" x14ac:dyDescent="0.2">
      <c r="B72" s="34"/>
      <c r="C72" s="35"/>
      <c r="D72" s="35"/>
      <c r="E72" s="35"/>
      <c r="F72" s="35"/>
      <c r="G72" s="67"/>
      <c r="H72" s="56"/>
      <c r="I72" s="56"/>
      <c r="J72" s="56"/>
      <c r="K72" s="56"/>
      <c r="L72" s="62"/>
      <c r="M72" s="63"/>
      <c r="T72" s="5"/>
      <c r="U72" s="5"/>
      <c r="V72" s="5"/>
      <c r="W72" s="5"/>
      <c r="X72" s="5"/>
      <c r="Z72" s="22"/>
    </row>
    <row r="73" spans="2:26" s="28" customFormat="1" ht="18.75" customHeight="1" x14ac:dyDescent="0.3">
      <c r="B73" s="78"/>
      <c r="C73" s="214" t="s">
        <v>183</v>
      </c>
      <c r="D73" s="151"/>
      <c r="E73" s="79"/>
      <c r="F73" s="79"/>
      <c r="G73" s="80"/>
      <c r="H73" s="81"/>
      <c r="I73" s="81"/>
      <c r="J73" s="81"/>
      <c r="K73" s="81"/>
      <c r="L73" s="82"/>
      <c r="M73" s="83"/>
      <c r="Z73" s="29"/>
    </row>
    <row r="74" spans="2:26" ht="12.75" customHeight="1" x14ac:dyDescent="0.2">
      <c r="B74" s="34"/>
      <c r="C74" s="35" t="s">
        <v>184</v>
      </c>
      <c r="D74" s="35"/>
      <c r="E74" s="35"/>
      <c r="F74" s="35"/>
      <c r="G74" s="67"/>
      <c r="H74" s="56"/>
      <c r="I74" s="56"/>
      <c r="J74" s="56"/>
      <c r="K74" s="56"/>
      <c r="L74" s="62"/>
      <c r="M74" s="63"/>
      <c r="T74" s="5"/>
      <c r="U74" s="5"/>
      <c r="V74" s="5"/>
      <c r="W74" s="5"/>
      <c r="X74" s="5"/>
      <c r="Z74" s="22"/>
    </row>
    <row r="75" spans="2:26" ht="14.45" customHeight="1" x14ac:dyDescent="0.2">
      <c r="B75" s="34"/>
      <c r="C75" s="35"/>
      <c r="D75" s="66"/>
      <c r="E75" s="35"/>
      <c r="F75" s="35"/>
      <c r="G75" s="67"/>
      <c r="H75" s="56"/>
      <c r="I75" s="56"/>
      <c r="J75" s="56"/>
      <c r="K75" s="56"/>
      <c r="L75" s="62"/>
      <c r="M75" s="63"/>
      <c r="T75" s="5"/>
      <c r="U75" s="5"/>
      <c r="V75" s="5"/>
      <c r="W75" s="5"/>
      <c r="X75" s="5"/>
      <c r="Z75" s="22"/>
    </row>
    <row r="76" spans="2:26" ht="14.45" customHeight="1" x14ac:dyDescent="0.2">
      <c r="B76" s="34"/>
      <c r="C76" s="35"/>
      <c r="D76" s="66"/>
      <c r="E76" s="35"/>
      <c r="F76" s="35"/>
      <c r="G76" s="67"/>
      <c r="H76" s="56"/>
      <c r="I76" s="56"/>
      <c r="J76" s="56"/>
      <c r="K76" s="56"/>
      <c r="L76" s="62"/>
      <c r="M76" s="63"/>
      <c r="T76" s="5"/>
      <c r="U76" s="5"/>
      <c r="V76" s="5"/>
      <c r="W76" s="5"/>
      <c r="X76" s="5"/>
      <c r="Z76" s="22"/>
    </row>
    <row r="77" spans="2:26" ht="14.45" customHeight="1" x14ac:dyDescent="0.2">
      <c r="B77" s="34"/>
      <c r="C77" s="35"/>
      <c r="D77" s="66"/>
      <c r="E77" s="754" t="str">
        <f>E16</f>
        <v>schooljaar</v>
      </c>
      <c r="F77" s="751"/>
      <c r="G77" s="752" t="str">
        <f t="shared" ref="G77:K78" si="4">G16</f>
        <v>2016/17</v>
      </c>
      <c r="H77" s="752" t="str">
        <f t="shared" si="4"/>
        <v>2017/18</v>
      </c>
      <c r="I77" s="752" t="str">
        <f t="shared" si="4"/>
        <v>2018/19</v>
      </c>
      <c r="J77" s="752" t="str">
        <f t="shared" si="4"/>
        <v>2019/20</v>
      </c>
      <c r="K77" s="752" t="str">
        <f t="shared" si="4"/>
        <v>2020/21</v>
      </c>
      <c r="L77" s="62"/>
      <c r="M77" s="63"/>
      <c r="T77" s="5"/>
      <c r="U77" s="5"/>
      <c r="V77" s="5"/>
      <c r="W77" s="5"/>
      <c r="X77" s="5"/>
      <c r="Z77" s="22"/>
    </row>
    <row r="78" spans="2:26" ht="14.45" customHeight="1" x14ac:dyDescent="0.2">
      <c r="B78" s="34"/>
      <c r="C78" s="35"/>
      <c r="D78" s="35"/>
      <c r="E78" s="754" t="str">
        <f>E17</f>
        <v>teldatum leerlingen (t-1) per 1 oktober</v>
      </c>
      <c r="F78" s="751"/>
      <c r="G78" s="752">
        <f t="shared" si="4"/>
        <v>2015</v>
      </c>
      <c r="H78" s="752">
        <f t="shared" si="4"/>
        <v>2016</v>
      </c>
      <c r="I78" s="752">
        <f t="shared" si="4"/>
        <v>2017</v>
      </c>
      <c r="J78" s="752">
        <f t="shared" si="4"/>
        <v>2018</v>
      </c>
      <c r="K78" s="752">
        <f t="shared" si="4"/>
        <v>2019</v>
      </c>
      <c r="L78" s="62"/>
      <c r="M78" s="63"/>
      <c r="T78" s="5"/>
      <c r="U78" s="5"/>
      <c r="V78" s="5"/>
      <c r="W78" s="5"/>
      <c r="X78" s="5"/>
      <c r="Z78" s="22"/>
    </row>
    <row r="79" spans="2:26" ht="14.45" customHeight="1" x14ac:dyDescent="0.2">
      <c r="B79" s="34"/>
      <c r="C79" s="35"/>
      <c r="D79" s="35"/>
      <c r="E79" s="152"/>
      <c r="F79" s="153"/>
      <c r="G79" s="154"/>
      <c r="H79" s="154"/>
      <c r="I79" s="154"/>
      <c r="J79" s="154"/>
      <c r="K79" s="154"/>
      <c r="L79" s="62"/>
      <c r="M79" s="63"/>
      <c r="T79" s="5"/>
      <c r="U79" s="5"/>
      <c r="V79" s="5"/>
      <c r="W79" s="5"/>
      <c r="X79" s="5"/>
      <c r="Z79" s="22"/>
    </row>
    <row r="80" spans="2:26" ht="14.45" customHeight="1" x14ac:dyDescent="0.2">
      <c r="B80" s="34"/>
      <c r="C80" s="635"/>
      <c r="D80" s="636" t="s">
        <v>181</v>
      </c>
      <c r="E80" s="635"/>
      <c r="F80" s="635"/>
      <c r="G80" s="637">
        <f>IF(G57=0,0,1)+IF(G58=0,0,1)+IF(G59=0,0,1)+IF(G60=0,0,1)</f>
        <v>0</v>
      </c>
      <c r="H80" s="637">
        <f>IF(H57=0,0,1)+IF(H58=0,0,1)+IF(H59=0,0,1)+IF(H60=0,0,1)</f>
        <v>0</v>
      </c>
      <c r="I80" s="637">
        <f>IF(I57=0,0,1)+IF(I58=0,0,1)+IF(I59=0,0,1)+IF(I60=0,0,1)</f>
        <v>0</v>
      </c>
      <c r="J80" s="637">
        <f>IF(J57=0,0,1)+IF(J58=0,0,1)+IF(J59=0,0,1)+IF(J60=0,0,1)</f>
        <v>0</v>
      </c>
      <c r="K80" s="637">
        <f>IF(K57=0,0,1)+IF(K58=0,0,1)+IF(K59=0,0,1)+IF(K60=0,0,1)</f>
        <v>0</v>
      </c>
      <c r="L80" s="635"/>
      <c r="M80" s="63"/>
      <c r="T80" s="5"/>
      <c r="U80" s="5"/>
      <c r="V80" s="5"/>
      <c r="W80" s="5"/>
      <c r="X80" s="5"/>
      <c r="Z80" s="22"/>
    </row>
    <row r="81" spans="2:26" ht="14.45" customHeight="1" x14ac:dyDescent="0.2">
      <c r="B81" s="34"/>
      <c r="C81" s="91"/>
      <c r="D81" s="755" t="s">
        <v>397</v>
      </c>
      <c r="E81" s="332"/>
      <c r="F81" s="108"/>
      <c r="G81" s="109"/>
      <c r="H81" s="109"/>
      <c r="I81" s="109"/>
      <c r="J81" s="109"/>
      <c r="K81" s="109"/>
      <c r="L81" s="110"/>
      <c r="M81" s="63"/>
      <c r="T81" s="5"/>
      <c r="U81" s="5"/>
      <c r="V81" s="5"/>
      <c r="W81" s="5"/>
      <c r="X81" s="5"/>
      <c r="Z81" s="22"/>
    </row>
    <row r="82" spans="2:26" ht="14.45" customHeight="1" x14ac:dyDescent="0.2">
      <c r="B82" s="34"/>
      <c r="C82" s="91"/>
      <c r="D82" s="205" t="s">
        <v>83</v>
      </c>
      <c r="E82" s="103"/>
      <c r="F82" s="108"/>
      <c r="G82" s="155">
        <v>1000</v>
      </c>
      <c r="H82" s="109"/>
      <c r="I82" s="109"/>
      <c r="J82" s="109"/>
      <c r="K82" s="109"/>
      <c r="L82" s="110"/>
      <c r="M82" s="63"/>
      <c r="T82" s="5"/>
      <c r="U82" s="5"/>
      <c r="V82" s="5"/>
      <c r="W82" s="5"/>
      <c r="X82" s="5"/>
      <c r="Z82" s="22"/>
    </row>
    <row r="83" spans="2:26" ht="14.45" customHeight="1" x14ac:dyDescent="0.2">
      <c r="B83" s="34"/>
      <c r="C83" s="91"/>
      <c r="D83" s="205" t="s">
        <v>111</v>
      </c>
      <c r="E83" s="92"/>
      <c r="F83" s="92"/>
      <c r="G83" s="913">
        <f>IF(G98=0,0,(G22-(G96+G109+G122)))</f>
        <v>0</v>
      </c>
      <c r="H83" s="913">
        <f>IF(H98=0,0,(H22-(H96+H109+H122)))</f>
        <v>0</v>
      </c>
      <c r="I83" s="913">
        <f>IF(I98=0,0,(I22-(I96+I109+I122)))</f>
        <v>0</v>
      </c>
      <c r="J83" s="913">
        <f>IF(J98=0,0,(J22-(J96+J109+J122)))</f>
        <v>0</v>
      </c>
      <c r="K83" s="913">
        <f>IF(K98=0,0,(K22-(K96+K109+K122)))</f>
        <v>0</v>
      </c>
      <c r="L83" s="110"/>
      <c r="M83" s="63"/>
      <c r="T83" s="5"/>
      <c r="U83" s="5"/>
      <c r="V83" s="5"/>
      <c r="W83" s="5"/>
      <c r="X83" s="5"/>
      <c r="Z83" s="22"/>
    </row>
    <row r="84" spans="2:26" ht="14.45" customHeight="1" x14ac:dyDescent="0.2">
      <c r="B84" s="34"/>
      <c r="C84" s="91"/>
      <c r="D84" s="205" t="s">
        <v>112</v>
      </c>
      <c r="E84" s="92"/>
      <c r="F84" s="92"/>
      <c r="G84" s="913">
        <f>IF(G98=0,0,(G23-(G97+G110+G123)))</f>
        <v>0</v>
      </c>
      <c r="H84" s="913">
        <f>IF(H98=0,0,(H23-(H97+H110+H123)))</f>
        <v>0</v>
      </c>
      <c r="I84" s="913">
        <f>IF(I98=0,0,(I23-(I97+I110+I123)))</f>
        <v>0</v>
      </c>
      <c r="J84" s="913">
        <f>IF(J98=0,0,(J23-(J97+J110+J123)))</f>
        <v>0</v>
      </c>
      <c r="K84" s="913">
        <f>IF(K98=0,0,(K23-(K97+K110+K123)))</f>
        <v>0</v>
      </c>
      <c r="L84" s="110"/>
      <c r="M84" s="63"/>
      <c r="T84" s="5"/>
      <c r="U84" s="5"/>
      <c r="V84" s="5"/>
      <c r="W84" s="5"/>
      <c r="X84" s="5"/>
      <c r="Z84" s="22"/>
    </row>
    <row r="85" spans="2:26" ht="14.45" customHeight="1" x14ac:dyDescent="0.2">
      <c r="B85" s="34"/>
      <c r="C85" s="91"/>
      <c r="D85" s="191" t="s">
        <v>120</v>
      </c>
      <c r="E85" s="103"/>
      <c r="F85" s="103"/>
      <c r="G85" s="944">
        <f>SUM(G83:G84)</f>
        <v>0</v>
      </c>
      <c r="H85" s="944">
        <f>SUM(H83:H84)</f>
        <v>0</v>
      </c>
      <c r="I85" s="944">
        <f>SUM(I83:I84)</f>
        <v>0</v>
      </c>
      <c r="J85" s="944">
        <f>SUM(J83:J84)</f>
        <v>0</v>
      </c>
      <c r="K85" s="944">
        <f>SUM(K83:K84)</f>
        <v>0</v>
      </c>
      <c r="L85" s="110"/>
      <c r="M85" s="63"/>
      <c r="T85" s="5"/>
      <c r="U85" s="5"/>
      <c r="V85" s="5"/>
      <c r="W85" s="5"/>
      <c r="X85" s="5"/>
      <c r="Z85" s="22"/>
    </row>
    <row r="86" spans="2:26" ht="14.45" customHeight="1" x14ac:dyDescent="0.2">
      <c r="B86" s="34"/>
      <c r="C86" s="91"/>
      <c r="D86" s="205" t="s">
        <v>86</v>
      </c>
      <c r="E86" s="605">
        <v>0.3</v>
      </c>
      <c r="F86" s="111"/>
      <c r="G86" s="913">
        <f>IF(G98=0,0,(G25-(G99+G112+G125)))</f>
        <v>0</v>
      </c>
      <c r="H86" s="913">
        <f>IF(H98=0,0,(H25-(H99+H112+H125)))</f>
        <v>0</v>
      </c>
      <c r="I86" s="913">
        <f>IF(I98=0,0,(I25-(I99+I112+I125)))</f>
        <v>0</v>
      </c>
      <c r="J86" s="913">
        <f>IF(J98=0,0,(J25-(J99+J112+J125)))</f>
        <v>0</v>
      </c>
      <c r="K86" s="913">
        <f>IF(K98=0,0,(K25-(K99+K112+K125)))</f>
        <v>0</v>
      </c>
      <c r="L86" s="110"/>
      <c r="M86" s="63"/>
      <c r="T86" s="5"/>
      <c r="U86" s="5"/>
      <c r="V86" s="5"/>
      <c r="W86" s="5"/>
      <c r="X86" s="5"/>
      <c r="Z86" s="22"/>
    </row>
    <row r="87" spans="2:26" ht="14.45" customHeight="1" x14ac:dyDescent="0.2">
      <c r="B87" s="34"/>
      <c r="C87" s="91"/>
      <c r="D87" s="205" t="s">
        <v>86</v>
      </c>
      <c r="E87" s="605">
        <v>1.2</v>
      </c>
      <c r="F87" s="111"/>
      <c r="G87" s="913">
        <f>IF(G98=0,0,(G26-(G100+G113+G126)))</f>
        <v>0</v>
      </c>
      <c r="H87" s="913">
        <f>IF(H98=0,0,(H26-(H100+H113+H126)))</f>
        <v>0</v>
      </c>
      <c r="I87" s="913">
        <f>IF(I98=0,0,(I26-(I100+I113+I126)))</f>
        <v>0</v>
      </c>
      <c r="J87" s="913">
        <f>IF(J98=0,0,(J26-(J100+J113+J126)))</f>
        <v>0</v>
      </c>
      <c r="K87" s="913">
        <f>IF(K98=0,0,(K26-(K100+K113+K126)))</f>
        <v>0</v>
      </c>
      <c r="L87" s="110"/>
      <c r="M87" s="63"/>
      <c r="T87" s="5"/>
      <c r="U87" s="5"/>
      <c r="V87" s="5"/>
      <c r="W87" s="5"/>
      <c r="X87" s="5"/>
      <c r="Z87" s="22"/>
    </row>
    <row r="88" spans="2:26" ht="14.45" customHeight="1" x14ac:dyDescent="0.2">
      <c r="B88" s="34"/>
      <c r="C88" s="91"/>
      <c r="D88" s="160" t="s">
        <v>110</v>
      </c>
      <c r="E88" s="103"/>
      <c r="F88" s="103"/>
      <c r="G88" s="928">
        <f>($E$25*G86)+($E$26*G87)</f>
        <v>0</v>
      </c>
      <c r="H88" s="928">
        <f>($E$25*H86)+($E$26*H87)</f>
        <v>0</v>
      </c>
      <c r="I88" s="928">
        <f>($E$25*I86)+($E$26*I87)</f>
        <v>0</v>
      </c>
      <c r="J88" s="928">
        <f>($E$25*J86)+($E$26*J87)</f>
        <v>0</v>
      </c>
      <c r="K88" s="928">
        <f>($E$25*K86)+($E$26*K87)</f>
        <v>0</v>
      </c>
      <c r="L88" s="110"/>
      <c r="M88" s="63"/>
      <c r="T88" s="5"/>
      <c r="U88" s="5"/>
      <c r="V88" s="5"/>
      <c r="W88" s="5"/>
      <c r="X88" s="5"/>
      <c r="Z88" s="22"/>
    </row>
    <row r="89" spans="2:26" ht="14.45" customHeight="1" x14ac:dyDescent="0.2">
      <c r="B89" s="34"/>
      <c r="C89" s="91"/>
      <c r="D89" s="191" t="s">
        <v>132</v>
      </c>
      <c r="E89" s="92"/>
      <c r="F89" s="92"/>
      <c r="G89" s="949">
        <f>ROUND(IF(G92&gt;G85*0.8,0.8*G85,G92),0)</f>
        <v>0</v>
      </c>
      <c r="H89" s="949">
        <f>ROUND(IF(H92&gt;H85*0.8,0.8*H85,H92),0)</f>
        <v>0</v>
      </c>
      <c r="I89" s="949">
        <f>ROUND(IF(I92&gt;I85*0.8,0.8*I85,I92),0)</f>
        <v>0</v>
      </c>
      <c r="J89" s="949">
        <f>ROUND(IF(J92&gt;J85*0.8,0.8*J85,J92),0)</f>
        <v>0</v>
      </c>
      <c r="K89" s="949">
        <f>ROUND(IF(K92&gt;K85*0.8,0.8*K85,K92),0)</f>
        <v>0</v>
      </c>
      <c r="L89" s="110"/>
      <c r="M89" s="63"/>
      <c r="T89" s="5"/>
      <c r="U89" s="5"/>
      <c r="V89" s="5"/>
      <c r="W89" s="5"/>
      <c r="X89" s="5"/>
      <c r="Z89" s="22"/>
    </row>
    <row r="90" spans="2:26" ht="14.45" customHeight="1" x14ac:dyDescent="0.2">
      <c r="B90" s="34"/>
      <c r="C90" s="91"/>
      <c r="D90" s="160" t="s">
        <v>64</v>
      </c>
      <c r="E90" s="103"/>
      <c r="F90" s="92"/>
      <c r="G90" s="928" t="str">
        <f>IF($G82=LOOKUP($G82,Postcode_gebieden),"ja","nee")</f>
        <v>nee</v>
      </c>
      <c r="H90" s="950" t="s">
        <v>133</v>
      </c>
      <c r="I90" s="950" t="s">
        <v>133</v>
      </c>
      <c r="J90" s="950" t="s">
        <v>133</v>
      </c>
      <c r="K90" s="950" t="str">
        <f>+J90</f>
        <v>nee</v>
      </c>
      <c r="L90" s="110"/>
      <c r="M90" s="63"/>
      <c r="T90" s="5"/>
      <c r="U90" s="5"/>
      <c r="V90" s="5"/>
      <c r="W90" s="5"/>
      <c r="X90" s="5"/>
      <c r="Z90" s="22"/>
    </row>
    <row r="91" spans="2:26" ht="14.45" customHeight="1" x14ac:dyDescent="0.2">
      <c r="B91" s="34"/>
      <c r="C91" s="91"/>
      <c r="D91" s="160" t="s">
        <v>85</v>
      </c>
      <c r="E91" s="92"/>
      <c r="F91" s="92"/>
      <c r="G91" s="928">
        <f>SUM(G86:G87)</f>
        <v>0</v>
      </c>
      <c r="H91" s="928">
        <f>SUM(H86:H87)</f>
        <v>0</v>
      </c>
      <c r="I91" s="928">
        <f>SUM(I86:I87)</f>
        <v>0</v>
      </c>
      <c r="J91" s="928">
        <f>SUM(J86:J87)</f>
        <v>0</v>
      </c>
      <c r="K91" s="928">
        <f>SUM(K86:K87)</f>
        <v>0</v>
      </c>
      <c r="L91" s="110"/>
      <c r="M91" s="63"/>
      <c r="T91" s="5"/>
      <c r="U91" s="5"/>
      <c r="V91" s="5"/>
      <c r="W91" s="5"/>
      <c r="X91" s="5"/>
      <c r="Z91" s="22"/>
    </row>
    <row r="92" spans="2:26" ht="14.45" customHeight="1" x14ac:dyDescent="0.2">
      <c r="B92" s="34"/>
      <c r="C92" s="91"/>
      <c r="D92" s="160"/>
      <c r="E92" s="92"/>
      <c r="F92" s="92"/>
      <c r="G92" s="162">
        <f>ROUND(IF(G88-(tab!E$26*G85)&lt;0,0,(G88-(tab!E$26*G85))),0)</f>
        <v>0</v>
      </c>
      <c r="H92" s="162">
        <f>ROUND(IF(H88-(tab!$F$26*H85)&lt;0,0,(H88-(tab!$F$26*H85))),0)</f>
        <v>0</v>
      </c>
      <c r="I92" s="162">
        <f>ROUND(IF(I88-(tab!$F$26*I85)&lt;0,0,(I88-(tab!$F$26*I85))),0)</f>
        <v>0</v>
      </c>
      <c r="J92" s="162">
        <f>ROUND(IF(J88-(tab!$F$26*J85)&lt;0,0,(J88-(tab!$F$26*J85))),0)</f>
        <v>0</v>
      </c>
      <c r="K92" s="162">
        <f>ROUND(IF(K88-(tab!$F$26*K85)&lt;0,0,(K88-(tab!$F$26*K85))),0)</f>
        <v>0</v>
      </c>
      <c r="L92" s="110"/>
      <c r="M92" s="63"/>
      <c r="T92" s="5"/>
      <c r="U92" s="5"/>
      <c r="V92" s="5"/>
      <c r="W92" s="5"/>
      <c r="X92" s="5"/>
      <c r="Z92" s="22"/>
    </row>
    <row r="93" spans="2:26" ht="14.45" customHeight="1" x14ac:dyDescent="0.2">
      <c r="B93" s="34"/>
      <c r="C93" s="91"/>
      <c r="D93" s="160"/>
      <c r="E93" s="92"/>
      <c r="F93" s="92"/>
      <c r="G93" s="112"/>
      <c r="H93" s="112"/>
      <c r="I93" s="112"/>
      <c r="J93" s="112"/>
      <c r="K93" s="112"/>
      <c r="L93" s="110"/>
      <c r="M93" s="63"/>
      <c r="T93" s="5"/>
      <c r="U93" s="5"/>
      <c r="V93" s="5"/>
      <c r="W93" s="5"/>
      <c r="X93" s="5"/>
      <c r="Z93" s="22"/>
    </row>
    <row r="94" spans="2:26" ht="14.45" customHeight="1" x14ac:dyDescent="0.2">
      <c r="B94" s="34"/>
      <c r="C94" s="91"/>
      <c r="D94" s="755" t="s">
        <v>77</v>
      </c>
      <c r="E94" s="332"/>
      <c r="F94" s="108"/>
      <c r="G94" s="103"/>
      <c r="H94" s="103"/>
      <c r="I94" s="103"/>
      <c r="J94" s="103"/>
      <c r="K94" s="103"/>
      <c r="L94" s="110"/>
      <c r="M94" s="63"/>
      <c r="T94" s="5"/>
      <c r="U94" s="5"/>
      <c r="V94" s="5"/>
      <c r="W94" s="5"/>
      <c r="X94" s="5"/>
      <c r="Z94" s="22"/>
    </row>
    <row r="95" spans="2:26" ht="14.45" customHeight="1" x14ac:dyDescent="0.2">
      <c r="B95" s="34"/>
      <c r="C95" s="91"/>
      <c r="D95" s="205" t="s">
        <v>84</v>
      </c>
      <c r="E95" s="103"/>
      <c r="F95" s="108"/>
      <c r="G95" s="155">
        <v>1000</v>
      </c>
      <c r="H95" s="109"/>
      <c r="I95" s="109"/>
      <c r="J95" s="109"/>
      <c r="K95" s="109"/>
      <c r="L95" s="110"/>
      <c r="M95" s="63"/>
      <c r="T95" s="5"/>
      <c r="U95" s="5"/>
      <c r="V95" s="5"/>
      <c r="W95" s="5"/>
      <c r="X95" s="5"/>
      <c r="Z95" s="22"/>
    </row>
    <row r="96" spans="2:26" ht="14.45" customHeight="1" x14ac:dyDescent="0.2">
      <c r="B96" s="34"/>
      <c r="C96" s="91"/>
      <c r="D96" s="205" t="s">
        <v>111</v>
      </c>
      <c r="E96" s="92"/>
      <c r="F96" s="92"/>
      <c r="G96" s="156">
        <v>0</v>
      </c>
      <c r="H96" s="156">
        <v>0</v>
      </c>
      <c r="I96" s="156">
        <f t="shared" ref="I96:K97" si="5">H96</f>
        <v>0</v>
      </c>
      <c r="J96" s="156">
        <f t="shared" si="5"/>
        <v>0</v>
      </c>
      <c r="K96" s="156">
        <f t="shared" si="5"/>
        <v>0</v>
      </c>
      <c r="L96" s="110"/>
      <c r="M96" s="63"/>
      <c r="T96" s="5"/>
      <c r="U96" s="5"/>
      <c r="V96" s="5"/>
      <c r="W96" s="5"/>
      <c r="X96" s="5"/>
      <c r="Z96" s="22"/>
    </row>
    <row r="97" spans="2:26" ht="14.45" customHeight="1" x14ac:dyDescent="0.2">
      <c r="B97" s="34"/>
      <c r="C97" s="91"/>
      <c r="D97" s="205" t="s">
        <v>112</v>
      </c>
      <c r="E97" s="92"/>
      <c r="F97" s="92"/>
      <c r="G97" s="156">
        <v>0</v>
      </c>
      <c r="H97" s="156">
        <v>0</v>
      </c>
      <c r="I97" s="156">
        <f t="shared" si="5"/>
        <v>0</v>
      </c>
      <c r="J97" s="156">
        <f t="shared" si="5"/>
        <v>0</v>
      </c>
      <c r="K97" s="156">
        <f t="shared" si="5"/>
        <v>0</v>
      </c>
      <c r="L97" s="110"/>
      <c r="M97" s="63"/>
      <c r="T97" s="5"/>
      <c r="U97" s="5"/>
      <c r="V97" s="5"/>
      <c r="W97" s="5"/>
      <c r="X97" s="5"/>
      <c r="Z97" s="22"/>
    </row>
    <row r="98" spans="2:26" ht="14.45" customHeight="1" x14ac:dyDescent="0.2">
      <c r="B98" s="34"/>
      <c r="C98" s="91"/>
      <c r="D98" s="160" t="s">
        <v>120</v>
      </c>
      <c r="E98" s="103"/>
      <c r="F98" s="103"/>
      <c r="G98" s="944">
        <f>SUM(G96:G97)</f>
        <v>0</v>
      </c>
      <c r="H98" s="944">
        <f>SUM(H96:H97)</f>
        <v>0</v>
      </c>
      <c r="I98" s="944">
        <f>SUM(I96:I97)</f>
        <v>0</v>
      </c>
      <c r="J98" s="944">
        <f>SUM(J96:J97)</f>
        <v>0</v>
      </c>
      <c r="K98" s="944">
        <f>SUM(K96:K97)</f>
        <v>0</v>
      </c>
      <c r="L98" s="110"/>
      <c r="M98" s="63"/>
      <c r="T98" s="5"/>
      <c r="U98" s="5"/>
      <c r="V98" s="5"/>
      <c r="W98" s="5"/>
      <c r="X98" s="5"/>
      <c r="Z98" s="22"/>
    </row>
    <row r="99" spans="2:26" ht="14.45" customHeight="1" x14ac:dyDescent="0.2">
      <c r="B99" s="34"/>
      <c r="C99" s="91"/>
      <c r="D99" s="205" t="s">
        <v>86</v>
      </c>
      <c r="E99" s="605">
        <v>0.3</v>
      </c>
      <c r="F99" s="111"/>
      <c r="G99" s="156">
        <v>0</v>
      </c>
      <c r="H99" s="156">
        <v>0</v>
      </c>
      <c r="I99" s="156">
        <f t="shared" ref="I99:K100" si="6">H99</f>
        <v>0</v>
      </c>
      <c r="J99" s="156">
        <f t="shared" si="6"/>
        <v>0</v>
      </c>
      <c r="K99" s="156">
        <f t="shared" si="6"/>
        <v>0</v>
      </c>
      <c r="L99" s="110"/>
      <c r="M99" s="63"/>
      <c r="T99" s="5"/>
      <c r="U99" s="5"/>
      <c r="V99" s="5"/>
      <c r="W99" s="5"/>
      <c r="X99" s="5"/>
      <c r="Z99" s="22"/>
    </row>
    <row r="100" spans="2:26" ht="14.45" customHeight="1" x14ac:dyDescent="0.2">
      <c r="B100" s="34"/>
      <c r="C100" s="91"/>
      <c r="D100" s="205" t="s">
        <v>86</v>
      </c>
      <c r="E100" s="605">
        <v>1.2</v>
      </c>
      <c r="F100" s="111"/>
      <c r="G100" s="156">
        <v>0</v>
      </c>
      <c r="H100" s="156">
        <v>0</v>
      </c>
      <c r="I100" s="156">
        <f t="shared" si="6"/>
        <v>0</v>
      </c>
      <c r="J100" s="156">
        <f t="shared" si="6"/>
        <v>0</v>
      </c>
      <c r="K100" s="156">
        <f t="shared" si="6"/>
        <v>0</v>
      </c>
      <c r="L100" s="110"/>
      <c r="M100" s="63"/>
      <c r="T100" s="5"/>
      <c r="U100" s="5"/>
      <c r="V100" s="5"/>
      <c r="W100" s="5"/>
      <c r="X100" s="5"/>
      <c r="Z100" s="22"/>
    </row>
    <row r="101" spans="2:26" ht="14.45" customHeight="1" x14ac:dyDescent="0.2">
      <c r="B101" s="34"/>
      <c r="C101" s="91"/>
      <c r="D101" s="160" t="s">
        <v>110</v>
      </c>
      <c r="E101" s="103"/>
      <c r="F101" s="103"/>
      <c r="G101" s="928">
        <f>($E$25*G99)+($E$26*G100)</f>
        <v>0</v>
      </c>
      <c r="H101" s="928">
        <f>($E$25*H99)+($E$26*H100)</f>
        <v>0</v>
      </c>
      <c r="I101" s="928">
        <f>($E$25*I99)+($E$26*I100)</f>
        <v>0</v>
      </c>
      <c r="J101" s="928">
        <f>($E$25*J99)+($E$26*J100)</f>
        <v>0</v>
      </c>
      <c r="K101" s="928">
        <f>($E$25*K99)+($E$26*K100)</f>
        <v>0</v>
      </c>
      <c r="L101" s="110"/>
      <c r="M101" s="63"/>
      <c r="T101" s="5"/>
      <c r="U101" s="5"/>
      <c r="V101" s="5"/>
      <c r="W101" s="5"/>
      <c r="X101" s="5"/>
      <c r="Z101" s="22"/>
    </row>
    <row r="102" spans="2:26" ht="14.45" customHeight="1" x14ac:dyDescent="0.2">
      <c r="B102" s="34"/>
      <c r="C102" s="91"/>
      <c r="D102" s="191" t="s">
        <v>132</v>
      </c>
      <c r="E102" s="92"/>
      <c r="F102" s="92"/>
      <c r="G102" s="949">
        <f>ROUND(IF(G105&gt;G98*0.8,0.8*G98,G105),0)</f>
        <v>0</v>
      </c>
      <c r="H102" s="949">
        <f>ROUND(IF(H105&gt;H98*0.8,0.8*H98,H105),0)</f>
        <v>0</v>
      </c>
      <c r="I102" s="949">
        <f>ROUND(IF(I105&gt;I98*0.8,0.8*I98,I105),0)</f>
        <v>0</v>
      </c>
      <c r="J102" s="949">
        <f>ROUND(IF(J105&gt;J98*0.8,0.8*J98,J105),0)</f>
        <v>0</v>
      </c>
      <c r="K102" s="949">
        <f>ROUND(IF(K105&gt;K98*0.8,0.8*K98,K105),0)</f>
        <v>0</v>
      </c>
      <c r="L102" s="110"/>
      <c r="M102" s="63"/>
      <c r="T102" s="5"/>
      <c r="U102" s="5"/>
      <c r="V102" s="5"/>
      <c r="W102" s="5"/>
      <c r="X102" s="5"/>
      <c r="Z102" s="22"/>
    </row>
    <row r="103" spans="2:26" ht="14.45" customHeight="1" x14ac:dyDescent="0.2">
      <c r="B103" s="34"/>
      <c r="C103" s="91"/>
      <c r="D103" s="160" t="s">
        <v>64</v>
      </c>
      <c r="E103" s="103"/>
      <c r="F103" s="92"/>
      <c r="G103" s="928" t="str">
        <f>IF($G95=LOOKUP($G95,Postcode_gebieden),"ja","nee")</f>
        <v>nee</v>
      </c>
      <c r="H103" s="950" t="str">
        <f>+G103</f>
        <v>nee</v>
      </c>
      <c r="I103" s="950" t="str">
        <f>+H103</f>
        <v>nee</v>
      </c>
      <c r="J103" s="950" t="str">
        <f>+I103</f>
        <v>nee</v>
      </c>
      <c r="K103" s="950" t="str">
        <f>+J103</f>
        <v>nee</v>
      </c>
      <c r="L103" s="110"/>
      <c r="M103" s="63"/>
      <c r="T103" s="5"/>
      <c r="U103" s="5"/>
      <c r="V103" s="5"/>
      <c r="W103" s="5"/>
      <c r="X103" s="5"/>
      <c r="Z103" s="22"/>
    </row>
    <row r="104" spans="2:26" ht="14.45" customHeight="1" x14ac:dyDescent="0.2">
      <c r="B104" s="34"/>
      <c r="C104" s="91"/>
      <c r="D104" s="160" t="s">
        <v>85</v>
      </c>
      <c r="E104" s="92"/>
      <c r="F104" s="92"/>
      <c r="G104" s="928">
        <f>SUM(G99:G100)</f>
        <v>0</v>
      </c>
      <c r="H104" s="928">
        <f>SUM(H99:H100)</f>
        <v>0</v>
      </c>
      <c r="I104" s="928">
        <f>SUM(I99:I100)</f>
        <v>0</v>
      </c>
      <c r="J104" s="928">
        <f>SUM(J99:J100)</f>
        <v>0</v>
      </c>
      <c r="K104" s="928">
        <f>SUM(K99:K100)</f>
        <v>0</v>
      </c>
      <c r="L104" s="110"/>
      <c r="M104" s="63"/>
      <c r="T104" s="5"/>
      <c r="U104" s="5"/>
      <c r="V104" s="5"/>
      <c r="W104" s="5"/>
      <c r="X104" s="5"/>
      <c r="Z104" s="22"/>
    </row>
    <row r="105" spans="2:26" ht="14.45" customHeight="1" x14ac:dyDescent="0.2">
      <c r="B105" s="34"/>
      <c r="C105" s="91"/>
      <c r="D105" s="160"/>
      <c r="E105" s="103"/>
      <c r="F105" s="103"/>
      <c r="G105" s="190">
        <f>ROUND(IF(G101-(tab!E$26*G98)&lt;0,0,(G101-(tab!E$26*G98))),0)</f>
        <v>0</v>
      </c>
      <c r="H105" s="162">
        <f>ROUND(IF(H101-(tab!$F$26*H98)&lt;0,0,(H101-(tab!$F$26*H98))),0)</f>
        <v>0</v>
      </c>
      <c r="I105" s="162">
        <f>ROUND(IF(I101-(tab!$F$26*I98)&lt;0,0,(I101-(tab!$F$26*I98))),0)</f>
        <v>0</v>
      </c>
      <c r="J105" s="162">
        <f>ROUND(IF(J101-(tab!$F$26*J98)&lt;0,0,(J101-(tab!$F$26*J98))),0)</f>
        <v>0</v>
      </c>
      <c r="K105" s="162">
        <f>ROUND(IF(K101-(tab!$F$26*K98)&lt;0,0,(K101-(tab!$F$26*K98))),0)</f>
        <v>0</v>
      </c>
      <c r="L105" s="110"/>
      <c r="M105" s="63"/>
      <c r="T105" s="5"/>
      <c r="U105" s="5"/>
      <c r="V105" s="5"/>
      <c r="W105" s="5"/>
      <c r="X105" s="5"/>
      <c r="Z105" s="22"/>
    </row>
    <row r="106" spans="2:26" ht="14.45" customHeight="1" x14ac:dyDescent="0.2">
      <c r="B106" s="34"/>
      <c r="C106" s="91"/>
      <c r="D106" s="160"/>
      <c r="E106" s="103"/>
      <c r="F106" s="103"/>
      <c r="G106" s="115"/>
      <c r="H106" s="115"/>
      <c r="I106" s="115"/>
      <c r="J106" s="115"/>
      <c r="K106" s="115"/>
      <c r="L106" s="110"/>
      <c r="M106" s="63"/>
      <c r="T106" s="5"/>
      <c r="U106" s="5"/>
      <c r="V106" s="5"/>
      <c r="W106" s="5"/>
      <c r="X106" s="5"/>
      <c r="Z106" s="22"/>
    </row>
    <row r="107" spans="2:26" ht="14.45" customHeight="1" x14ac:dyDescent="0.2">
      <c r="B107" s="34"/>
      <c r="C107" s="91"/>
      <c r="D107" s="755" t="s">
        <v>78</v>
      </c>
      <c r="E107" s="332"/>
      <c r="F107" s="108"/>
      <c r="G107" s="103"/>
      <c r="H107" s="103"/>
      <c r="I107" s="103"/>
      <c r="J107" s="103"/>
      <c r="K107" s="103"/>
      <c r="L107" s="98"/>
      <c r="M107" s="63"/>
      <c r="T107" s="5"/>
      <c r="U107" s="5"/>
      <c r="V107" s="5"/>
      <c r="W107" s="5"/>
      <c r="X107" s="5"/>
      <c r="Z107" s="22"/>
    </row>
    <row r="108" spans="2:26" ht="14.45" customHeight="1" x14ac:dyDescent="0.2">
      <c r="B108" s="34"/>
      <c r="C108" s="91"/>
      <c r="D108" s="205" t="s">
        <v>84</v>
      </c>
      <c r="E108" s="103"/>
      <c r="F108" s="108"/>
      <c r="G108" s="155">
        <v>1000</v>
      </c>
      <c r="H108" s="109"/>
      <c r="I108" s="109"/>
      <c r="J108" s="109"/>
      <c r="K108" s="109"/>
      <c r="L108" s="98"/>
      <c r="M108" s="63"/>
      <c r="T108" s="5"/>
      <c r="U108" s="5"/>
      <c r="V108" s="5"/>
      <c r="W108" s="5"/>
      <c r="X108" s="5"/>
      <c r="Z108" s="22"/>
    </row>
    <row r="109" spans="2:26" ht="14.45" customHeight="1" x14ac:dyDescent="0.2">
      <c r="B109" s="34"/>
      <c r="C109" s="91"/>
      <c r="D109" s="205" t="s">
        <v>111</v>
      </c>
      <c r="E109" s="92"/>
      <c r="F109" s="92"/>
      <c r="G109" s="156">
        <v>0</v>
      </c>
      <c r="H109" s="156">
        <v>0</v>
      </c>
      <c r="I109" s="156">
        <f t="shared" ref="I109:K110" si="7">H109</f>
        <v>0</v>
      </c>
      <c r="J109" s="156">
        <f t="shared" si="7"/>
        <v>0</v>
      </c>
      <c r="K109" s="156">
        <f t="shared" si="7"/>
        <v>0</v>
      </c>
      <c r="L109" s="98"/>
      <c r="M109" s="63"/>
      <c r="T109" s="5"/>
      <c r="U109" s="5"/>
      <c r="V109" s="5"/>
      <c r="W109" s="5"/>
      <c r="X109" s="5"/>
      <c r="Z109" s="22"/>
    </row>
    <row r="110" spans="2:26" ht="14.45" customHeight="1" x14ac:dyDescent="0.2">
      <c r="B110" s="34"/>
      <c r="C110" s="91"/>
      <c r="D110" s="205" t="s">
        <v>112</v>
      </c>
      <c r="E110" s="92"/>
      <c r="F110" s="92"/>
      <c r="G110" s="156">
        <v>0</v>
      </c>
      <c r="H110" s="156">
        <v>0</v>
      </c>
      <c r="I110" s="156">
        <f t="shared" si="7"/>
        <v>0</v>
      </c>
      <c r="J110" s="156">
        <f t="shared" si="7"/>
        <v>0</v>
      </c>
      <c r="K110" s="156">
        <f t="shared" si="7"/>
        <v>0</v>
      </c>
      <c r="L110" s="98"/>
      <c r="M110" s="63"/>
      <c r="T110" s="5"/>
      <c r="U110" s="5"/>
      <c r="V110" s="5"/>
      <c r="W110" s="5"/>
      <c r="X110" s="5"/>
      <c r="Z110" s="22"/>
    </row>
    <row r="111" spans="2:26" ht="14.45" customHeight="1" x14ac:dyDescent="0.2">
      <c r="B111" s="34"/>
      <c r="C111" s="91"/>
      <c r="D111" s="191" t="s">
        <v>120</v>
      </c>
      <c r="E111" s="103"/>
      <c r="F111" s="103"/>
      <c r="G111" s="944">
        <f>SUM(G109:G110)</f>
        <v>0</v>
      </c>
      <c r="H111" s="944">
        <f>SUM(H109:H110)</f>
        <v>0</v>
      </c>
      <c r="I111" s="944">
        <f>SUM(I109:I110)</f>
        <v>0</v>
      </c>
      <c r="J111" s="944">
        <f>SUM(J109:J110)</f>
        <v>0</v>
      </c>
      <c r="K111" s="944">
        <f>SUM(K109:K110)</f>
        <v>0</v>
      </c>
      <c r="L111" s="98"/>
      <c r="M111" s="63"/>
      <c r="T111" s="5"/>
      <c r="U111" s="5"/>
      <c r="V111" s="5"/>
      <c r="W111" s="5"/>
      <c r="X111" s="5"/>
      <c r="Z111" s="22"/>
    </row>
    <row r="112" spans="2:26" ht="14.45" customHeight="1" x14ac:dyDescent="0.2">
      <c r="B112" s="34"/>
      <c r="C112" s="91"/>
      <c r="D112" s="205" t="s">
        <v>86</v>
      </c>
      <c r="E112" s="605">
        <v>0.3</v>
      </c>
      <c r="F112" s="111"/>
      <c r="G112" s="156">
        <v>0</v>
      </c>
      <c r="H112" s="156">
        <v>0</v>
      </c>
      <c r="I112" s="156">
        <f t="shared" ref="I112:K113" si="8">H112</f>
        <v>0</v>
      </c>
      <c r="J112" s="156">
        <f t="shared" si="8"/>
        <v>0</v>
      </c>
      <c r="K112" s="156">
        <f t="shared" si="8"/>
        <v>0</v>
      </c>
      <c r="L112" s="98"/>
      <c r="M112" s="63"/>
      <c r="T112" s="5"/>
      <c r="U112" s="5"/>
      <c r="V112" s="5"/>
      <c r="W112" s="5"/>
      <c r="X112" s="5"/>
      <c r="Z112" s="22"/>
    </row>
    <row r="113" spans="2:26" ht="14.45" customHeight="1" x14ac:dyDescent="0.2">
      <c r="B113" s="34"/>
      <c r="C113" s="91"/>
      <c r="D113" s="205" t="s">
        <v>86</v>
      </c>
      <c r="E113" s="605">
        <v>1.2</v>
      </c>
      <c r="F113" s="111"/>
      <c r="G113" s="156">
        <v>0</v>
      </c>
      <c r="H113" s="156">
        <v>0</v>
      </c>
      <c r="I113" s="156">
        <f t="shared" si="8"/>
        <v>0</v>
      </c>
      <c r="J113" s="156">
        <f t="shared" si="8"/>
        <v>0</v>
      </c>
      <c r="K113" s="156">
        <f t="shared" si="8"/>
        <v>0</v>
      </c>
      <c r="L113" s="98"/>
      <c r="M113" s="63"/>
      <c r="T113" s="5"/>
      <c r="U113" s="5"/>
      <c r="V113" s="5"/>
      <c r="W113" s="5"/>
      <c r="X113" s="5"/>
      <c r="Z113" s="22"/>
    </row>
    <row r="114" spans="2:26" ht="14.45" customHeight="1" x14ac:dyDescent="0.2">
      <c r="B114" s="34"/>
      <c r="C114" s="91"/>
      <c r="D114" s="160" t="s">
        <v>110</v>
      </c>
      <c r="E114" s="103"/>
      <c r="F114" s="103"/>
      <c r="G114" s="928">
        <f>($E$25*G112)+($E$26*G113)</f>
        <v>0</v>
      </c>
      <c r="H114" s="928">
        <f>($E$25*H112)+($E$26*H113)</f>
        <v>0</v>
      </c>
      <c r="I114" s="928">
        <f>($E$25*I112)+($E$26*I113)</f>
        <v>0</v>
      </c>
      <c r="J114" s="928">
        <f>($E$25*J112)+($E$26*J113)</f>
        <v>0</v>
      </c>
      <c r="K114" s="928">
        <f>($E$25*K112)+($E$26*K113)</f>
        <v>0</v>
      </c>
      <c r="L114" s="98"/>
      <c r="M114" s="63"/>
      <c r="T114" s="5"/>
      <c r="U114" s="5"/>
      <c r="V114" s="5"/>
      <c r="W114" s="5"/>
      <c r="X114" s="5"/>
      <c r="Z114" s="22"/>
    </row>
    <row r="115" spans="2:26" ht="14.45" customHeight="1" x14ac:dyDescent="0.2">
      <c r="B115" s="34"/>
      <c r="C115" s="91"/>
      <c r="D115" s="191" t="s">
        <v>132</v>
      </c>
      <c r="E115" s="92"/>
      <c r="F115" s="92"/>
      <c r="G115" s="949">
        <f>ROUND(IF(G118&gt;G111*0.8,0.8*G111,G118),0)</f>
        <v>0</v>
      </c>
      <c r="H115" s="949">
        <f>ROUND(IF(H118&gt;H111*0.8,0.8*H111,H118),0)</f>
        <v>0</v>
      </c>
      <c r="I115" s="949">
        <f>ROUND(IF(I118&gt;I111*0.8,0.8*I111,I118),0)</f>
        <v>0</v>
      </c>
      <c r="J115" s="949">
        <f>ROUND(IF(J118&gt;J111*0.8,0.8*J111,J118),0)</f>
        <v>0</v>
      </c>
      <c r="K115" s="949">
        <f>ROUND(IF(K118&gt;K111*0.8,0.8*K111,K118),0)</f>
        <v>0</v>
      </c>
      <c r="L115" s="98"/>
      <c r="M115" s="63"/>
      <c r="T115" s="5"/>
      <c r="U115" s="5"/>
      <c r="V115" s="5"/>
      <c r="W115" s="5"/>
      <c r="X115" s="5"/>
      <c r="Z115" s="22"/>
    </row>
    <row r="116" spans="2:26" ht="14.45" customHeight="1" x14ac:dyDescent="0.2">
      <c r="B116" s="34"/>
      <c r="C116" s="91"/>
      <c r="D116" s="160" t="s">
        <v>64</v>
      </c>
      <c r="E116" s="103"/>
      <c r="F116" s="92"/>
      <c r="G116" s="928" t="str">
        <f>IF($G108=LOOKUP($G108,Postcode_gebieden),"ja","nee")</f>
        <v>nee</v>
      </c>
      <c r="H116" s="950" t="str">
        <f>+G116</f>
        <v>nee</v>
      </c>
      <c r="I116" s="950" t="str">
        <f>+H116</f>
        <v>nee</v>
      </c>
      <c r="J116" s="950" t="str">
        <f>+I116</f>
        <v>nee</v>
      </c>
      <c r="K116" s="950" t="str">
        <f>+J116</f>
        <v>nee</v>
      </c>
      <c r="L116" s="98"/>
      <c r="M116" s="63"/>
      <c r="T116" s="5"/>
      <c r="U116" s="5"/>
      <c r="V116" s="5"/>
      <c r="W116" s="5"/>
      <c r="X116" s="5"/>
      <c r="Z116" s="22"/>
    </row>
    <row r="117" spans="2:26" ht="14.45" customHeight="1" x14ac:dyDescent="0.2">
      <c r="B117" s="34"/>
      <c r="C117" s="91"/>
      <c r="D117" s="160" t="s">
        <v>85</v>
      </c>
      <c r="E117" s="92"/>
      <c r="F117" s="92"/>
      <c r="G117" s="928">
        <f>SUM(G112:G113)</f>
        <v>0</v>
      </c>
      <c r="H117" s="928">
        <f>SUM(H112:H113)</f>
        <v>0</v>
      </c>
      <c r="I117" s="928">
        <f>SUM(I112:I113)</f>
        <v>0</v>
      </c>
      <c r="J117" s="928">
        <f>SUM(J112:J113)</f>
        <v>0</v>
      </c>
      <c r="K117" s="928">
        <f>SUM(K112:K113)</f>
        <v>0</v>
      </c>
      <c r="L117" s="98"/>
      <c r="M117" s="63"/>
      <c r="T117" s="5"/>
      <c r="U117" s="5"/>
      <c r="V117" s="5"/>
      <c r="W117" s="5"/>
      <c r="X117" s="5"/>
      <c r="Z117" s="22"/>
    </row>
    <row r="118" spans="2:26" ht="14.45" customHeight="1" x14ac:dyDescent="0.2">
      <c r="B118" s="34"/>
      <c r="C118" s="91"/>
      <c r="D118" s="205"/>
      <c r="E118" s="121"/>
      <c r="F118" s="121"/>
      <c r="G118" s="190">
        <f>ROUND(IF(G114-(tab!E$26*G111)&lt;0,0,(G114-(tab!E$26*G111))),0)</f>
        <v>0</v>
      </c>
      <c r="H118" s="162">
        <f>ROUND(IF(H114-(tab!$F$26*H111)&lt;0,0,(H114-(tab!$F$26*H111))),0)</f>
        <v>0</v>
      </c>
      <c r="I118" s="162">
        <f>ROUND(IF(I114-(tab!$F$26*I111)&lt;0,0,(I114-(tab!$F$26*I111))),0)</f>
        <v>0</v>
      </c>
      <c r="J118" s="162">
        <f>ROUND(IF(J114-(tab!$F$26*J111)&lt;0,0,(J114-(tab!$F$26*J111))),0)</f>
        <v>0</v>
      </c>
      <c r="K118" s="162">
        <f>ROUND(IF(K114-(tab!$F$26*K111)&lt;0,0,(K114-(tab!$F$26*K111))),0)</f>
        <v>0</v>
      </c>
      <c r="L118" s="98"/>
      <c r="M118" s="63"/>
      <c r="T118" s="5"/>
      <c r="U118" s="5"/>
      <c r="V118" s="5"/>
      <c r="W118" s="5"/>
      <c r="X118" s="5"/>
      <c r="Z118" s="22"/>
    </row>
    <row r="119" spans="2:26" ht="14.45" customHeight="1" x14ac:dyDescent="0.2">
      <c r="B119" s="34"/>
      <c r="C119" s="91"/>
      <c r="D119" s="205"/>
      <c r="E119" s="92"/>
      <c r="F119" s="92"/>
      <c r="G119" s="115"/>
      <c r="H119" s="115"/>
      <c r="I119" s="115"/>
      <c r="J119" s="115"/>
      <c r="K119" s="115"/>
      <c r="L119" s="98"/>
      <c r="M119" s="63"/>
      <c r="T119" s="5"/>
      <c r="U119" s="5"/>
      <c r="V119" s="5"/>
      <c r="W119" s="5"/>
      <c r="X119" s="5"/>
      <c r="Z119" s="22"/>
    </row>
    <row r="120" spans="2:26" ht="14.45" customHeight="1" x14ac:dyDescent="0.2">
      <c r="B120" s="34"/>
      <c r="C120" s="91"/>
      <c r="D120" s="755" t="s">
        <v>79</v>
      </c>
      <c r="E120" s="332"/>
      <c r="F120" s="108"/>
      <c r="G120" s="103"/>
      <c r="H120" s="103"/>
      <c r="I120" s="103"/>
      <c r="J120" s="103"/>
      <c r="K120" s="103"/>
      <c r="L120" s="98"/>
      <c r="M120" s="63"/>
      <c r="T120" s="5"/>
      <c r="U120" s="5"/>
      <c r="V120" s="5"/>
      <c r="W120" s="5"/>
      <c r="X120" s="5"/>
      <c r="Z120" s="22"/>
    </row>
    <row r="121" spans="2:26" ht="14.45" customHeight="1" x14ac:dyDescent="0.2">
      <c r="B121" s="34"/>
      <c r="C121" s="91"/>
      <c r="D121" s="205" t="s">
        <v>84</v>
      </c>
      <c r="E121" s="103"/>
      <c r="F121" s="108"/>
      <c r="G121" s="155">
        <v>1000</v>
      </c>
      <c r="H121" s="109"/>
      <c r="I121" s="109"/>
      <c r="J121" s="109"/>
      <c r="K121" s="109"/>
      <c r="L121" s="98"/>
      <c r="M121" s="63"/>
      <c r="T121" s="5"/>
      <c r="U121" s="5"/>
      <c r="V121" s="5"/>
      <c r="W121" s="5"/>
      <c r="X121" s="5"/>
      <c r="Z121" s="22"/>
    </row>
    <row r="122" spans="2:26" ht="14.45" customHeight="1" x14ac:dyDescent="0.2">
      <c r="B122" s="34"/>
      <c r="C122" s="91"/>
      <c r="D122" s="205" t="s">
        <v>111</v>
      </c>
      <c r="E122" s="92"/>
      <c r="F122" s="92"/>
      <c r="G122" s="156">
        <v>0</v>
      </c>
      <c r="H122" s="156">
        <v>0</v>
      </c>
      <c r="I122" s="156">
        <f t="shared" ref="I122:K123" si="9">H122</f>
        <v>0</v>
      </c>
      <c r="J122" s="156">
        <f t="shared" si="9"/>
        <v>0</v>
      </c>
      <c r="K122" s="156">
        <f t="shared" si="9"/>
        <v>0</v>
      </c>
      <c r="L122" s="98"/>
      <c r="M122" s="63"/>
      <c r="T122" s="5"/>
      <c r="U122" s="5"/>
      <c r="V122" s="5"/>
      <c r="W122" s="5"/>
      <c r="X122" s="5"/>
      <c r="Z122" s="22"/>
    </row>
    <row r="123" spans="2:26" ht="14.45" customHeight="1" x14ac:dyDescent="0.2">
      <c r="B123" s="34"/>
      <c r="C123" s="91"/>
      <c r="D123" s="205" t="s">
        <v>112</v>
      </c>
      <c r="E123" s="92"/>
      <c r="F123" s="92"/>
      <c r="G123" s="156">
        <v>0</v>
      </c>
      <c r="H123" s="156">
        <v>0</v>
      </c>
      <c r="I123" s="156">
        <f t="shared" si="9"/>
        <v>0</v>
      </c>
      <c r="J123" s="156">
        <f t="shared" si="9"/>
        <v>0</v>
      </c>
      <c r="K123" s="156">
        <f t="shared" si="9"/>
        <v>0</v>
      </c>
      <c r="L123" s="98"/>
      <c r="M123" s="63"/>
      <c r="T123" s="5"/>
      <c r="U123" s="5"/>
      <c r="V123" s="5"/>
      <c r="W123" s="5"/>
      <c r="X123" s="5"/>
      <c r="Z123" s="22"/>
    </row>
    <row r="124" spans="2:26" ht="14.45" customHeight="1" x14ac:dyDescent="0.2">
      <c r="B124" s="34"/>
      <c r="C124" s="91"/>
      <c r="D124" s="191" t="s">
        <v>120</v>
      </c>
      <c r="E124" s="103"/>
      <c r="F124" s="103"/>
      <c r="G124" s="944">
        <f>SUM(G122:G123)</f>
        <v>0</v>
      </c>
      <c r="H124" s="944">
        <f>SUM(H122:H123)</f>
        <v>0</v>
      </c>
      <c r="I124" s="944">
        <f>SUM(I122:I123)</f>
        <v>0</v>
      </c>
      <c r="J124" s="944">
        <f>SUM(J122:J123)</f>
        <v>0</v>
      </c>
      <c r="K124" s="944">
        <f>SUM(K122:K123)</f>
        <v>0</v>
      </c>
      <c r="L124" s="98"/>
      <c r="M124" s="63"/>
      <c r="T124" s="5"/>
      <c r="U124" s="5"/>
      <c r="V124" s="5"/>
      <c r="W124" s="5"/>
      <c r="X124" s="5"/>
      <c r="Z124" s="22"/>
    </row>
    <row r="125" spans="2:26" ht="14.45" customHeight="1" x14ac:dyDescent="0.2">
      <c r="B125" s="34"/>
      <c r="C125" s="91"/>
      <c r="D125" s="205" t="s">
        <v>86</v>
      </c>
      <c r="E125" s="605">
        <v>0.3</v>
      </c>
      <c r="F125" s="111"/>
      <c r="G125" s="156">
        <v>0</v>
      </c>
      <c r="H125" s="156">
        <v>0</v>
      </c>
      <c r="I125" s="156">
        <f t="shared" ref="I125:K126" si="10">H125</f>
        <v>0</v>
      </c>
      <c r="J125" s="156">
        <f t="shared" si="10"/>
        <v>0</v>
      </c>
      <c r="K125" s="156">
        <f t="shared" si="10"/>
        <v>0</v>
      </c>
      <c r="L125" s="98"/>
      <c r="M125" s="63"/>
      <c r="T125" s="5"/>
      <c r="U125" s="5"/>
      <c r="V125" s="5"/>
      <c r="W125" s="5"/>
      <c r="X125" s="5"/>
      <c r="Z125" s="22"/>
    </row>
    <row r="126" spans="2:26" ht="14.45" customHeight="1" x14ac:dyDescent="0.2">
      <c r="B126" s="34"/>
      <c r="C126" s="91"/>
      <c r="D126" s="205" t="s">
        <v>86</v>
      </c>
      <c r="E126" s="605">
        <v>1.2</v>
      </c>
      <c r="F126" s="111"/>
      <c r="G126" s="156">
        <v>0</v>
      </c>
      <c r="H126" s="156">
        <v>0</v>
      </c>
      <c r="I126" s="156">
        <f t="shared" si="10"/>
        <v>0</v>
      </c>
      <c r="J126" s="156">
        <f t="shared" si="10"/>
        <v>0</v>
      </c>
      <c r="K126" s="156">
        <f t="shared" si="10"/>
        <v>0</v>
      </c>
      <c r="L126" s="98"/>
      <c r="M126" s="63"/>
      <c r="T126" s="5"/>
      <c r="U126" s="5"/>
      <c r="V126" s="5"/>
      <c r="W126" s="5"/>
      <c r="X126" s="5"/>
      <c r="Z126" s="22"/>
    </row>
    <row r="127" spans="2:26" ht="14.45" customHeight="1" x14ac:dyDescent="0.2">
      <c r="B127" s="34"/>
      <c r="C127" s="91"/>
      <c r="D127" s="191" t="s">
        <v>110</v>
      </c>
      <c r="E127" s="103"/>
      <c r="F127" s="103"/>
      <c r="G127" s="928">
        <f>($E$25*G125)+($E$26*G126)</f>
        <v>0</v>
      </c>
      <c r="H127" s="928">
        <f>($E$25*H125)+($E$26*H126)</f>
        <v>0</v>
      </c>
      <c r="I127" s="928">
        <f>($E$25*I125)+($E$26*I126)</f>
        <v>0</v>
      </c>
      <c r="J127" s="928">
        <f>($E$25*J125)+($E$26*J126)</f>
        <v>0</v>
      </c>
      <c r="K127" s="928">
        <f>($E$25*K125)+($E$26*K126)</f>
        <v>0</v>
      </c>
      <c r="L127" s="98"/>
      <c r="M127" s="63"/>
      <c r="T127" s="5"/>
      <c r="U127" s="5"/>
      <c r="V127" s="5"/>
      <c r="W127" s="5"/>
      <c r="X127" s="5"/>
      <c r="Z127" s="22"/>
    </row>
    <row r="128" spans="2:26" ht="14.45" customHeight="1" x14ac:dyDescent="0.2">
      <c r="B128" s="34"/>
      <c r="C128" s="91"/>
      <c r="D128" s="160" t="s">
        <v>132</v>
      </c>
      <c r="E128" s="92"/>
      <c r="F128" s="92"/>
      <c r="G128" s="949">
        <f>ROUND(IF(G131&gt;G124*0.8,0.8*G124,G131),0)</f>
        <v>0</v>
      </c>
      <c r="H128" s="949">
        <f>ROUND(IF(H131&gt;H124*0.8,0.8*H124,H131),0)</f>
        <v>0</v>
      </c>
      <c r="I128" s="949">
        <f>ROUND(IF(I131&gt;I124*0.8,0.8*I124,I131),0)</f>
        <v>0</v>
      </c>
      <c r="J128" s="949">
        <f>ROUND(IF(J131&gt;J124*0.8,0.8*J124,J131),0)</f>
        <v>0</v>
      </c>
      <c r="K128" s="949">
        <f>ROUND(IF(K131&gt;K124*0.8,0.8*K124,K131),0)</f>
        <v>0</v>
      </c>
      <c r="L128" s="98"/>
      <c r="M128" s="63"/>
      <c r="T128" s="5"/>
      <c r="U128" s="5"/>
      <c r="V128" s="5"/>
      <c r="W128" s="5"/>
      <c r="X128" s="5"/>
      <c r="Z128" s="22"/>
    </row>
    <row r="129" spans="2:26" ht="14.45" customHeight="1" x14ac:dyDescent="0.2">
      <c r="B129" s="34"/>
      <c r="C129" s="91"/>
      <c r="D129" s="160" t="s">
        <v>64</v>
      </c>
      <c r="E129" s="103"/>
      <c r="F129" s="92"/>
      <c r="G129" s="928" t="str">
        <f>IF($G121=LOOKUP($G121,Postcode_gebieden),"ja","nee")</f>
        <v>nee</v>
      </c>
      <c r="H129" s="950" t="str">
        <f>+G129</f>
        <v>nee</v>
      </c>
      <c r="I129" s="950" t="str">
        <f>+H129</f>
        <v>nee</v>
      </c>
      <c r="J129" s="950" t="str">
        <f>+I129</f>
        <v>nee</v>
      </c>
      <c r="K129" s="950" t="str">
        <f>+J129</f>
        <v>nee</v>
      </c>
      <c r="L129" s="98"/>
      <c r="M129" s="63"/>
      <c r="T129" s="5"/>
      <c r="U129" s="5"/>
      <c r="V129" s="5"/>
      <c r="W129" s="5"/>
      <c r="X129" s="5"/>
      <c r="Z129" s="22"/>
    </row>
    <row r="130" spans="2:26" ht="14.45" customHeight="1" x14ac:dyDescent="0.2">
      <c r="B130" s="34"/>
      <c r="C130" s="91"/>
      <c r="D130" s="160" t="s">
        <v>85</v>
      </c>
      <c r="E130" s="92"/>
      <c r="F130" s="92"/>
      <c r="G130" s="928">
        <f>SUM(G125:G126)</f>
        <v>0</v>
      </c>
      <c r="H130" s="928">
        <f>SUM(H125:H126)</f>
        <v>0</v>
      </c>
      <c r="I130" s="928">
        <f>SUM(I125:I126)</f>
        <v>0</v>
      </c>
      <c r="J130" s="928">
        <f>SUM(J125:J126)</f>
        <v>0</v>
      </c>
      <c r="K130" s="928">
        <f>SUM(K125:K126)</f>
        <v>0</v>
      </c>
      <c r="L130" s="98"/>
      <c r="M130" s="63"/>
      <c r="T130" s="5"/>
      <c r="U130" s="5"/>
      <c r="V130" s="5"/>
      <c r="W130" s="5"/>
      <c r="X130" s="5"/>
      <c r="Z130" s="22"/>
    </row>
    <row r="131" spans="2:26" ht="14.45" customHeight="1" x14ac:dyDescent="0.2">
      <c r="B131" s="34"/>
      <c r="C131" s="122"/>
      <c r="D131" s="121"/>
      <c r="E131" s="121"/>
      <c r="F131" s="121"/>
      <c r="G131" s="190">
        <f>ROUND(IF(G127-(tab!E$26*G124)&lt;0,0,(G127-(tab!E$26*G124))),0)</f>
        <v>0</v>
      </c>
      <c r="H131" s="162">
        <f>ROUND(IF(H127-(tab!$F$26*H124)&lt;0,0,(H127-(tab!$F$26*H124))),0)</f>
        <v>0</v>
      </c>
      <c r="I131" s="162">
        <f>ROUND(IF(I127-(tab!$F$26*I124)&lt;0,0,(I127-(tab!$F$26*I124))),0)</f>
        <v>0</v>
      </c>
      <c r="J131" s="162">
        <f>ROUND(IF(J127-(tab!$F$26*J124)&lt;0,0,(J127-(tab!$F$26*J124))),0)</f>
        <v>0</v>
      </c>
      <c r="K131" s="162">
        <f>ROUND(IF(K127-(tab!$F$26*K124)&lt;0,0,(K127-(tab!$F$26*K124))),0)</f>
        <v>0</v>
      </c>
      <c r="L131" s="123"/>
      <c r="M131" s="63"/>
      <c r="T131" s="5"/>
      <c r="U131" s="5"/>
      <c r="V131" s="5"/>
      <c r="W131" s="5"/>
      <c r="X131" s="5"/>
      <c r="Z131" s="22"/>
    </row>
    <row r="132" spans="2:26" ht="14.45" customHeight="1" x14ac:dyDescent="0.2">
      <c r="B132" s="34"/>
      <c r="C132" s="35"/>
      <c r="D132" s="35"/>
      <c r="E132" s="35"/>
      <c r="F132" s="35"/>
      <c r="G132" s="35"/>
      <c r="H132" s="35"/>
      <c r="I132" s="35"/>
      <c r="J132" s="35"/>
      <c r="K132" s="35"/>
      <c r="L132" s="35"/>
      <c r="M132" s="63"/>
      <c r="T132" s="5"/>
      <c r="U132" s="5"/>
      <c r="V132" s="5"/>
      <c r="W132" s="5"/>
      <c r="X132" s="5"/>
      <c r="Z132" s="22"/>
    </row>
    <row r="133" spans="2:26" ht="14.45" customHeight="1" x14ac:dyDescent="0.25">
      <c r="B133" s="68"/>
      <c r="C133" s="69"/>
      <c r="D133" s="69"/>
      <c r="E133" s="69"/>
      <c r="F133" s="69"/>
      <c r="G133" s="84"/>
      <c r="H133" s="84"/>
      <c r="I133" s="84"/>
      <c r="J133" s="84"/>
      <c r="K133" s="84"/>
      <c r="L133" s="72" t="s">
        <v>388</v>
      </c>
      <c r="M133" s="85"/>
    </row>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row r="1647" ht="12.75" customHeight="1" x14ac:dyDescent="0.2"/>
    <row r="1648" ht="12.75" customHeight="1" x14ac:dyDescent="0.2"/>
    <row r="1649" ht="12.75" customHeight="1" x14ac:dyDescent="0.2"/>
    <row r="1650" ht="12.75" customHeight="1" x14ac:dyDescent="0.2"/>
    <row r="1651" ht="12.75" customHeight="1" x14ac:dyDescent="0.2"/>
    <row r="1652" ht="12.75" customHeight="1" x14ac:dyDescent="0.2"/>
    <row r="1653" ht="12.75" customHeight="1" x14ac:dyDescent="0.2"/>
    <row r="1654" ht="12.75" customHeight="1" x14ac:dyDescent="0.2"/>
    <row r="1655" ht="12.75" customHeight="1" x14ac:dyDescent="0.2"/>
    <row r="1656" ht="12.75" customHeight="1" x14ac:dyDescent="0.2"/>
    <row r="1657" ht="12.75" customHeight="1" x14ac:dyDescent="0.2"/>
    <row r="1658" ht="12.75" customHeight="1" x14ac:dyDescent="0.2"/>
    <row r="1659" ht="12.75" customHeight="1" x14ac:dyDescent="0.2"/>
    <row r="1660" ht="12.75" customHeight="1" x14ac:dyDescent="0.2"/>
    <row r="1661" ht="12.75" customHeight="1" x14ac:dyDescent="0.2"/>
    <row r="1662" ht="12.75" customHeight="1" x14ac:dyDescent="0.2"/>
    <row r="1663" ht="12.75" customHeight="1" x14ac:dyDescent="0.2"/>
    <row r="1664" ht="12.75" customHeight="1" x14ac:dyDescent="0.2"/>
    <row r="1665" ht="12.75" customHeight="1" x14ac:dyDescent="0.2"/>
    <row r="1666" ht="12.75" customHeight="1" x14ac:dyDescent="0.2"/>
    <row r="1667" ht="12.75" customHeight="1" x14ac:dyDescent="0.2"/>
    <row r="1668" ht="12.75" customHeight="1" x14ac:dyDescent="0.2"/>
    <row r="1669" ht="12.75" customHeight="1" x14ac:dyDescent="0.2"/>
    <row r="1670" ht="12.75" customHeight="1" x14ac:dyDescent="0.2"/>
    <row r="1671" ht="12.75" customHeight="1" x14ac:dyDescent="0.2"/>
    <row r="1672" ht="12.75" customHeight="1" x14ac:dyDescent="0.2"/>
    <row r="1673" ht="12.75" customHeight="1" x14ac:dyDescent="0.2"/>
    <row r="1674" ht="12.75" customHeight="1" x14ac:dyDescent="0.2"/>
    <row r="1675" ht="12.75" customHeight="1" x14ac:dyDescent="0.2"/>
    <row r="1676" ht="12.75" customHeight="1" x14ac:dyDescent="0.2"/>
    <row r="1677" ht="12.75" customHeight="1" x14ac:dyDescent="0.2"/>
    <row r="1678" ht="12.75" customHeight="1" x14ac:dyDescent="0.2"/>
    <row r="1679" ht="12.75" customHeight="1" x14ac:dyDescent="0.2"/>
    <row r="1680" ht="12.75" customHeight="1" x14ac:dyDescent="0.2"/>
    <row r="1681" ht="12.75" customHeight="1" x14ac:dyDescent="0.2"/>
    <row r="1682" ht="12.75" customHeight="1" x14ac:dyDescent="0.2"/>
    <row r="1683" ht="12.75" customHeight="1" x14ac:dyDescent="0.2"/>
    <row r="1684" ht="12.75" customHeight="1" x14ac:dyDescent="0.2"/>
    <row r="1685" ht="12.75" customHeight="1" x14ac:dyDescent="0.2"/>
    <row r="1686" ht="12.75" customHeight="1" x14ac:dyDescent="0.2"/>
    <row r="1687" ht="12.75" customHeight="1" x14ac:dyDescent="0.2"/>
    <row r="1688" ht="12.75" customHeight="1" x14ac:dyDescent="0.2"/>
    <row r="1689" ht="12.75" customHeight="1" x14ac:dyDescent="0.2"/>
    <row r="1690" ht="12.75" customHeight="1" x14ac:dyDescent="0.2"/>
    <row r="1691" ht="12.75" customHeight="1" x14ac:dyDescent="0.2"/>
    <row r="1692" ht="12.75" customHeight="1" x14ac:dyDescent="0.2"/>
    <row r="1693" ht="12.75" customHeight="1" x14ac:dyDescent="0.2"/>
    <row r="1694" ht="12.75" customHeight="1" x14ac:dyDescent="0.2"/>
    <row r="1695" ht="12.75" customHeight="1" x14ac:dyDescent="0.2"/>
    <row r="1696" ht="12.75" customHeight="1" x14ac:dyDescent="0.2"/>
    <row r="1697" ht="12.75" customHeight="1" x14ac:dyDescent="0.2"/>
    <row r="1698" ht="12.75" customHeight="1" x14ac:dyDescent="0.2"/>
    <row r="1699" ht="12.75" customHeight="1" x14ac:dyDescent="0.2"/>
    <row r="1700" ht="12.75" customHeight="1" x14ac:dyDescent="0.2"/>
    <row r="1701" ht="12.75" customHeight="1" x14ac:dyDescent="0.2"/>
    <row r="1702" ht="12.75" customHeight="1" x14ac:dyDescent="0.2"/>
    <row r="1703" ht="12.75" customHeight="1" x14ac:dyDescent="0.2"/>
    <row r="1704" ht="12.75" customHeight="1" x14ac:dyDescent="0.2"/>
    <row r="1705" ht="12.75" customHeight="1" x14ac:dyDescent="0.2"/>
    <row r="1706" ht="12.75" customHeight="1" x14ac:dyDescent="0.2"/>
    <row r="1707" ht="12.75" customHeight="1" x14ac:dyDescent="0.2"/>
    <row r="1708" ht="12.75" customHeight="1" x14ac:dyDescent="0.2"/>
    <row r="1709" ht="12.75" customHeight="1" x14ac:dyDescent="0.2"/>
    <row r="1710" ht="12.75" customHeight="1" x14ac:dyDescent="0.2"/>
    <row r="1711" ht="12.75" customHeight="1" x14ac:dyDescent="0.2"/>
    <row r="1712" ht="12.75" customHeight="1" x14ac:dyDescent="0.2"/>
    <row r="1713" ht="12.75" customHeight="1" x14ac:dyDescent="0.2"/>
    <row r="1714" ht="12.75" customHeight="1" x14ac:dyDescent="0.2"/>
    <row r="1715" ht="12.75" customHeight="1" x14ac:dyDescent="0.2"/>
    <row r="1716" ht="12.75" customHeight="1" x14ac:dyDescent="0.2"/>
    <row r="1717" ht="12.75" customHeight="1" x14ac:dyDescent="0.2"/>
    <row r="1718" ht="12.75" customHeight="1" x14ac:dyDescent="0.2"/>
    <row r="1719" ht="12.75" customHeight="1" x14ac:dyDescent="0.2"/>
    <row r="1720" ht="12.75" customHeight="1" x14ac:dyDescent="0.2"/>
    <row r="1721" ht="12.75" customHeight="1" x14ac:dyDescent="0.2"/>
    <row r="1722" ht="12.75" customHeight="1" x14ac:dyDescent="0.2"/>
    <row r="1723" ht="12.75" customHeight="1" x14ac:dyDescent="0.2"/>
    <row r="1724" ht="12.75" customHeight="1" x14ac:dyDescent="0.2"/>
    <row r="1725" ht="12.75" customHeight="1" x14ac:dyDescent="0.2"/>
    <row r="1726" ht="12.75" customHeight="1" x14ac:dyDescent="0.2"/>
    <row r="1727" ht="12.75" customHeight="1" x14ac:dyDescent="0.2"/>
    <row r="1728" ht="12.75" customHeight="1" x14ac:dyDescent="0.2"/>
    <row r="1729" ht="12.75" customHeight="1" x14ac:dyDescent="0.2"/>
    <row r="1730" ht="12.75" customHeight="1" x14ac:dyDescent="0.2"/>
    <row r="1731" ht="12.75" customHeight="1" x14ac:dyDescent="0.2"/>
    <row r="1732" ht="12.75" customHeight="1" x14ac:dyDescent="0.2"/>
    <row r="1733" ht="12.75" customHeight="1" x14ac:dyDescent="0.2"/>
    <row r="1734" ht="12.75" customHeight="1" x14ac:dyDescent="0.2"/>
    <row r="1735" ht="12.75" customHeight="1" x14ac:dyDescent="0.2"/>
    <row r="1736" ht="12.75" customHeight="1" x14ac:dyDescent="0.2"/>
    <row r="1737" ht="12.75" customHeight="1" x14ac:dyDescent="0.2"/>
    <row r="1738" ht="12.75" customHeight="1" x14ac:dyDescent="0.2"/>
    <row r="1739" ht="12.75" customHeight="1" x14ac:dyDescent="0.2"/>
    <row r="1740" ht="12.75" customHeight="1" x14ac:dyDescent="0.2"/>
    <row r="1741" ht="12.75" customHeight="1" x14ac:dyDescent="0.2"/>
    <row r="1742" ht="12.75" customHeight="1" x14ac:dyDescent="0.2"/>
    <row r="1743" ht="12.75" customHeight="1" x14ac:dyDescent="0.2"/>
    <row r="1744" ht="12.75" customHeight="1" x14ac:dyDescent="0.2"/>
    <row r="1745" ht="12.75" customHeight="1" x14ac:dyDescent="0.2"/>
    <row r="1746" ht="12.75" customHeight="1" x14ac:dyDescent="0.2"/>
    <row r="1747" ht="12.75" customHeight="1" x14ac:dyDescent="0.2"/>
    <row r="1748" ht="12.75" customHeight="1" x14ac:dyDescent="0.2"/>
    <row r="1749" ht="12.75" customHeight="1" x14ac:dyDescent="0.2"/>
    <row r="1750" ht="12.75" customHeight="1" x14ac:dyDescent="0.2"/>
    <row r="1751" ht="12.75" customHeight="1" x14ac:dyDescent="0.2"/>
    <row r="1752" ht="12.75" customHeight="1" x14ac:dyDescent="0.2"/>
    <row r="1753" ht="12.75" customHeight="1" x14ac:dyDescent="0.2"/>
    <row r="1754" ht="12.75" customHeight="1" x14ac:dyDescent="0.2"/>
    <row r="1755" ht="12.75" customHeight="1" x14ac:dyDescent="0.2"/>
  </sheetData>
  <sheetProtection algorithmName="SHA-512" hashValue="xdifZe3RHTHtpZB1Ii+lia4ohwcWnLRZCiU1eQ2FsvRM3H70Cz97544PG8CZ6g6VFOTjgMYzjGvTREOkXloU7g==" saltValue="RQV9tu+xUYM5sfscqn0hiA==" spinCount="100000" sheet="1" objects="1" scenarios="1"/>
  <phoneticPr fontId="0" type="noConversion"/>
  <dataValidations count="1">
    <dataValidation type="list" allowBlank="1" showInputMessage="1" showErrorMessage="1" sqref="H116:K116 H90:K90 H129:K129 H103:K103 H30:K30">
      <formula1>"ja,nee"</formula1>
    </dataValidation>
  </dataValidations>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rowBreaks count="3" manualBreakCount="3">
    <brk id="70" min="1" max="14" man="1"/>
    <brk id="202" min="1" max="12" man="1"/>
    <brk id="295" min="1"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26"/>
  <sheetViews>
    <sheetView zoomScale="85" zoomScaleNormal="85" zoomScaleSheetLayoutView="85" workbookViewId="0">
      <pane ySplit="10" topLeftCell="A11" activePane="bottomLeft" state="frozen"/>
      <selection activeCell="C4" sqref="C4"/>
      <selection pane="bottomLeft" activeCell="B2" sqref="B2"/>
    </sheetView>
  </sheetViews>
  <sheetFormatPr defaultColWidth="9.140625" defaultRowHeight="12.75" customHeight="1" x14ac:dyDescent="0.2"/>
  <cols>
    <col min="1" max="1" width="3.7109375" style="5" customWidth="1"/>
    <col min="2" max="3" width="2.7109375" style="5" customWidth="1"/>
    <col min="4" max="4" width="35.7109375" style="634" customWidth="1"/>
    <col min="5" max="5" width="1.7109375" style="5" customWidth="1"/>
    <col min="6" max="6" width="6.7109375" style="5" customWidth="1"/>
    <col min="7" max="7" width="1.7109375" style="5" customWidth="1"/>
    <col min="8" max="12" width="11.7109375" style="22" customWidth="1"/>
    <col min="13" max="13" width="1.7109375" style="5" customWidth="1"/>
    <col min="14" max="18" width="8.85546875" style="5" customWidth="1"/>
    <col min="19" max="21" width="2.7109375" style="5" customWidth="1"/>
    <col min="22" max="23" width="13.85546875" style="5" bestFit="1" customWidth="1"/>
    <col min="24" max="16384" width="9.140625" style="5"/>
  </cols>
  <sheetData>
    <row r="2" spans="2:23" ht="12.75" customHeight="1" x14ac:dyDescent="0.2">
      <c r="B2" s="30" t="s">
        <v>185</v>
      </c>
      <c r="C2" s="31"/>
      <c r="D2" s="770"/>
      <c r="E2" s="31"/>
      <c r="F2" s="31"/>
      <c r="G2" s="31"/>
      <c r="H2" s="76"/>
      <c r="I2" s="76"/>
      <c r="J2" s="76"/>
      <c r="K2" s="76"/>
      <c r="L2" s="76"/>
      <c r="M2" s="31"/>
      <c r="N2" s="31"/>
      <c r="O2" s="31"/>
      <c r="P2" s="31"/>
      <c r="Q2" s="31"/>
      <c r="R2" s="31"/>
      <c r="S2" s="31"/>
      <c r="T2" s="33"/>
    </row>
    <row r="3" spans="2:23" ht="12.75" customHeight="1" x14ac:dyDescent="0.2">
      <c r="B3" s="34"/>
      <c r="C3" s="35"/>
      <c r="D3" s="756"/>
      <c r="E3" s="35"/>
      <c r="F3" s="35"/>
      <c r="G3" s="35"/>
      <c r="H3" s="62"/>
      <c r="I3" s="62"/>
      <c r="J3" s="62"/>
      <c r="K3" s="62"/>
      <c r="L3" s="62"/>
      <c r="M3" s="35"/>
      <c r="N3" s="35"/>
      <c r="O3" s="35"/>
      <c r="P3" s="35"/>
      <c r="Q3" s="35"/>
      <c r="R3" s="35"/>
      <c r="S3" s="35"/>
      <c r="T3" s="37"/>
    </row>
    <row r="4" spans="2:23" s="436" customFormat="1" ht="18" customHeight="1" x14ac:dyDescent="0.3">
      <c r="B4" s="208"/>
      <c r="C4" s="151" t="s">
        <v>433</v>
      </c>
      <c r="D4" s="757"/>
      <c r="E4" s="151"/>
      <c r="F4" s="151"/>
      <c r="G4" s="151"/>
      <c r="H4" s="213"/>
      <c r="I4" s="213"/>
      <c r="J4" s="213"/>
      <c r="K4" s="213"/>
      <c r="L4" s="213"/>
      <c r="M4" s="151"/>
      <c r="N4" s="151"/>
      <c r="O4" s="151"/>
      <c r="P4" s="151"/>
      <c r="Q4" s="151"/>
      <c r="R4" s="151"/>
      <c r="S4" s="151"/>
      <c r="T4" s="209"/>
    </row>
    <row r="5" spans="2:23" s="28" customFormat="1" ht="18" customHeight="1" x14ac:dyDescent="0.3">
      <c r="B5" s="78"/>
      <c r="C5" s="173" t="str">
        <f>geg!G10</f>
        <v>Basisschool</v>
      </c>
      <c r="D5" s="757"/>
      <c r="E5" s="79"/>
      <c r="F5" s="79"/>
      <c r="G5" s="79"/>
      <c r="H5" s="82"/>
      <c r="I5" s="82"/>
      <c r="J5" s="82"/>
      <c r="K5" s="82"/>
      <c r="L5" s="82"/>
      <c r="M5" s="79"/>
      <c r="N5" s="79"/>
      <c r="O5" s="79"/>
      <c r="P5" s="79"/>
      <c r="Q5" s="79"/>
      <c r="R5" s="79"/>
      <c r="S5" s="79"/>
      <c r="T5" s="241"/>
    </row>
    <row r="6" spans="2:23" s="396" customFormat="1" ht="12.75" customHeight="1" x14ac:dyDescent="0.2">
      <c r="B6" s="652"/>
      <c r="C6" s="195"/>
      <c r="D6" s="756"/>
      <c r="E6" s="388"/>
      <c r="F6" s="388"/>
      <c r="G6" s="388"/>
      <c r="H6" s="653"/>
      <c r="I6" s="653"/>
      <c r="J6" s="653"/>
      <c r="K6" s="653"/>
      <c r="L6" s="653"/>
      <c r="M6" s="388"/>
      <c r="N6" s="388"/>
      <c r="O6" s="388"/>
      <c r="P6" s="388"/>
      <c r="Q6" s="388"/>
      <c r="R6" s="388"/>
      <c r="S6" s="388"/>
      <c r="T6" s="395"/>
    </row>
    <row r="7" spans="2:23" s="396" customFormat="1" ht="12.75" customHeight="1" x14ac:dyDescent="0.2">
      <c r="B7" s="652"/>
      <c r="C7" s="195"/>
      <c r="D7" s="756"/>
      <c r="E7" s="751"/>
      <c r="F7" s="751"/>
      <c r="G7" s="751"/>
      <c r="H7" s="758"/>
      <c r="I7" s="758"/>
      <c r="J7" s="758"/>
      <c r="K7" s="758"/>
      <c r="L7" s="758"/>
      <c r="M7" s="751"/>
      <c r="N7" s="751"/>
      <c r="O7" s="751"/>
      <c r="P7" s="751"/>
      <c r="Q7" s="751"/>
      <c r="R7" s="751"/>
      <c r="S7" s="388"/>
      <c r="T7" s="395"/>
    </row>
    <row r="8" spans="2:23" s="28" customFormat="1" ht="18" customHeight="1" x14ac:dyDescent="0.3">
      <c r="B8" s="78"/>
      <c r="C8" s="39"/>
      <c r="D8" s="757"/>
      <c r="E8" s="759"/>
      <c r="F8" s="759"/>
      <c r="G8" s="759"/>
      <c r="H8" s="999" t="s">
        <v>369</v>
      </c>
      <c r="I8" s="999"/>
      <c r="J8" s="999"/>
      <c r="K8" s="999"/>
      <c r="L8" s="999"/>
      <c r="M8" s="760"/>
      <c r="N8" s="999" t="s">
        <v>368</v>
      </c>
      <c r="O8" s="999"/>
      <c r="P8" s="999"/>
      <c r="Q8" s="999"/>
      <c r="R8" s="999"/>
      <c r="S8" s="79"/>
      <c r="T8" s="241"/>
    </row>
    <row r="9" spans="2:23" s="165" customFormat="1" ht="12.75" customHeight="1" x14ac:dyDescent="0.2">
      <c r="B9" s="210"/>
      <c r="C9" s="153"/>
      <c r="D9" s="756"/>
      <c r="E9" s="751"/>
      <c r="F9" s="751"/>
      <c r="G9" s="751"/>
      <c r="H9" s="761" t="str">
        <f>geg!G16</f>
        <v>2016/17</v>
      </c>
      <c r="I9" s="761" t="str">
        <f>geg!H16</f>
        <v>2017/18</v>
      </c>
      <c r="J9" s="761" t="str">
        <f>geg!I16</f>
        <v>2018/19</v>
      </c>
      <c r="K9" s="761" t="str">
        <f>geg!J16</f>
        <v>2019/20</v>
      </c>
      <c r="L9" s="761" t="str">
        <f>geg!K16</f>
        <v>2020/21</v>
      </c>
      <c r="M9" s="751"/>
      <c r="N9" s="761" t="str">
        <f>H9</f>
        <v>2016/17</v>
      </c>
      <c r="O9" s="761" t="str">
        <f>I9</f>
        <v>2017/18</v>
      </c>
      <c r="P9" s="761" t="str">
        <f>J9</f>
        <v>2018/19</v>
      </c>
      <c r="Q9" s="761" t="str">
        <f>K9</f>
        <v>2019/20</v>
      </c>
      <c r="R9" s="761" t="str">
        <f>+L9</f>
        <v>2020/21</v>
      </c>
      <c r="S9" s="153"/>
      <c r="T9" s="212"/>
    </row>
    <row r="10" spans="2:23" ht="12.75" customHeight="1" x14ac:dyDescent="0.2">
      <c r="B10" s="34"/>
      <c r="C10" s="35"/>
      <c r="D10" s="756"/>
      <c r="E10" s="35"/>
      <c r="F10" s="35"/>
      <c r="G10" s="35"/>
      <c r="H10" s="62"/>
      <c r="I10" s="62"/>
      <c r="J10" s="62"/>
      <c r="K10" s="62"/>
      <c r="L10" s="62"/>
      <c r="M10" s="35"/>
      <c r="N10" s="35"/>
      <c r="O10" s="35"/>
      <c r="P10" s="35"/>
      <c r="Q10" s="35"/>
      <c r="R10" s="35"/>
      <c r="S10" s="35"/>
      <c r="T10" s="37"/>
    </row>
    <row r="11" spans="2:23" ht="12.75" customHeight="1" x14ac:dyDescent="0.2">
      <c r="B11" s="34"/>
      <c r="C11" s="86"/>
      <c r="D11" s="771"/>
      <c r="E11" s="87"/>
      <c r="F11" s="87"/>
      <c r="G11" s="87"/>
      <c r="H11" s="144"/>
      <c r="I11" s="144"/>
      <c r="J11" s="144"/>
      <c r="K11" s="144"/>
      <c r="L11" s="144"/>
      <c r="M11" s="87"/>
      <c r="N11" s="87"/>
      <c r="O11" s="87"/>
      <c r="P11" s="87"/>
      <c r="Q11" s="87"/>
      <c r="R11" s="87"/>
      <c r="S11" s="128"/>
      <c r="T11" s="37"/>
    </row>
    <row r="12" spans="2:23" s="8" customFormat="1" ht="12.75" customHeight="1" x14ac:dyDescent="0.2">
      <c r="B12" s="175"/>
      <c r="C12" s="100"/>
      <c r="D12" s="743" t="s">
        <v>234</v>
      </c>
      <c r="E12" s="261"/>
      <c r="F12" s="265"/>
      <c r="G12" s="265"/>
      <c r="H12" s="283"/>
      <c r="I12" s="284"/>
      <c r="J12" s="283"/>
      <c r="K12" s="283"/>
      <c r="L12" s="283"/>
      <c r="M12" s="265"/>
      <c r="N12" s="265"/>
      <c r="O12" s="265"/>
      <c r="P12" s="265"/>
      <c r="Q12" s="265"/>
      <c r="R12" s="265"/>
      <c r="S12" s="266"/>
      <c r="T12" s="42"/>
    </row>
    <row r="13" spans="2:23" ht="12.75" customHeight="1" x14ac:dyDescent="0.2">
      <c r="B13" s="34"/>
      <c r="C13" s="91"/>
      <c r="D13" s="645"/>
      <c r="E13" s="92"/>
      <c r="F13" s="808" t="s">
        <v>153</v>
      </c>
      <c r="G13" s="92"/>
      <c r="H13" s="651"/>
      <c r="I13" s="286"/>
      <c r="J13" s="278"/>
      <c r="K13" s="278"/>
      <c r="L13" s="278"/>
      <c r="M13" s="92"/>
      <c r="N13" s="92"/>
      <c r="O13" s="92"/>
      <c r="P13" s="92"/>
      <c r="Q13" s="92"/>
      <c r="R13" s="92"/>
      <c r="S13" s="98"/>
      <c r="T13" s="37"/>
    </row>
    <row r="14" spans="2:23" ht="12.75" customHeight="1" x14ac:dyDescent="0.2">
      <c r="B14" s="34"/>
      <c r="C14" s="91"/>
      <c r="D14" s="773" t="s">
        <v>28</v>
      </c>
      <c r="E14" s="117"/>
      <c r="F14" s="92"/>
      <c r="G14" s="92"/>
      <c r="H14" s="287"/>
      <c r="I14" s="115"/>
      <c r="J14" s="115"/>
      <c r="K14" s="115"/>
      <c r="L14" s="115"/>
      <c r="M14" s="92"/>
      <c r="N14" s="955"/>
      <c r="O14" s="92"/>
      <c r="P14" s="116"/>
      <c r="Q14" s="116"/>
      <c r="R14" s="116"/>
      <c r="S14" s="275"/>
      <c r="T14" s="178"/>
      <c r="U14" s="19"/>
    </row>
    <row r="15" spans="2:23" ht="12.75" customHeight="1" x14ac:dyDescent="0.2">
      <c r="B15" s="34"/>
      <c r="C15" s="91"/>
      <c r="D15" s="645" t="s">
        <v>211</v>
      </c>
      <c r="E15" s="92"/>
      <c r="F15" s="312">
        <v>0</v>
      </c>
      <c r="G15" s="92"/>
      <c r="H15" s="804">
        <f>geg!G22*(tab!E29+(tab!E30*geg!G40))</f>
        <v>200629.57200000001</v>
      </c>
      <c r="I15" s="804">
        <f>geg!H22*(tab!$F$29+(tab!$F$30*geg!$H$40))</f>
        <v>164151.46800000002</v>
      </c>
      <c r="J15" s="804">
        <f>geg!I22*(tab!$F$29+(tab!$F$30*geg!$H$40))</f>
        <v>164151.46800000002</v>
      </c>
      <c r="K15" s="804">
        <f>geg!J22*(tab!$F$29+(tab!$F$30*geg!$H$40))</f>
        <v>164151.46800000002</v>
      </c>
      <c r="L15" s="804">
        <f>geg!K22*(tab!$F$29+(tab!$F$30*geg!$H$40))</f>
        <v>164151.46800000002</v>
      </c>
      <c r="M15" s="288"/>
      <c r="N15" s="807">
        <f>ROUND(H15/geg!$G$42,2)</f>
        <v>3.29</v>
      </c>
      <c r="O15" s="807">
        <f>ROUND(I15/geg!$H$42,2)</f>
        <v>2.69</v>
      </c>
      <c r="P15" s="807">
        <f>ROUND(J15/geg!$H$42,2)</f>
        <v>2.69</v>
      </c>
      <c r="Q15" s="807">
        <f>ROUND(K15/geg!$H$42,2)</f>
        <v>2.69</v>
      </c>
      <c r="R15" s="807">
        <f>ROUND(L15/geg!$H$42,2)</f>
        <v>2.69</v>
      </c>
      <c r="S15" s="289"/>
      <c r="T15" s="245"/>
      <c r="U15" s="235"/>
      <c r="V15" s="235"/>
      <c r="W15" s="235"/>
    </row>
    <row r="16" spans="2:23" ht="12.75" customHeight="1" x14ac:dyDescent="0.2">
      <c r="B16" s="34"/>
      <c r="C16" s="91"/>
      <c r="D16" s="645" t="s">
        <v>215</v>
      </c>
      <c r="E16" s="92"/>
      <c r="F16" s="312">
        <v>0</v>
      </c>
      <c r="G16" s="92"/>
      <c r="H16" s="805">
        <f>geg!G23*(tab!E31+(tab!E32*geg!G40))</f>
        <v>139605.64199999999</v>
      </c>
      <c r="I16" s="805">
        <f>geg!H23*(tab!$F$31+(tab!$F$32*geg!$H$40))</f>
        <v>114222.798</v>
      </c>
      <c r="J16" s="805">
        <f>geg!I23*(tab!$F$31+(tab!$F$32*geg!$H$40))</f>
        <v>114222.798</v>
      </c>
      <c r="K16" s="805">
        <f>geg!J23*(tab!$F$31+(tab!$F$32*geg!$H$40))</f>
        <v>114222.798</v>
      </c>
      <c r="L16" s="805">
        <f>geg!K23*(tab!$F$31+(tab!$F$32*geg!$H$40))</f>
        <v>114222.798</v>
      </c>
      <c r="M16" s="610"/>
      <c r="N16" s="807">
        <f>ROUND(H16/geg!$G$42,2)</f>
        <v>2.29</v>
      </c>
      <c r="O16" s="807">
        <f>ROUND(I16/geg!$H$42,2)</f>
        <v>1.87</v>
      </c>
      <c r="P16" s="807">
        <f>ROUND(J16/geg!$H$42,2)</f>
        <v>1.87</v>
      </c>
      <c r="Q16" s="807">
        <f>ROUND(K16/geg!$H$42,2)</f>
        <v>1.87</v>
      </c>
      <c r="R16" s="807">
        <f>ROUND(L16/geg!$H$42,2)</f>
        <v>1.87</v>
      </c>
      <c r="S16" s="289"/>
      <c r="T16" s="245"/>
      <c r="U16" s="235"/>
      <c r="V16" s="235"/>
      <c r="W16" s="235"/>
    </row>
    <row r="17" spans="2:23" ht="12.75" customHeight="1" x14ac:dyDescent="0.2">
      <c r="B17" s="34"/>
      <c r="C17" s="91"/>
      <c r="D17" s="645" t="s">
        <v>217</v>
      </c>
      <c r="E17" s="92"/>
      <c r="F17" s="312">
        <v>0</v>
      </c>
      <c r="G17" s="92"/>
      <c r="H17" s="805">
        <f>geg!G28*(tab!E33+(tab!E34*geg!G40))</f>
        <v>0</v>
      </c>
      <c r="I17" s="805">
        <f>geg!H28*(tab!$F$33+(tab!$F$34*geg!$H$40))</f>
        <v>0</v>
      </c>
      <c r="J17" s="805">
        <f>geg!I28*(tab!$F$33+(tab!$F$34*geg!$H$40))</f>
        <v>0</v>
      </c>
      <c r="K17" s="805">
        <f>geg!J28*(tab!$F$33+(tab!$F$34*geg!$H$40))</f>
        <v>0</v>
      </c>
      <c r="L17" s="805">
        <f>geg!K28*(tab!$F$33+(tab!$F$34*geg!$H$40))</f>
        <v>0</v>
      </c>
      <c r="M17" s="610"/>
      <c r="N17" s="807">
        <f>ROUND(H17/geg!$G$42,2)</f>
        <v>0</v>
      </c>
      <c r="O17" s="807">
        <f>ROUND(I17/geg!$H$42,2)</f>
        <v>0</v>
      </c>
      <c r="P17" s="807">
        <f>ROUND(J17/geg!$H$42,2)</f>
        <v>0</v>
      </c>
      <c r="Q17" s="807">
        <f>ROUND(K17/geg!$H$42,2)</f>
        <v>0</v>
      </c>
      <c r="R17" s="807">
        <f>ROUND(L17/geg!$H$42,2)</f>
        <v>0</v>
      </c>
      <c r="S17" s="289"/>
      <c r="T17" s="245"/>
      <c r="U17" s="235"/>
      <c r="V17" s="235"/>
      <c r="W17" s="235"/>
    </row>
    <row r="18" spans="2:23" s="634" customFormat="1" ht="12.75" customHeight="1" x14ac:dyDescent="0.2">
      <c r="B18" s="643"/>
      <c r="C18" s="644"/>
      <c r="D18" s="645" t="s">
        <v>376</v>
      </c>
      <c r="E18" s="645"/>
      <c r="F18" s="646">
        <v>0</v>
      </c>
      <c r="G18" s="645"/>
      <c r="H18" s="806">
        <f>IF(geg!G24=0,0,IF(geg!G80=0,IF(geg!G30="ja",geg!G31*tab!E27,0),IF(geg!G90="ja",geg!G91*tab!E27)+IF(geg!G103="ja",geg!G104*tab!E27)+IF(geg!G116="ja",geg!G117*tab!E27)+IF(geg!G129="ja",geg!G130*tab!E27)))</f>
        <v>0</v>
      </c>
      <c r="I18" s="806">
        <f>IF(geg!H24=0,0,IF(geg!H80=0,IF(geg!H30="ja",geg!H31*tab!$F27,0),IF(geg!H90="ja",geg!H91*tab!$F27)+IF(geg!H103="ja",geg!H104*tab!$F27)+IF(geg!H116="ja",geg!H117*tab!$F27)+IF(geg!H129="ja",geg!H130*tab!$F27)))</f>
        <v>0</v>
      </c>
      <c r="J18" s="806">
        <f>IF(geg!I24=0,0,IF(geg!I80=0,IF(geg!I30="ja",geg!I31*tab!$F27,0),IF(geg!I90="ja",geg!I91*tab!$F27)+IF(geg!I103="ja",geg!I104*tab!$F27)+IF(geg!I116="ja",geg!I117*tab!$F27)+IF(geg!I129="ja",geg!I130*tab!$F27)))</f>
        <v>0</v>
      </c>
      <c r="K18" s="806">
        <f>IF(geg!J24=0,0,IF(geg!J80=0,IF(geg!J30="ja",geg!J31*tab!$F27,0),IF(geg!J90="ja",geg!J91*tab!$F27)+IF(geg!J103="ja",geg!J104*tab!$F27)+IF(geg!J116="ja",geg!J117*tab!$F27)+IF(geg!J129="ja",geg!J130*tab!$F27)))</f>
        <v>0</v>
      </c>
      <c r="L18" s="806">
        <f>IF(geg!K24=0,0,IF(geg!K80=0,IF(geg!K30="ja",geg!K31*tab!$F27,0),IF(geg!K90="ja",geg!K91*tab!$F27)+IF(geg!K103="ja",geg!K104*tab!$F27)+IF(geg!K116="ja",geg!K117*tab!$F27)+IF(geg!K129="ja",geg!K130*tab!$F27)))</f>
        <v>0</v>
      </c>
      <c r="M18" s="647"/>
      <c r="N18" s="807">
        <f>ROUND(H18/geg!$G$42,2)</f>
        <v>0</v>
      </c>
      <c r="O18" s="807">
        <f>ROUND(I18/geg!$H$42,2)</f>
        <v>0</v>
      </c>
      <c r="P18" s="807">
        <f>ROUND(J18/geg!$H$42,2)</f>
        <v>0</v>
      </c>
      <c r="Q18" s="807">
        <f>ROUND(K18/geg!$H$42,2)</f>
        <v>0</v>
      </c>
      <c r="R18" s="807">
        <f>ROUND(L18/geg!$H$42,2)</f>
        <v>0</v>
      </c>
      <c r="S18" s="648"/>
      <c r="T18" s="649"/>
      <c r="U18" s="650"/>
      <c r="V18" s="650"/>
      <c r="W18" s="235"/>
    </row>
    <row r="19" spans="2:23" ht="12.75" customHeight="1" x14ac:dyDescent="0.2">
      <c r="B19" s="34"/>
      <c r="C19" s="91"/>
      <c r="D19" s="645" t="s">
        <v>242</v>
      </c>
      <c r="E19" s="92"/>
      <c r="F19" s="312">
        <v>0</v>
      </c>
      <c r="G19" s="92"/>
      <c r="H19" s="805">
        <f>IF(geg!G24=0,0,IF((tab!E37+tab!E38*geg!G40-geg!G24*(tab!E39+tab!E40*geg!G40))&lt;0,0,tab!E37+tab!E38*geg!G40-geg!G24*(tab!E39+tab!E40*geg!G40)))</f>
        <v>31358.299599999998</v>
      </c>
      <c r="I19" s="805">
        <f>IF(geg!H24=0,0,IF((tab!$F$37+tab!$F$38*geg!$H$40-geg!H24*(tab!$F$39+tab!$F$40*geg!$H$40))&lt;0,0,tab!$F$37+tab!$F$38*geg!$H$40-geg!H24*(tab!$F$39+tab!$F$40*geg!$H$40)))</f>
        <v>49632.211599999995</v>
      </c>
      <c r="J19" s="805">
        <f>IF(geg!I24=0,0,IF((tab!$F$37+tab!$F$38*geg!$H$40-geg!I24*(tab!$F$39+tab!$F$40*geg!$H$40))&lt;0,0,tab!$F$37+tab!$F$38*geg!$H$40-geg!I24*(tab!$F$39+tab!$F$40*geg!$H$40)))</f>
        <v>49632.211599999995</v>
      </c>
      <c r="K19" s="805">
        <f>IF(geg!J24=0,0,IF((tab!$F$37+tab!$F$38*geg!$H$40-geg!J24*(tab!$F$39+tab!$F$40*geg!$H$40))&lt;0,0,tab!$F$37+tab!$F$38*geg!$H$40-geg!J24*(tab!$F$39+tab!$F$40*geg!$H$40)))</f>
        <v>49632.211599999995</v>
      </c>
      <c r="L19" s="805">
        <f>IF(geg!K24=0,0,IF((tab!$F$37+tab!$F$38*geg!$H$40-geg!K24*(tab!$F$39+tab!$F$40*geg!$H$40))&lt;0,0,tab!$F$37+tab!$F$38*geg!$H$40-geg!K24*(tab!$F$39+tab!$F$40*geg!$H$40)))</f>
        <v>49632.211599999995</v>
      </c>
      <c r="M19" s="610"/>
      <c r="N19" s="807">
        <f>ROUND(H19/geg!$G$42,2)</f>
        <v>0.51</v>
      </c>
      <c r="O19" s="807">
        <f>ROUND(I19/geg!$H$42,2)</f>
        <v>0.81</v>
      </c>
      <c r="P19" s="807">
        <f>ROUND(J19/geg!$H$42,2)</f>
        <v>0.81</v>
      </c>
      <c r="Q19" s="807">
        <f>ROUND(K19/geg!$H$42,2)</f>
        <v>0.81</v>
      </c>
      <c r="R19" s="807">
        <f>ROUND(L19/geg!$H$42,2)</f>
        <v>0.81</v>
      </c>
      <c r="S19" s="289"/>
      <c r="T19" s="245"/>
      <c r="U19" s="235"/>
      <c r="V19" s="235"/>
      <c r="W19" s="235"/>
    </row>
    <row r="20" spans="2:23" s="381" customFormat="1" ht="12.75" customHeight="1" x14ac:dyDescent="0.2">
      <c r="B20" s="194"/>
      <c r="C20" s="203"/>
      <c r="D20" s="645" t="s">
        <v>243</v>
      </c>
      <c r="E20" s="205"/>
      <c r="F20" s="638">
        <v>0</v>
      </c>
      <c r="G20" s="205"/>
      <c r="H20" s="805">
        <f>IF(geg!G85=0,0,(ROUND(0.75*(IF(geg!G85=0,0,IF(geg!G85&lt;145,tab!E14-geg!G85*tab!E15,0))+IF(geg!G98=0,0,IF(geg!G98&lt;145,tab!E14-geg!G98*tab!E15,0))+IF(geg!G111=0,0,IF(geg!G111&lt;145,tab!E14-geg!G111*tab!E15,0))+IF(geg!G124=0,0,IF(geg!G124&lt;145,tab!E14-geg!G124*tab!E15,0))-IF(geg!G24=0,0,IF(geg!G24&lt;145,tab!E14-geg!G24*tab!E15,0))),4)))*geg!$G$39</f>
        <v>0</v>
      </c>
      <c r="I20" s="805">
        <f>IF(geg!H85=0,0,(ROUND(0.75*(IF(geg!H85=0,0,IF(geg!H85&lt;145,tab!$F14-geg!H85*tab!$F15,0))+IF(geg!H98=0,0,IF(geg!H98&lt;145,tab!$F14-geg!H98*tab!$F15,0))+IF(geg!H111=0,0,IF(geg!H111&lt;145,tab!$F14-geg!H111*tab!$F15,0))+IF(geg!H124=0,0,IF(geg!H124&lt;145,tab!$F14-geg!H124*tab!$F15,0))-IF(geg!H24=0,0,IF(geg!H24&lt;145,tab!$F14-geg!H24*tab!$F15,0))),4)))*geg!$H$39</f>
        <v>0</v>
      </c>
      <c r="J20" s="805">
        <f>IF(geg!I85=0,0,(ROUND(0.75*(IF(geg!I85=0,0,IF(geg!I85&lt;145,tab!$F14-geg!I85*tab!$F15,0))+IF(geg!I98=0,0,IF(geg!I98&lt;145,tab!$F14-geg!I98*tab!$F15,0))+IF(geg!I111=0,0,IF(geg!I111&lt;145,tab!$F14-geg!I111*tab!$F15,0))+IF(geg!I124=0,0,IF(geg!I124&lt;145,tab!$F14-geg!I124*tab!$F15,0))-IF(geg!I24=0,0,IF(geg!I24&lt;145,tab!$F14-geg!I24*tab!$F15,0))),4)))*geg!$H$39</f>
        <v>0</v>
      </c>
      <c r="K20" s="805">
        <f>IF(geg!J85=0,0,(ROUND(0.75*(IF(geg!J85=0,0,IF(geg!J85&lt;145,tab!$F14-geg!J85*tab!$F15,0))+IF(geg!J98=0,0,IF(geg!J98&lt;145,tab!$F14-geg!J98*tab!$F15,0))+IF(geg!J111=0,0,IF(geg!J111&lt;145,tab!$F14-geg!J111*tab!$F15,0))+IF(geg!J124=0,0,IF(geg!J124&lt;145,tab!$F14-geg!J124*tab!$F15,0))-IF(geg!J24=0,0,IF(geg!J24&lt;145,tab!$F14-geg!J24*tab!$F15,0))),4)))*geg!$H$39</f>
        <v>0</v>
      </c>
      <c r="L20" s="805">
        <f>IF(geg!K85=0,0,(ROUND(0.75*(IF(geg!K85=0,0,IF(geg!K85&lt;145,tab!$F14-geg!K85*tab!$F15,0))+IF(geg!K98=0,0,IF(geg!K98&lt;145,tab!$F14-geg!K98*tab!$F15,0))+IF(geg!K111=0,0,IF(geg!K111&lt;145,tab!$F14-geg!K111*tab!$F15,0))+IF(geg!K124=0,0,IF(geg!K124&lt;145,tab!$F14-geg!K124*tab!$F15,0))-IF(geg!K24=0,0,IF(geg!K24&lt;145,tab!$F14-geg!K24*tab!$F15,0))),4)))*geg!$H$39</f>
        <v>0</v>
      </c>
      <c r="M20" s="639"/>
      <c r="N20" s="807">
        <f>ROUND(H20/geg!$G$42,2)</f>
        <v>0</v>
      </c>
      <c r="O20" s="807">
        <f>ROUND(I20/geg!$H$42,2)</f>
        <v>0</v>
      </c>
      <c r="P20" s="807">
        <f>ROUND(J20/geg!$H$42,2)</f>
        <v>0</v>
      </c>
      <c r="Q20" s="807">
        <f>ROUND(K20/geg!$H$42,2)</f>
        <v>0</v>
      </c>
      <c r="R20" s="807">
        <f>ROUND(L20/geg!$H$42,2)</f>
        <v>0</v>
      </c>
      <c r="S20" s="640"/>
      <c r="T20" s="641"/>
      <c r="U20" s="642"/>
      <c r="V20" s="642"/>
      <c r="W20" s="235"/>
    </row>
    <row r="21" spans="2:23" ht="12.75" customHeight="1" x14ac:dyDescent="0.2">
      <c r="B21" s="34"/>
      <c r="C21" s="91"/>
      <c r="D21" s="645" t="s">
        <v>244</v>
      </c>
      <c r="E21" s="92"/>
      <c r="F21" s="312">
        <v>0</v>
      </c>
      <c r="G21" s="92"/>
      <c r="H21" s="805">
        <f>IF(geg!G24=0,0,IF(geg!G24&lt;98,tab!$E$24,tab!$E$25))</f>
        <v>36098.58</v>
      </c>
      <c r="I21" s="805">
        <f>IF(geg!H24=0,0,IF(geg!H24&lt;98,tab!$F$24,tab!$F$25))</f>
        <v>19382.29</v>
      </c>
      <c r="J21" s="805">
        <f>IF(geg!I24=0,0,IF(geg!I24&lt;98,tab!$F$24,tab!$F$25))</f>
        <v>19382.29</v>
      </c>
      <c r="K21" s="805">
        <f>IF(geg!J24=0,0,IF(geg!J24&lt;98,tab!$F$24,tab!$F$25))</f>
        <v>19382.29</v>
      </c>
      <c r="L21" s="805">
        <f>IF(geg!K24=0,0,IF(geg!K24&lt;98,tab!$F$24,tab!$F$25))</f>
        <v>19382.29</v>
      </c>
      <c r="M21" s="610"/>
      <c r="N21" s="807">
        <f>ROUND(H21/geg!$G$42,2)</f>
        <v>0.59</v>
      </c>
      <c r="O21" s="807">
        <f>ROUND(I21/geg!$H$42,2)</f>
        <v>0.32</v>
      </c>
      <c r="P21" s="807">
        <f>ROUND(J21/geg!$H$42,2)</f>
        <v>0.32</v>
      </c>
      <c r="Q21" s="807">
        <f>ROUND(K21/geg!$H$42,2)</f>
        <v>0.32</v>
      </c>
      <c r="R21" s="807">
        <f>ROUND(L21/geg!$H$42,2)</f>
        <v>0.32</v>
      </c>
      <c r="S21" s="290"/>
      <c r="T21" s="245"/>
      <c r="U21" s="235"/>
      <c r="V21" s="235"/>
      <c r="W21" s="235"/>
    </row>
    <row r="22" spans="2:23" ht="12.75" hidden="1" customHeight="1" x14ac:dyDescent="0.2">
      <c r="B22" s="34"/>
      <c r="C22" s="91"/>
      <c r="D22" s="645" t="s">
        <v>462</v>
      </c>
      <c r="E22" s="92"/>
      <c r="F22" s="312">
        <v>0</v>
      </c>
      <c r="G22" s="92"/>
      <c r="H22" s="805">
        <f>H23-(SUM(H15:H21))</f>
        <v>0</v>
      </c>
      <c r="I22" s="805">
        <f>I23-(SUM(I15:I21))</f>
        <v>0</v>
      </c>
      <c r="J22" s="805">
        <f>J23-(SUM(J15:J21))</f>
        <v>0</v>
      </c>
      <c r="K22" s="805">
        <f>K23-(SUM(K15:K21))</f>
        <v>0</v>
      </c>
      <c r="L22" s="805">
        <f>L23-(SUM(L15:L21))</f>
        <v>0</v>
      </c>
      <c r="M22" s="611"/>
      <c r="N22" s="807">
        <f>IF(N23-SUM(N15:N21)&lt;0,0,N23-(SUM(N15:N21)))</f>
        <v>0</v>
      </c>
      <c r="O22" s="807">
        <f>IF(O23-SUM(O15:O21)&lt;0,0,O23-(SUM(O15:O21)))</f>
        <v>0</v>
      </c>
      <c r="P22" s="807">
        <f>IF(P23-SUM(P15:P21)&lt;0,0,P23-(SUM(P15:P21)))</f>
        <v>0</v>
      </c>
      <c r="Q22" s="807">
        <f>IF(Q23-SUM(Q15:Q21)&lt;0,0,Q23-(SUM(Q15:Q21)))</f>
        <v>0</v>
      </c>
      <c r="R22" s="807">
        <f>IF(R23-SUM(R15:R21)&lt;0,0,R23-(SUM(R15:R21)))</f>
        <v>0</v>
      </c>
      <c r="S22" s="98"/>
      <c r="T22" s="37"/>
      <c r="W22" s="235"/>
    </row>
    <row r="23" spans="2:23" s="10" customFormat="1" ht="12.75" customHeight="1" x14ac:dyDescent="0.2">
      <c r="B23" s="197"/>
      <c r="C23" s="291"/>
      <c r="D23" s="774"/>
      <c r="E23" s="292"/>
      <c r="F23" s="293"/>
      <c r="G23" s="294"/>
      <c r="H23" s="802">
        <f>IF(geg!G24=0,0,IF(SUM(H15:H21)&lt;(tab!E41+tab!E42*geg!G40),(tab!E41+tab!E42*geg!G40),SUM(H15:H21)))</f>
        <v>407692.09360000008</v>
      </c>
      <c r="I23" s="802">
        <f>IF(geg!H24=0,0,IF(SUM(I15:I21)&lt;(tab!$F$41+tab!$F$42*geg!$H$40),(tab!$F$41+tab!$F$42*geg!$H$40),SUM(I15:I21)))</f>
        <v>347388.76759999996</v>
      </c>
      <c r="J23" s="802">
        <f>IF(geg!I24=0,0,IF(SUM(J15:J21)&lt;(tab!$F$41+tab!$F$42*geg!$H$40),(tab!$F$41+tab!$F$42*geg!$H$40),SUM(J15:J21)))</f>
        <v>347388.76759999996</v>
      </c>
      <c r="K23" s="802">
        <f>IF(geg!J24=0,0,IF(SUM(K15:K21)&lt;(tab!$F$41+tab!$F$42*geg!$H$40),(tab!$F$41+tab!$F$42*geg!$H$40),SUM(K15:K21)))</f>
        <v>347388.76759999996</v>
      </c>
      <c r="L23" s="802">
        <f>IF(geg!K24=0,0,IF(SUM(L15:L21)&lt;(tab!$F$41+tab!$F$42*geg!$H$40),(tab!$F$41+tab!$F$42*geg!$H$40),SUM(L15:L21)))</f>
        <v>347388.76759999996</v>
      </c>
      <c r="M23" s="93"/>
      <c r="N23" s="803">
        <f>ROUND(H23/geg!$G$42,2)</f>
        <v>6.68</v>
      </c>
      <c r="O23" s="803">
        <f>ROUND(I23/geg!$H$42,2)</f>
        <v>5.69</v>
      </c>
      <c r="P23" s="803">
        <f>ROUND(J23/geg!$H$42,2)</f>
        <v>5.69</v>
      </c>
      <c r="Q23" s="803">
        <f>ROUND(K23/geg!$H$42,2)</f>
        <v>5.69</v>
      </c>
      <c r="R23" s="803">
        <f>ROUND(L23/geg!$H$42,2)</f>
        <v>5.69</v>
      </c>
      <c r="S23" s="296"/>
      <c r="T23" s="198"/>
      <c r="W23" s="381"/>
    </row>
    <row r="24" spans="2:23" ht="12.75" customHeight="1" x14ac:dyDescent="0.2">
      <c r="B24" s="34"/>
      <c r="C24" s="91"/>
      <c r="D24" s="773" t="s">
        <v>515</v>
      </c>
      <c r="E24" s="117"/>
      <c r="F24" s="92"/>
      <c r="G24" s="92"/>
      <c r="H24" s="286"/>
      <c r="I24" s="286"/>
      <c r="J24" s="273"/>
      <c r="K24" s="273"/>
      <c r="L24" s="273"/>
      <c r="M24" s="219"/>
      <c r="N24" s="268"/>
      <c r="O24" s="276"/>
      <c r="P24" s="276"/>
      <c r="Q24" s="276"/>
      <c r="R24" s="276"/>
      <c r="S24" s="98"/>
      <c r="T24" s="37"/>
    </row>
    <row r="25" spans="2:23" ht="12.75" customHeight="1" x14ac:dyDescent="0.2">
      <c r="B25" s="34"/>
      <c r="C25" s="91"/>
      <c r="D25" s="775"/>
      <c r="E25" s="92"/>
      <c r="F25" s="312">
        <v>0</v>
      </c>
      <c r="G25" s="92"/>
      <c r="H25" s="255">
        <v>0</v>
      </c>
      <c r="I25" s="255">
        <v>0</v>
      </c>
      <c r="J25" s="255">
        <v>0</v>
      </c>
      <c r="K25" s="255">
        <v>0</v>
      </c>
      <c r="L25" s="255">
        <v>0</v>
      </c>
      <c r="M25" s="219"/>
      <c r="N25" s="807">
        <f>ROUND(H25/geg!$G$42,2)</f>
        <v>0</v>
      </c>
      <c r="O25" s="807">
        <f>ROUND(I25/geg!$H$42,2)</f>
        <v>0</v>
      </c>
      <c r="P25" s="807">
        <f>ROUND(J25/geg!$H$42,2)</f>
        <v>0</v>
      </c>
      <c r="Q25" s="807">
        <f>ROUND(K25/geg!$H$42,2)</f>
        <v>0</v>
      </c>
      <c r="R25" s="807">
        <f>ROUND(L25/geg!$H$42,2)</f>
        <v>0</v>
      </c>
      <c r="S25" s="272"/>
      <c r="T25" s="37"/>
      <c r="W25" s="381"/>
    </row>
    <row r="26" spans="2:23" ht="12.75" customHeight="1" x14ac:dyDescent="0.2">
      <c r="B26" s="34"/>
      <c r="C26" s="91"/>
      <c r="D26" s="775"/>
      <c r="E26" s="92"/>
      <c r="F26" s="312">
        <v>0</v>
      </c>
      <c r="G26" s="92"/>
      <c r="H26" s="255">
        <v>0</v>
      </c>
      <c r="I26" s="255">
        <v>0</v>
      </c>
      <c r="J26" s="255">
        <v>0</v>
      </c>
      <c r="K26" s="255">
        <v>0</v>
      </c>
      <c r="L26" s="255">
        <v>0</v>
      </c>
      <c r="M26" s="219"/>
      <c r="N26" s="807">
        <f>ROUND(H26/geg!$G$42,2)</f>
        <v>0</v>
      </c>
      <c r="O26" s="807">
        <f>ROUND(I26/geg!$H$42,2)</f>
        <v>0</v>
      </c>
      <c r="P26" s="807">
        <f>ROUND(J26/geg!$H$42,2)</f>
        <v>0</v>
      </c>
      <c r="Q26" s="807">
        <f>ROUND(K26/geg!$H$42,2)</f>
        <v>0</v>
      </c>
      <c r="R26" s="807">
        <f>ROUND(L26/geg!$H$42,2)</f>
        <v>0</v>
      </c>
      <c r="S26" s="272"/>
      <c r="T26" s="37"/>
    </row>
    <row r="27" spans="2:23" ht="12.75" customHeight="1" x14ac:dyDescent="0.2">
      <c r="B27" s="34"/>
      <c r="C27" s="91"/>
      <c r="D27" s="775"/>
      <c r="E27" s="92"/>
      <c r="F27" s="312">
        <v>0</v>
      </c>
      <c r="G27" s="92"/>
      <c r="H27" s="255">
        <v>0</v>
      </c>
      <c r="I27" s="255">
        <v>0</v>
      </c>
      <c r="J27" s="255">
        <v>0</v>
      </c>
      <c r="K27" s="255">
        <v>0</v>
      </c>
      <c r="L27" s="255">
        <v>0</v>
      </c>
      <c r="M27" s="219"/>
      <c r="N27" s="807">
        <f>ROUND(H27/geg!$G$42,2)</f>
        <v>0</v>
      </c>
      <c r="O27" s="807">
        <f>ROUND(I27/geg!$H$42,2)</f>
        <v>0</v>
      </c>
      <c r="P27" s="807">
        <f>ROUND(J27/geg!$H$42,2)</f>
        <v>0</v>
      </c>
      <c r="Q27" s="807">
        <f>ROUND(K27/geg!$H$42,2)</f>
        <v>0</v>
      </c>
      <c r="R27" s="807">
        <f>ROUND(L27/geg!$H$42,2)</f>
        <v>0</v>
      </c>
      <c r="S27" s="272"/>
      <c r="T27" s="37"/>
    </row>
    <row r="28" spans="2:23" ht="12.75" customHeight="1" x14ac:dyDescent="0.2">
      <c r="B28" s="34"/>
      <c r="C28" s="91"/>
      <c r="D28" s="776"/>
      <c r="E28" s="92"/>
      <c r="F28" s="92"/>
      <c r="G28" s="92"/>
      <c r="H28" s="802">
        <f>SUM(H25:H27)</f>
        <v>0</v>
      </c>
      <c r="I28" s="802">
        <f>SUM(I25:I27)</f>
        <v>0</v>
      </c>
      <c r="J28" s="802">
        <f>SUM(J25:J27)</f>
        <v>0</v>
      </c>
      <c r="K28" s="802">
        <f>SUM(K25:K27)</f>
        <v>0</v>
      </c>
      <c r="L28" s="802">
        <f>SUM(L25:L27)</f>
        <v>0</v>
      </c>
      <c r="M28" s="814"/>
      <c r="N28" s="803">
        <f>SUM(N25:N27)</f>
        <v>0</v>
      </c>
      <c r="O28" s="803">
        <f>SUM(O25:O27)</f>
        <v>0</v>
      </c>
      <c r="P28" s="803">
        <f>SUM(P25:P27)</f>
        <v>0</v>
      </c>
      <c r="Q28" s="803">
        <f>SUM(Q25:Q27)</f>
        <v>0</v>
      </c>
      <c r="R28" s="803">
        <f>SUM(R25:R27)</f>
        <v>0</v>
      </c>
      <c r="S28" s="272"/>
      <c r="T28" s="37"/>
    </row>
    <row r="29" spans="2:23" ht="12.75" customHeight="1" x14ac:dyDescent="0.2">
      <c r="B29" s="34"/>
      <c r="C29" s="91"/>
      <c r="D29" s="773" t="s">
        <v>493</v>
      </c>
      <c r="E29" s="117"/>
      <c r="F29" s="92"/>
      <c r="G29" s="92"/>
      <c r="H29" s="286"/>
      <c r="I29" s="286"/>
      <c r="J29" s="273"/>
      <c r="K29" s="273"/>
      <c r="L29" s="273"/>
      <c r="M29" s="219"/>
      <c r="N29" s="268"/>
      <c r="O29" s="276"/>
      <c r="P29" s="276"/>
      <c r="Q29" s="276"/>
      <c r="R29" s="276"/>
      <c r="S29" s="272"/>
      <c r="T29" s="37"/>
    </row>
    <row r="30" spans="2:23" ht="12.75" customHeight="1" x14ac:dyDescent="0.2">
      <c r="B30" s="34"/>
      <c r="C30" s="91"/>
      <c r="D30" s="775"/>
      <c r="E30" s="92"/>
      <c r="F30" s="92"/>
      <c r="G30" s="92"/>
      <c r="H30" s="255">
        <v>0</v>
      </c>
      <c r="I30" s="255">
        <v>0</v>
      </c>
      <c r="J30" s="255">
        <v>0</v>
      </c>
      <c r="K30" s="255">
        <v>0</v>
      </c>
      <c r="L30" s="255">
        <v>0</v>
      </c>
      <c r="M30" s="219"/>
      <c r="N30" s="807">
        <f>ROUND(H30/geg!$G$42,2)</f>
        <v>0</v>
      </c>
      <c r="O30" s="807">
        <f>ROUND(I30/geg!$H$42,2)</f>
        <v>0</v>
      </c>
      <c r="P30" s="807">
        <f>ROUND(J30/geg!$H$42,2)</f>
        <v>0</v>
      </c>
      <c r="Q30" s="807">
        <f>ROUND(K30/geg!$H$42,2)</f>
        <v>0</v>
      </c>
      <c r="R30" s="807">
        <f>ROUND(L30/geg!$H$42,2)</f>
        <v>0</v>
      </c>
      <c r="S30" s="272"/>
      <c r="T30" s="37"/>
    </row>
    <row r="31" spans="2:23" ht="12.75" customHeight="1" x14ac:dyDescent="0.2">
      <c r="B31" s="34"/>
      <c r="C31" s="91"/>
      <c r="D31" s="775"/>
      <c r="E31" s="92"/>
      <c r="F31" s="92"/>
      <c r="G31" s="92"/>
      <c r="H31" s="255">
        <v>0</v>
      </c>
      <c r="I31" s="255">
        <v>0</v>
      </c>
      <c r="J31" s="255">
        <v>0</v>
      </c>
      <c r="K31" s="255">
        <v>0</v>
      </c>
      <c r="L31" s="255">
        <v>0</v>
      </c>
      <c r="M31" s="219"/>
      <c r="N31" s="807">
        <f>ROUND(H31/geg!$G$42,2)</f>
        <v>0</v>
      </c>
      <c r="O31" s="807">
        <f>ROUND(I31/geg!$H$42,2)</f>
        <v>0</v>
      </c>
      <c r="P31" s="807">
        <f>ROUND(J31/geg!$H$42,2)</f>
        <v>0</v>
      </c>
      <c r="Q31" s="807">
        <f>ROUND(K31/geg!$H$42,2)</f>
        <v>0</v>
      </c>
      <c r="R31" s="807">
        <f>ROUND(L31/geg!$H$42,2)</f>
        <v>0</v>
      </c>
      <c r="S31" s="272"/>
      <c r="T31" s="37"/>
    </row>
    <row r="32" spans="2:23" ht="12.75" customHeight="1" x14ac:dyDescent="0.2">
      <c r="B32" s="34"/>
      <c r="C32" s="91"/>
      <c r="D32" s="775"/>
      <c r="E32" s="92"/>
      <c r="F32" s="92"/>
      <c r="G32" s="92"/>
      <c r="H32" s="255">
        <v>0</v>
      </c>
      <c r="I32" s="255">
        <v>0</v>
      </c>
      <c r="J32" s="255">
        <v>0</v>
      </c>
      <c r="K32" s="255">
        <v>0</v>
      </c>
      <c r="L32" s="255">
        <v>0</v>
      </c>
      <c r="M32" s="219"/>
      <c r="N32" s="807">
        <f>ROUND(H32/geg!$G$42,2)</f>
        <v>0</v>
      </c>
      <c r="O32" s="807">
        <f>ROUND(I32/geg!$H$42,2)</f>
        <v>0</v>
      </c>
      <c r="P32" s="807">
        <f>ROUND(J32/geg!$H$42,2)</f>
        <v>0</v>
      </c>
      <c r="Q32" s="807">
        <f>ROUND(K32/geg!$H$42,2)</f>
        <v>0</v>
      </c>
      <c r="R32" s="807">
        <f>ROUND(L32/geg!$H$42,2)</f>
        <v>0</v>
      </c>
      <c r="S32" s="272"/>
      <c r="T32" s="37"/>
    </row>
    <row r="33" spans="2:20" ht="12.75" customHeight="1" x14ac:dyDescent="0.2">
      <c r="B33" s="34"/>
      <c r="C33" s="91"/>
      <c r="D33" s="775"/>
      <c r="E33" s="92"/>
      <c r="F33" s="92"/>
      <c r="G33" s="92"/>
      <c r="H33" s="255">
        <v>0</v>
      </c>
      <c r="I33" s="255">
        <v>0</v>
      </c>
      <c r="J33" s="255">
        <v>0</v>
      </c>
      <c r="K33" s="255">
        <v>0</v>
      </c>
      <c r="L33" s="255">
        <v>0</v>
      </c>
      <c r="M33" s="219"/>
      <c r="N33" s="807">
        <f>ROUND(H33/geg!$G$42,2)</f>
        <v>0</v>
      </c>
      <c r="O33" s="807">
        <f>ROUND(I33/geg!$H$42,2)</f>
        <v>0</v>
      </c>
      <c r="P33" s="807">
        <f>ROUND(J33/geg!$H$42,2)</f>
        <v>0</v>
      </c>
      <c r="Q33" s="807">
        <f>ROUND(K33/geg!$H$42,2)</f>
        <v>0</v>
      </c>
      <c r="R33" s="807">
        <f>ROUND(L33/geg!$H$42,2)</f>
        <v>0</v>
      </c>
      <c r="S33" s="272"/>
      <c r="T33" s="37"/>
    </row>
    <row r="34" spans="2:20" ht="12.75" customHeight="1" x14ac:dyDescent="0.2">
      <c r="B34" s="34"/>
      <c r="C34" s="91"/>
      <c r="D34" s="775"/>
      <c r="E34" s="92"/>
      <c r="F34" s="92"/>
      <c r="G34" s="92"/>
      <c r="H34" s="255">
        <v>0</v>
      </c>
      <c r="I34" s="255">
        <v>0</v>
      </c>
      <c r="J34" s="255">
        <v>0</v>
      </c>
      <c r="K34" s="255">
        <v>0</v>
      </c>
      <c r="L34" s="255">
        <v>0</v>
      </c>
      <c r="M34" s="219"/>
      <c r="N34" s="807">
        <f>ROUND(H34/geg!$G$42,2)</f>
        <v>0</v>
      </c>
      <c r="O34" s="807">
        <f>ROUND(I34/geg!$H$42,2)</f>
        <v>0</v>
      </c>
      <c r="P34" s="807">
        <f>ROUND(J34/geg!$H$42,2)</f>
        <v>0</v>
      </c>
      <c r="Q34" s="807">
        <f>ROUND(K34/geg!$H$42,2)</f>
        <v>0</v>
      </c>
      <c r="R34" s="807">
        <f>ROUND(L34/geg!$H$42,2)</f>
        <v>0</v>
      </c>
      <c r="S34" s="272"/>
      <c r="T34" s="37"/>
    </row>
    <row r="35" spans="2:20" ht="12.75" customHeight="1" x14ac:dyDescent="0.2">
      <c r="B35" s="34"/>
      <c r="C35" s="91"/>
      <c r="D35" s="776"/>
      <c r="E35" s="92"/>
      <c r="F35" s="92"/>
      <c r="G35" s="92"/>
      <c r="H35" s="815">
        <f>SUM(H30:H34)</f>
        <v>0</v>
      </c>
      <c r="I35" s="815">
        <f>SUM(I30:I34)</f>
        <v>0</v>
      </c>
      <c r="J35" s="815">
        <f>SUM(J30:J34)</f>
        <v>0</v>
      </c>
      <c r="K35" s="815">
        <f>SUM(K30:K34)</f>
        <v>0</v>
      </c>
      <c r="L35" s="815">
        <f>SUM(L30:L34)</f>
        <v>0</v>
      </c>
      <c r="M35" s="814"/>
      <c r="N35" s="803">
        <f>SUM(N30:N34)</f>
        <v>0</v>
      </c>
      <c r="O35" s="803">
        <f>SUM(O30:O34)</f>
        <v>0</v>
      </c>
      <c r="P35" s="803">
        <f>SUM(P30:P34)</f>
        <v>0</v>
      </c>
      <c r="Q35" s="803">
        <f>SUM(Q30:Q34)</f>
        <v>0</v>
      </c>
      <c r="R35" s="803">
        <f>SUM(R30:R34)</f>
        <v>0</v>
      </c>
      <c r="S35" s="272"/>
      <c r="T35" s="37"/>
    </row>
    <row r="36" spans="2:20" ht="12.75" customHeight="1" x14ac:dyDescent="0.2">
      <c r="B36" s="34"/>
      <c r="C36" s="91"/>
      <c r="D36" s="773" t="s">
        <v>29</v>
      </c>
      <c r="E36" s="92"/>
      <c r="F36" s="92"/>
      <c r="G36" s="92"/>
      <c r="H36" s="115"/>
      <c r="I36" s="278"/>
      <c r="J36" s="220"/>
      <c r="K36" s="220"/>
      <c r="L36" s="220"/>
      <c r="M36" s="219"/>
      <c r="N36" s="274"/>
      <c r="O36" s="221"/>
      <c r="P36" s="221"/>
      <c r="Q36" s="221"/>
      <c r="R36" s="221"/>
      <c r="S36" s="98"/>
      <c r="T36" s="37"/>
    </row>
    <row r="37" spans="2:20" ht="12.75" customHeight="1" x14ac:dyDescent="0.2">
      <c r="B37" s="34"/>
      <c r="C37" s="91"/>
      <c r="D37" s="777" t="s">
        <v>24</v>
      </c>
      <c r="E37" s="269"/>
      <c r="F37" s="92"/>
      <c r="G37" s="92"/>
      <c r="H37" s="270"/>
      <c r="I37" s="270"/>
      <c r="J37" s="270"/>
      <c r="K37" s="270"/>
      <c r="L37" s="270"/>
      <c r="M37" s="219"/>
      <c r="N37" s="271"/>
      <c r="O37" s="271"/>
      <c r="P37" s="271"/>
      <c r="Q37" s="271"/>
      <c r="R37" s="271"/>
      <c r="S37" s="272"/>
      <c r="T37" s="37"/>
    </row>
    <row r="38" spans="2:20" ht="12.75" customHeight="1" x14ac:dyDescent="0.2">
      <c r="B38" s="34"/>
      <c r="C38" s="91"/>
      <c r="D38" s="778" t="s">
        <v>370</v>
      </c>
      <c r="E38" s="298"/>
      <c r="F38" s="92"/>
      <c r="G38" s="92"/>
      <c r="H38" s="804">
        <f>$F$15*H15+$F$16*H16+$F$17*H17+$F$18*H18+$F$19*H19+$F$20*H20+$F$21*H21+$F$22*H22+$F$25*H25+$F$26*H26+$F$27*H27</f>
        <v>0</v>
      </c>
      <c r="I38" s="804">
        <f>$F$15*I15+$F$16*I16+$F$17*I17+$F$18*I18+$F$19*I19+$F$20*I20+$F$21*I21+$F$22*I22+$F$25*I25+$F$26*I26+$F$27*I27</f>
        <v>0</v>
      </c>
      <c r="J38" s="804">
        <f>$F$15*J15+$F$16*J16+$F$17*J17+$F$18*J18+$F$19*J19+$F$20*J20+$F$21*J21+$F$22*J22+$F$25*J25+$F$26*J26+$F$27*J27</f>
        <v>0</v>
      </c>
      <c r="K38" s="804">
        <f>$F$15*K15+$F$16*K16+$F$17*K17+$F$18*K18+$F$19*K19+$F$20*K20+$F$21*K21+$F$22*K22+$F$25*K25+$F$26*K26+$F$27*K27</f>
        <v>0</v>
      </c>
      <c r="L38" s="804">
        <f>$F$15*L15+$F$16*L16+$F$17*L17+$F$18*L18+$F$19*L19+$F$20*L20+$F$21*L21+$F$22*L22+$F$25*L25+$F$26*L26+$F$27*L27</f>
        <v>0</v>
      </c>
      <c r="M38" s="219"/>
      <c r="N38" s="807">
        <f>ROUND(H38/geg!$G$42,2)</f>
        <v>0</v>
      </c>
      <c r="O38" s="807">
        <f>ROUND(I38/geg!$H$42,2)</f>
        <v>0</v>
      </c>
      <c r="P38" s="807">
        <f>ROUND(J38/geg!$H$42,2)</f>
        <v>0</v>
      </c>
      <c r="Q38" s="807">
        <f>ROUND(K38/geg!$H$42,2)</f>
        <v>0</v>
      </c>
      <c r="R38" s="807">
        <f>ROUND(L38/geg!$H$42,2)</f>
        <v>0</v>
      </c>
      <c r="S38" s="272"/>
      <c r="T38" s="37"/>
    </row>
    <row r="39" spans="2:20" ht="12.75" customHeight="1" x14ac:dyDescent="0.2">
      <c r="B39" s="34"/>
      <c r="C39" s="91"/>
      <c r="D39" s="775"/>
      <c r="E39" s="298"/>
      <c r="F39" s="299"/>
      <c r="G39" s="92"/>
      <c r="H39" s="255">
        <v>0</v>
      </c>
      <c r="I39" s="255">
        <v>0</v>
      </c>
      <c r="J39" s="255">
        <v>0</v>
      </c>
      <c r="K39" s="255">
        <v>0</v>
      </c>
      <c r="L39" s="255">
        <v>0</v>
      </c>
      <c r="M39" s="219"/>
      <c r="N39" s="807">
        <f>ROUND(H39/geg!$G$42,2)</f>
        <v>0</v>
      </c>
      <c r="O39" s="807">
        <f>ROUND(I39/geg!$H$42,2)</f>
        <v>0</v>
      </c>
      <c r="P39" s="807">
        <f>ROUND(J39/geg!$H$42,2)</f>
        <v>0</v>
      </c>
      <c r="Q39" s="807">
        <f>ROUND(K39/geg!$H$42,2)</f>
        <v>0</v>
      </c>
      <c r="R39" s="807">
        <f>ROUND(L39/geg!$H$42,2)</f>
        <v>0</v>
      </c>
      <c r="S39" s="272"/>
      <c r="T39" s="37"/>
    </row>
    <row r="40" spans="2:20" ht="12.75" customHeight="1" x14ac:dyDescent="0.2">
      <c r="B40" s="34"/>
      <c r="C40" s="91"/>
      <c r="D40" s="775"/>
      <c r="E40" s="298"/>
      <c r="F40" s="299"/>
      <c r="G40" s="92"/>
      <c r="H40" s="255">
        <v>0</v>
      </c>
      <c r="I40" s="255">
        <v>0</v>
      </c>
      <c r="J40" s="255">
        <v>0</v>
      </c>
      <c r="K40" s="255">
        <v>0</v>
      </c>
      <c r="L40" s="255">
        <v>0</v>
      </c>
      <c r="M40" s="219"/>
      <c r="N40" s="807">
        <f>ROUND(H40/geg!$G$42,2)</f>
        <v>0</v>
      </c>
      <c r="O40" s="807">
        <f>ROUND(I40/geg!$H$42,2)</f>
        <v>0</v>
      </c>
      <c r="P40" s="807">
        <f>ROUND(J40/geg!$H$42,2)</f>
        <v>0</v>
      </c>
      <c r="Q40" s="807">
        <f>ROUND(K40/geg!$H$42,2)</f>
        <v>0</v>
      </c>
      <c r="R40" s="807">
        <f>ROUND(L40/geg!$H$42,2)</f>
        <v>0</v>
      </c>
      <c r="S40" s="272"/>
      <c r="T40" s="37"/>
    </row>
    <row r="41" spans="2:20" ht="12.75" customHeight="1" x14ac:dyDescent="0.2">
      <c r="B41" s="34"/>
      <c r="C41" s="91"/>
      <c r="D41" s="775"/>
      <c r="E41" s="298"/>
      <c r="F41" s="299"/>
      <c r="G41" s="92"/>
      <c r="H41" s="255">
        <v>0</v>
      </c>
      <c r="I41" s="255">
        <v>0</v>
      </c>
      <c r="J41" s="255">
        <v>0</v>
      </c>
      <c r="K41" s="255">
        <v>0</v>
      </c>
      <c r="L41" s="255">
        <v>0</v>
      </c>
      <c r="M41" s="219"/>
      <c r="N41" s="807">
        <f>ROUND(H41/geg!$G$42,2)</f>
        <v>0</v>
      </c>
      <c r="O41" s="807">
        <f>ROUND(I41/geg!$H$42,2)</f>
        <v>0</v>
      </c>
      <c r="P41" s="807">
        <f>ROUND(J41/geg!$H$42,2)</f>
        <v>0</v>
      </c>
      <c r="Q41" s="807">
        <f>ROUND(K41/geg!$H$42,2)</f>
        <v>0</v>
      </c>
      <c r="R41" s="807">
        <f>ROUND(L41/geg!$H$42,2)</f>
        <v>0</v>
      </c>
      <c r="S41" s="272"/>
      <c r="T41" s="37"/>
    </row>
    <row r="42" spans="2:20" ht="12.75" customHeight="1" x14ac:dyDescent="0.2">
      <c r="B42" s="34"/>
      <c r="C42" s="91"/>
      <c r="D42" s="775"/>
      <c r="E42" s="298"/>
      <c r="F42" s="299"/>
      <c r="G42" s="92"/>
      <c r="H42" s="255">
        <v>0</v>
      </c>
      <c r="I42" s="255">
        <v>0</v>
      </c>
      <c r="J42" s="255">
        <v>0</v>
      </c>
      <c r="K42" s="255">
        <v>0</v>
      </c>
      <c r="L42" s="255">
        <v>0</v>
      </c>
      <c r="M42" s="219"/>
      <c r="N42" s="807">
        <f>ROUND(H42/geg!$G$42,2)</f>
        <v>0</v>
      </c>
      <c r="O42" s="807">
        <f>ROUND(I42/geg!$H$42,2)</f>
        <v>0</v>
      </c>
      <c r="P42" s="807">
        <f>ROUND(J42/geg!$H$42,2)</f>
        <v>0</v>
      </c>
      <c r="Q42" s="807">
        <f>ROUND(K42/geg!$H$42,2)</f>
        <v>0</v>
      </c>
      <c r="R42" s="807">
        <f>ROUND(L42/geg!$H$42,2)</f>
        <v>0</v>
      </c>
      <c r="S42" s="272"/>
      <c r="T42" s="37"/>
    </row>
    <row r="43" spans="2:20" ht="12.75" customHeight="1" x14ac:dyDescent="0.2">
      <c r="B43" s="34"/>
      <c r="C43" s="91"/>
      <c r="D43" s="779"/>
      <c r="E43" s="298"/>
      <c r="F43" s="299"/>
      <c r="G43" s="92"/>
      <c r="H43" s="255">
        <v>0</v>
      </c>
      <c r="I43" s="255">
        <v>0</v>
      </c>
      <c r="J43" s="255">
        <v>0</v>
      </c>
      <c r="K43" s="255">
        <v>0</v>
      </c>
      <c r="L43" s="255">
        <v>0</v>
      </c>
      <c r="M43" s="219"/>
      <c r="N43" s="807">
        <f>ROUND(H43/geg!$G$42,2)</f>
        <v>0</v>
      </c>
      <c r="O43" s="807">
        <f>ROUND(I43/geg!$H$42,2)</f>
        <v>0</v>
      </c>
      <c r="P43" s="807">
        <f>ROUND(J43/geg!$H$42,2)</f>
        <v>0</v>
      </c>
      <c r="Q43" s="807">
        <f>ROUND(K43/geg!$H$42,2)</f>
        <v>0</v>
      </c>
      <c r="R43" s="807">
        <f>ROUND(L43/geg!$H$42,2)</f>
        <v>0</v>
      </c>
      <c r="S43" s="272"/>
      <c r="T43" s="37"/>
    </row>
    <row r="44" spans="2:20" s="24" customFormat="1" ht="12.75" customHeight="1" x14ac:dyDescent="0.2">
      <c r="B44" s="179"/>
      <c r="C44" s="300"/>
      <c r="D44" s="780"/>
      <c r="E44" s="301"/>
      <c r="F44" s="302"/>
      <c r="G44" s="117"/>
      <c r="H44" s="802">
        <f>SUM(H38:H43)</f>
        <v>0</v>
      </c>
      <c r="I44" s="802">
        <f>SUM(I38:I43)</f>
        <v>0</v>
      </c>
      <c r="J44" s="802">
        <f>SUM(J38:J43)</f>
        <v>0</v>
      </c>
      <c r="K44" s="802">
        <f>SUM(K38:K43)</f>
        <v>0</v>
      </c>
      <c r="L44" s="802">
        <f>SUM(L38:L43)</f>
        <v>0</v>
      </c>
      <c r="M44" s="93"/>
      <c r="N44" s="803">
        <f>SUM(N38:N43)</f>
        <v>0</v>
      </c>
      <c r="O44" s="803">
        <f>SUM(O38:O43)</f>
        <v>0</v>
      </c>
      <c r="P44" s="803">
        <f>SUM(P38:P43)</f>
        <v>0</v>
      </c>
      <c r="Q44" s="803">
        <f>SUM(Q38:Q43)</f>
        <v>0</v>
      </c>
      <c r="R44" s="803">
        <f>SUM(R38:R43)</f>
        <v>0</v>
      </c>
      <c r="S44" s="303"/>
      <c r="T44" s="180"/>
    </row>
    <row r="45" spans="2:20" ht="12.75" customHeight="1" x14ac:dyDescent="0.2">
      <c r="B45" s="34"/>
      <c r="C45" s="91"/>
      <c r="D45" s="773" t="s">
        <v>25</v>
      </c>
      <c r="E45" s="298"/>
      <c r="F45" s="299"/>
      <c r="G45" s="92"/>
      <c r="H45" s="286"/>
      <c r="I45" s="286"/>
      <c r="J45" s="286"/>
      <c r="K45" s="286"/>
      <c r="L45" s="286"/>
      <c r="M45" s="219"/>
      <c r="N45" s="120"/>
      <c r="O45" s="120"/>
      <c r="P45" s="120"/>
      <c r="Q45" s="120"/>
      <c r="R45" s="120"/>
      <c r="S45" s="272"/>
      <c r="T45" s="37"/>
    </row>
    <row r="46" spans="2:20" ht="12.75" customHeight="1" x14ac:dyDescent="0.2">
      <c r="B46" s="34"/>
      <c r="C46" s="91"/>
      <c r="D46" s="775"/>
      <c r="E46" s="304"/>
      <c r="F46" s="305"/>
      <c r="G46" s="92"/>
      <c r="H46" s="255">
        <v>0</v>
      </c>
      <c r="I46" s="255">
        <v>0</v>
      </c>
      <c r="J46" s="255">
        <v>0</v>
      </c>
      <c r="K46" s="255">
        <v>0</v>
      </c>
      <c r="L46" s="255">
        <v>0</v>
      </c>
      <c r="M46" s="219"/>
      <c r="N46" s="807">
        <f>ROUND(H46/geg!$G$42,2)</f>
        <v>0</v>
      </c>
      <c r="O46" s="807">
        <f>ROUND(I46/geg!$H$42,2)</f>
        <v>0</v>
      </c>
      <c r="P46" s="807">
        <f>ROUND(J46/geg!$H$42,2)</f>
        <v>0</v>
      </c>
      <c r="Q46" s="807">
        <f>ROUND(K46/geg!$H$42,2)</f>
        <v>0</v>
      </c>
      <c r="R46" s="807">
        <f>ROUND(L46/geg!$H$42,2)</f>
        <v>0</v>
      </c>
      <c r="S46" s="272"/>
      <c r="T46" s="37"/>
    </row>
    <row r="47" spans="2:20" ht="12.75" customHeight="1" x14ac:dyDescent="0.2">
      <c r="B47" s="34"/>
      <c r="C47" s="91"/>
      <c r="D47" s="775"/>
      <c r="E47" s="298"/>
      <c r="F47" s="299"/>
      <c r="G47" s="92"/>
      <c r="H47" s="255">
        <v>0</v>
      </c>
      <c r="I47" s="255">
        <v>0</v>
      </c>
      <c r="J47" s="255">
        <v>0</v>
      </c>
      <c r="K47" s="255">
        <v>0</v>
      </c>
      <c r="L47" s="255">
        <v>0</v>
      </c>
      <c r="M47" s="219"/>
      <c r="N47" s="807">
        <f>ROUND(H47/geg!$G$42,2)</f>
        <v>0</v>
      </c>
      <c r="O47" s="807">
        <f>ROUND(I47/geg!$H$42,2)</f>
        <v>0</v>
      </c>
      <c r="P47" s="807">
        <f>ROUND(J47/geg!$H$42,2)</f>
        <v>0</v>
      </c>
      <c r="Q47" s="807">
        <f>ROUND(K47/geg!$H$42,2)</f>
        <v>0</v>
      </c>
      <c r="R47" s="807">
        <f>ROUND(L47/geg!$H$42,2)</f>
        <v>0</v>
      </c>
      <c r="S47" s="272"/>
      <c r="T47" s="37"/>
    </row>
    <row r="48" spans="2:20" ht="12.75" customHeight="1" x14ac:dyDescent="0.2">
      <c r="B48" s="34"/>
      <c r="C48" s="91"/>
      <c r="D48" s="775"/>
      <c r="E48" s="304"/>
      <c r="F48" s="305"/>
      <c r="G48" s="92"/>
      <c r="H48" s="255">
        <v>0</v>
      </c>
      <c r="I48" s="255">
        <v>0</v>
      </c>
      <c r="J48" s="255">
        <v>0</v>
      </c>
      <c r="K48" s="255">
        <v>0</v>
      </c>
      <c r="L48" s="255">
        <v>0</v>
      </c>
      <c r="M48" s="219"/>
      <c r="N48" s="807">
        <f>ROUND(H48/geg!$G$42,2)</f>
        <v>0</v>
      </c>
      <c r="O48" s="807">
        <f>ROUND(I48/geg!$H$42,2)</f>
        <v>0</v>
      </c>
      <c r="P48" s="807">
        <f>ROUND(J48/geg!$H$42,2)</f>
        <v>0</v>
      </c>
      <c r="Q48" s="807">
        <f>ROUND(K48/geg!$H$42,2)</f>
        <v>0</v>
      </c>
      <c r="R48" s="807">
        <f>ROUND(L48/geg!$H$42,2)</f>
        <v>0</v>
      </c>
      <c r="S48" s="272"/>
      <c r="T48" s="37"/>
    </row>
    <row r="49" spans="2:20" ht="12.75" customHeight="1" x14ac:dyDescent="0.2">
      <c r="B49" s="34"/>
      <c r="C49" s="91"/>
      <c r="D49" s="775"/>
      <c r="E49" s="298"/>
      <c r="F49" s="299"/>
      <c r="G49" s="92"/>
      <c r="H49" s="255">
        <v>0</v>
      </c>
      <c r="I49" s="255">
        <v>0</v>
      </c>
      <c r="J49" s="255">
        <v>0</v>
      </c>
      <c r="K49" s="255">
        <v>0</v>
      </c>
      <c r="L49" s="255">
        <v>0</v>
      </c>
      <c r="M49" s="219"/>
      <c r="N49" s="807">
        <f>ROUND(H49/geg!$G$42,2)</f>
        <v>0</v>
      </c>
      <c r="O49" s="807">
        <f>ROUND(I49/geg!$H$42,2)</f>
        <v>0</v>
      </c>
      <c r="P49" s="807">
        <f>ROUND(J49/geg!$H$42,2)</f>
        <v>0</v>
      </c>
      <c r="Q49" s="807">
        <f>ROUND(K49/geg!$H$42,2)</f>
        <v>0</v>
      </c>
      <c r="R49" s="807">
        <f>ROUND(L49/geg!$H$42,2)</f>
        <v>0</v>
      </c>
      <c r="S49" s="272"/>
      <c r="T49" s="37"/>
    </row>
    <row r="50" spans="2:20" ht="12.75" customHeight="1" x14ac:dyDescent="0.2">
      <c r="B50" s="34"/>
      <c r="C50" s="91"/>
      <c r="D50" s="775"/>
      <c r="E50" s="304"/>
      <c r="F50" s="305"/>
      <c r="G50" s="92"/>
      <c r="H50" s="255">
        <v>0</v>
      </c>
      <c r="I50" s="255">
        <v>0</v>
      </c>
      <c r="J50" s="255">
        <v>0</v>
      </c>
      <c r="K50" s="255">
        <v>0</v>
      </c>
      <c r="L50" s="255">
        <v>0</v>
      </c>
      <c r="M50" s="219"/>
      <c r="N50" s="807">
        <f>ROUND(H50/geg!$G$42,2)</f>
        <v>0</v>
      </c>
      <c r="O50" s="807">
        <f>ROUND(I50/geg!$H$42,2)</f>
        <v>0</v>
      </c>
      <c r="P50" s="807">
        <f>ROUND(J50/geg!$H$42,2)</f>
        <v>0</v>
      </c>
      <c r="Q50" s="807">
        <f>ROUND(K50/geg!$H$42,2)</f>
        <v>0</v>
      </c>
      <c r="R50" s="807">
        <f>ROUND(L50/geg!$H$42,2)</f>
        <v>0</v>
      </c>
      <c r="S50" s="272"/>
      <c r="T50" s="37"/>
    </row>
    <row r="51" spans="2:20" s="24" customFormat="1" ht="12.75" customHeight="1" x14ac:dyDescent="0.2">
      <c r="B51" s="179"/>
      <c r="C51" s="300"/>
      <c r="D51" s="781"/>
      <c r="E51" s="306"/>
      <c r="F51" s="307"/>
      <c r="G51" s="117"/>
      <c r="H51" s="802">
        <f>SUM(H46:H50)</f>
        <v>0</v>
      </c>
      <c r="I51" s="802">
        <f>SUM(I46:I50)</f>
        <v>0</v>
      </c>
      <c r="J51" s="802">
        <f>SUM(J46:J50)</f>
        <v>0</v>
      </c>
      <c r="K51" s="802">
        <f>SUM(K46:K50)</f>
        <v>0</v>
      </c>
      <c r="L51" s="802">
        <f>SUM(L46:L50)</f>
        <v>0</v>
      </c>
      <c r="M51" s="93"/>
      <c r="N51" s="803">
        <f>SUM(N46:N50)</f>
        <v>0</v>
      </c>
      <c r="O51" s="803">
        <f>SUM(O46:O50)</f>
        <v>0</v>
      </c>
      <c r="P51" s="803">
        <f>SUM(P46:P50)</f>
        <v>0</v>
      </c>
      <c r="Q51" s="803">
        <f>SUM(Q46:Q50)</f>
        <v>0</v>
      </c>
      <c r="R51" s="803">
        <f>SUM(R46:R50)</f>
        <v>0</v>
      </c>
      <c r="S51" s="303"/>
      <c r="T51" s="180"/>
    </row>
    <row r="52" spans="2:20" ht="12.75" customHeight="1" x14ac:dyDescent="0.2">
      <c r="B52" s="34"/>
      <c r="C52" s="91"/>
      <c r="D52" s="645"/>
      <c r="E52" s="92"/>
      <c r="F52" s="92"/>
      <c r="G52" s="92"/>
      <c r="H52" s="816"/>
      <c r="I52" s="817"/>
      <c r="J52" s="816"/>
      <c r="K52" s="816"/>
      <c r="L52" s="816"/>
      <c r="M52" s="814"/>
      <c r="N52" s="818"/>
      <c r="O52" s="819"/>
      <c r="P52" s="819"/>
      <c r="Q52" s="819"/>
      <c r="R52" s="819"/>
      <c r="S52" s="98"/>
      <c r="T52" s="37"/>
    </row>
    <row r="53" spans="2:20" s="24" customFormat="1" ht="12.75" customHeight="1" x14ac:dyDescent="0.2">
      <c r="B53" s="179"/>
      <c r="C53" s="300"/>
      <c r="D53" s="773" t="s">
        <v>51</v>
      </c>
      <c r="E53" s="117"/>
      <c r="F53" s="117"/>
      <c r="G53" s="117"/>
      <c r="H53" s="802">
        <f>H44-H51</f>
        <v>0</v>
      </c>
      <c r="I53" s="802">
        <f>I44-I51</f>
        <v>0</v>
      </c>
      <c r="J53" s="802">
        <f>J44-J51</f>
        <v>0</v>
      </c>
      <c r="K53" s="802">
        <f>K44-K51</f>
        <v>0</v>
      </c>
      <c r="L53" s="802">
        <f>L44-L51</f>
        <v>0</v>
      </c>
      <c r="M53" s="93"/>
      <c r="N53" s="803">
        <f>N44-N51</f>
        <v>0</v>
      </c>
      <c r="O53" s="803">
        <f>O44-O51</f>
        <v>0</v>
      </c>
      <c r="P53" s="803">
        <f>P44-P51</f>
        <v>0</v>
      </c>
      <c r="Q53" s="803">
        <f>Q44-Q51</f>
        <v>0</v>
      </c>
      <c r="R53" s="803">
        <f>R44-R51</f>
        <v>0</v>
      </c>
      <c r="S53" s="308"/>
      <c r="T53" s="180"/>
    </row>
    <row r="54" spans="2:20" ht="12.75" customHeight="1" x14ac:dyDescent="0.2">
      <c r="B54" s="34"/>
      <c r="C54" s="91"/>
      <c r="D54" s="645"/>
      <c r="E54" s="92"/>
      <c r="F54" s="92"/>
      <c r="G54" s="92"/>
      <c r="H54" s="115"/>
      <c r="I54" s="278"/>
      <c r="J54" s="220"/>
      <c r="K54" s="220"/>
      <c r="L54" s="220"/>
      <c r="M54" s="219"/>
      <c r="N54" s="274"/>
      <c r="O54" s="221"/>
      <c r="P54" s="221"/>
      <c r="Q54" s="221"/>
      <c r="R54" s="221"/>
      <c r="S54" s="98"/>
      <c r="T54" s="37"/>
    </row>
    <row r="55" spans="2:20" ht="12.75" customHeight="1" x14ac:dyDescent="0.2">
      <c r="B55" s="34"/>
      <c r="C55" s="91"/>
      <c r="D55" s="782"/>
      <c r="E55" s="269"/>
      <c r="F55" s="92"/>
      <c r="G55" s="92"/>
      <c r="H55" s="270"/>
      <c r="I55" s="270"/>
      <c r="J55" s="270"/>
      <c r="K55" s="270"/>
      <c r="L55" s="270"/>
      <c r="M55" s="219"/>
      <c r="N55" s="271"/>
      <c r="O55" s="271"/>
      <c r="P55" s="271"/>
      <c r="Q55" s="271"/>
      <c r="R55" s="271"/>
      <c r="S55" s="272"/>
      <c r="T55" s="37"/>
    </row>
    <row r="56" spans="2:20" ht="12.75" customHeight="1" x14ac:dyDescent="0.2">
      <c r="B56" s="34"/>
      <c r="C56" s="91"/>
      <c r="D56" s="772" t="s">
        <v>145</v>
      </c>
      <c r="E56" s="116"/>
      <c r="F56" s="92"/>
      <c r="G56" s="92"/>
      <c r="H56" s="801">
        <f>H23+H28+H35-H53</f>
        <v>407692.09360000008</v>
      </c>
      <c r="I56" s="801">
        <f>I23+I28+I35-I53</f>
        <v>347388.76759999996</v>
      </c>
      <c r="J56" s="801">
        <f>J23+J28+J35-J53</f>
        <v>347388.76759999996</v>
      </c>
      <c r="K56" s="801">
        <f>K23+K28+K35-K53</f>
        <v>347388.76759999996</v>
      </c>
      <c r="L56" s="801">
        <f>L23+L28+L35-L53</f>
        <v>347388.76759999996</v>
      </c>
      <c r="M56" s="219"/>
      <c r="N56" s="799">
        <f>N23+N28+N35-N53</f>
        <v>6.68</v>
      </c>
      <c r="O56" s="799">
        <f>O23+O28+O35-O53</f>
        <v>5.69</v>
      </c>
      <c r="P56" s="799">
        <f>P23+P28+P35-P53</f>
        <v>5.69</v>
      </c>
      <c r="Q56" s="799">
        <f>Q23+Q28+Q35-Q53</f>
        <v>5.69</v>
      </c>
      <c r="R56" s="799">
        <f>R23+R28+R35-R53</f>
        <v>5.69</v>
      </c>
      <c r="S56" s="98"/>
      <c r="T56" s="37"/>
    </row>
    <row r="57" spans="2:20" ht="12.75" customHeight="1" x14ac:dyDescent="0.2">
      <c r="B57" s="34"/>
      <c r="C57" s="124"/>
      <c r="D57" s="783"/>
      <c r="E57" s="125"/>
      <c r="F57" s="125"/>
      <c r="G57" s="125"/>
      <c r="H57" s="309"/>
      <c r="I57" s="309"/>
      <c r="J57" s="310"/>
      <c r="K57" s="310"/>
      <c r="L57" s="310"/>
      <c r="M57" s="282"/>
      <c r="N57" s="311"/>
      <c r="O57" s="125"/>
      <c r="P57" s="125"/>
      <c r="Q57" s="125"/>
      <c r="R57" s="125"/>
      <c r="S57" s="126"/>
      <c r="T57" s="37"/>
    </row>
    <row r="58" spans="2:20" ht="12.75" customHeight="1" x14ac:dyDescent="0.2">
      <c r="B58" s="34"/>
      <c r="C58" s="35"/>
      <c r="D58" s="756"/>
      <c r="E58" s="35"/>
      <c r="F58" s="35"/>
      <c r="G58" s="35"/>
      <c r="H58" s="243"/>
      <c r="I58" s="243"/>
      <c r="J58" s="243"/>
      <c r="K58" s="243"/>
      <c r="L58" s="243"/>
      <c r="M58" s="35"/>
      <c r="N58" s="35"/>
      <c r="O58" s="35"/>
      <c r="P58" s="35"/>
      <c r="Q58" s="35"/>
      <c r="R58" s="35"/>
      <c r="S58" s="35"/>
      <c r="T58" s="37"/>
    </row>
    <row r="59" spans="2:20" ht="12.75" customHeight="1" x14ac:dyDescent="0.2">
      <c r="B59" s="34"/>
      <c r="C59" s="86"/>
      <c r="D59" s="771"/>
      <c r="E59" s="87"/>
      <c r="F59" s="87"/>
      <c r="G59" s="87"/>
      <c r="H59" s="144"/>
      <c r="I59" s="257"/>
      <c r="J59" s="218"/>
      <c r="K59" s="218"/>
      <c r="L59" s="218"/>
      <c r="M59" s="258"/>
      <c r="N59" s="259"/>
      <c r="O59" s="260"/>
      <c r="P59" s="260"/>
      <c r="Q59" s="260"/>
      <c r="R59" s="260"/>
      <c r="S59" s="128"/>
      <c r="T59" s="37"/>
    </row>
    <row r="60" spans="2:20" s="8" customFormat="1" ht="12.75" customHeight="1" x14ac:dyDescent="0.2">
      <c r="B60" s="175"/>
      <c r="C60" s="100"/>
      <c r="D60" s="743" t="s">
        <v>356</v>
      </c>
      <c r="E60" s="261"/>
      <c r="F60" s="261"/>
      <c r="G60" s="261"/>
      <c r="H60" s="262"/>
      <c r="I60" s="262"/>
      <c r="J60" s="262"/>
      <c r="K60" s="262"/>
      <c r="L60" s="262"/>
      <c r="M60" s="263"/>
      <c r="N60" s="264"/>
      <c r="O60" s="265"/>
      <c r="P60" s="265"/>
      <c r="Q60" s="265"/>
      <c r="R60" s="265"/>
      <c r="S60" s="266"/>
      <c r="T60" s="42"/>
    </row>
    <row r="61" spans="2:20" ht="12.75" customHeight="1" x14ac:dyDescent="0.2">
      <c r="B61" s="34"/>
      <c r="C61" s="91"/>
      <c r="D61" s="772"/>
      <c r="E61" s="116"/>
      <c r="F61" s="116"/>
      <c r="G61" s="116"/>
      <c r="H61" s="267"/>
      <c r="I61" s="267"/>
      <c r="J61" s="267"/>
      <c r="K61" s="267"/>
      <c r="L61" s="267"/>
      <c r="M61" s="219"/>
      <c r="N61" s="268"/>
      <c r="O61" s="92"/>
      <c r="P61" s="92"/>
      <c r="Q61" s="92"/>
      <c r="R61" s="92"/>
      <c r="S61" s="98"/>
      <c r="T61" s="37"/>
    </row>
    <row r="62" spans="2:20" ht="12.75" customHeight="1" x14ac:dyDescent="0.2">
      <c r="B62" s="34"/>
      <c r="C62" s="91"/>
      <c r="D62" s="775"/>
      <c r="E62" s="92"/>
      <c r="F62" s="92"/>
      <c r="G62" s="92"/>
      <c r="H62" s="255">
        <v>0</v>
      </c>
      <c r="I62" s="255">
        <f t="shared" ref="I62:J66" si="0">H62</f>
        <v>0</v>
      </c>
      <c r="J62" s="255">
        <f t="shared" si="0"/>
        <v>0</v>
      </c>
      <c r="K62" s="255">
        <f t="shared" ref="K62:L66" si="1">J62</f>
        <v>0</v>
      </c>
      <c r="L62" s="255">
        <f t="shared" si="1"/>
        <v>0</v>
      </c>
      <c r="M62" s="219"/>
      <c r="N62" s="807">
        <f>ROUND(H62/geg!$G$42,2)</f>
        <v>0</v>
      </c>
      <c r="O62" s="807">
        <f>ROUND(I62/geg!$H$42,2)</f>
        <v>0</v>
      </c>
      <c r="P62" s="807">
        <f>ROUND(J62/geg!$H$42,2)</f>
        <v>0</v>
      </c>
      <c r="Q62" s="807">
        <f>ROUND(K62/geg!$H$42,2)</f>
        <v>0</v>
      </c>
      <c r="R62" s="807">
        <f>ROUND(L62/geg!$H$42,2)</f>
        <v>0</v>
      </c>
      <c r="S62" s="98"/>
      <c r="T62" s="37"/>
    </row>
    <row r="63" spans="2:20" ht="12.75" customHeight="1" x14ac:dyDescent="0.2">
      <c r="B63" s="34"/>
      <c r="C63" s="91"/>
      <c r="D63" s="775"/>
      <c r="E63" s="92"/>
      <c r="F63" s="92"/>
      <c r="G63" s="92"/>
      <c r="H63" s="255">
        <v>0</v>
      </c>
      <c r="I63" s="255">
        <f t="shared" ref="I63:L64" si="2">H63</f>
        <v>0</v>
      </c>
      <c r="J63" s="255">
        <f t="shared" si="2"/>
        <v>0</v>
      </c>
      <c r="K63" s="255">
        <f t="shared" si="2"/>
        <v>0</v>
      </c>
      <c r="L63" s="255">
        <f t="shared" si="2"/>
        <v>0</v>
      </c>
      <c r="M63" s="219"/>
      <c r="N63" s="807">
        <f>ROUND(H63/geg!$G$42,2)</f>
        <v>0</v>
      </c>
      <c r="O63" s="807">
        <f>ROUND(I63/geg!$H$42,2)</f>
        <v>0</v>
      </c>
      <c r="P63" s="807">
        <f>ROUND(J63/geg!$H$42,2)</f>
        <v>0</v>
      </c>
      <c r="Q63" s="807">
        <f>ROUND(K63/geg!$H$42,2)</f>
        <v>0</v>
      </c>
      <c r="R63" s="807">
        <f>ROUND(L63/geg!$H$42,2)</f>
        <v>0</v>
      </c>
      <c r="S63" s="98"/>
      <c r="T63" s="37"/>
    </row>
    <row r="64" spans="2:20" ht="12.75" customHeight="1" x14ac:dyDescent="0.2">
      <c r="B64" s="34"/>
      <c r="C64" s="91"/>
      <c r="D64" s="775"/>
      <c r="E64" s="92"/>
      <c r="F64" s="92"/>
      <c r="G64" s="92"/>
      <c r="H64" s="255">
        <v>0</v>
      </c>
      <c r="I64" s="255">
        <f t="shared" si="2"/>
        <v>0</v>
      </c>
      <c r="J64" s="255">
        <f t="shared" si="2"/>
        <v>0</v>
      </c>
      <c r="K64" s="255">
        <f t="shared" si="2"/>
        <v>0</v>
      </c>
      <c r="L64" s="255">
        <f t="shared" si="2"/>
        <v>0</v>
      </c>
      <c r="M64" s="219"/>
      <c r="N64" s="807">
        <f>ROUND(H64/geg!$G$42,2)</f>
        <v>0</v>
      </c>
      <c r="O64" s="807">
        <f>ROUND(I64/geg!$H$42,2)</f>
        <v>0</v>
      </c>
      <c r="P64" s="807">
        <f>ROUND(J64/geg!$H$42,2)</f>
        <v>0</v>
      </c>
      <c r="Q64" s="807">
        <f>ROUND(K64/geg!$H$42,2)</f>
        <v>0</v>
      </c>
      <c r="R64" s="807">
        <f>ROUND(L64/geg!$H$42,2)</f>
        <v>0</v>
      </c>
      <c r="S64" s="98"/>
      <c r="T64" s="37"/>
    </row>
    <row r="65" spans="2:20" ht="12.75" customHeight="1" x14ac:dyDescent="0.2">
      <c r="B65" s="34"/>
      <c r="C65" s="91"/>
      <c r="D65" s="775"/>
      <c r="E65" s="92"/>
      <c r="F65" s="92"/>
      <c r="G65" s="92"/>
      <c r="H65" s="255">
        <v>0</v>
      </c>
      <c r="I65" s="255">
        <f t="shared" si="0"/>
        <v>0</v>
      </c>
      <c r="J65" s="255">
        <f t="shared" si="0"/>
        <v>0</v>
      </c>
      <c r="K65" s="255">
        <f t="shared" si="1"/>
        <v>0</v>
      </c>
      <c r="L65" s="255">
        <f t="shared" si="1"/>
        <v>0</v>
      </c>
      <c r="M65" s="219"/>
      <c r="N65" s="807">
        <f>ROUND(H65/geg!$G$42,2)</f>
        <v>0</v>
      </c>
      <c r="O65" s="807">
        <f>ROUND(I65/geg!$H$42,2)</f>
        <v>0</v>
      </c>
      <c r="P65" s="807">
        <f>ROUND(J65/geg!$H$42,2)</f>
        <v>0</v>
      </c>
      <c r="Q65" s="807">
        <f>ROUND(K65/geg!$H$42,2)</f>
        <v>0</v>
      </c>
      <c r="R65" s="807">
        <f>ROUND(L65/geg!$H$42,2)</f>
        <v>0</v>
      </c>
      <c r="S65" s="98"/>
      <c r="T65" s="37"/>
    </row>
    <row r="66" spans="2:20" ht="12.75" customHeight="1" x14ac:dyDescent="0.2">
      <c r="B66" s="34"/>
      <c r="C66" s="91"/>
      <c r="D66" s="775"/>
      <c r="E66" s="92"/>
      <c r="F66" s="92"/>
      <c r="G66" s="92"/>
      <c r="H66" s="255">
        <v>0</v>
      </c>
      <c r="I66" s="255">
        <f t="shared" si="0"/>
        <v>0</v>
      </c>
      <c r="J66" s="255">
        <f t="shared" si="0"/>
        <v>0</v>
      </c>
      <c r="K66" s="255">
        <f t="shared" si="1"/>
        <v>0</v>
      </c>
      <c r="L66" s="255">
        <f t="shared" si="1"/>
        <v>0</v>
      </c>
      <c r="M66" s="219"/>
      <c r="N66" s="807">
        <f>ROUND(H66/geg!$G$42,2)</f>
        <v>0</v>
      </c>
      <c r="O66" s="807">
        <f>ROUND(I66/geg!$H$42,2)</f>
        <v>0</v>
      </c>
      <c r="P66" s="807">
        <f>ROUND(J66/geg!$H$42,2)</f>
        <v>0</v>
      </c>
      <c r="Q66" s="807">
        <f>ROUND(K66/geg!$H$42,2)</f>
        <v>0</v>
      </c>
      <c r="R66" s="807">
        <f>ROUND(L66/geg!$H$42,2)</f>
        <v>0</v>
      </c>
      <c r="S66" s="98"/>
      <c r="T66" s="37"/>
    </row>
    <row r="67" spans="2:20" ht="12.75" customHeight="1" x14ac:dyDescent="0.2">
      <c r="B67" s="34"/>
      <c r="C67" s="91"/>
      <c r="D67" s="782"/>
      <c r="E67" s="269"/>
      <c r="F67" s="92"/>
      <c r="G67" s="92"/>
      <c r="H67" s="270"/>
      <c r="I67" s="270"/>
      <c r="J67" s="270"/>
      <c r="K67" s="270"/>
      <c r="L67" s="270"/>
      <c r="M67" s="219"/>
      <c r="N67" s="271"/>
      <c r="O67" s="271"/>
      <c r="P67" s="271"/>
      <c r="Q67" s="271"/>
      <c r="R67" s="271"/>
      <c r="S67" s="272"/>
      <c r="T67" s="37"/>
    </row>
    <row r="68" spans="2:20" ht="12.75" customHeight="1" x14ac:dyDescent="0.2">
      <c r="B68" s="58"/>
      <c r="C68" s="105"/>
      <c r="D68" s="772" t="s">
        <v>145</v>
      </c>
      <c r="E68" s="116"/>
      <c r="F68" s="116"/>
      <c r="G68" s="116"/>
      <c r="H68" s="801">
        <f>SUM(H62:H66)</f>
        <v>0</v>
      </c>
      <c r="I68" s="801">
        <f>SUM(I62:I66)</f>
        <v>0</v>
      </c>
      <c r="J68" s="801">
        <f>SUM(J62:J66)</f>
        <v>0</v>
      </c>
      <c r="K68" s="801">
        <f>SUM(K62:K66)</f>
        <v>0</v>
      </c>
      <c r="L68" s="801">
        <f>SUM(L62:L66)</f>
        <v>0</v>
      </c>
      <c r="M68" s="219"/>
      <c r="N68" s="799">
        <f>SUM(N62:N66)</f>
        <v>0</v>
      </c>
      <c r="O68" s="799">
        <f>SUM(O62:O66)</f>
        <v>0</v>
      </c>
      <c r="P68" s="799">
        <f>SUM(P62:P66)</f>
        <v>0</v>
      </c>
      <c r="Q68" s="799">
        <f>SUM(Q62:Q66)</f>
        <v>0</v>
      </c>
      <c r="R68" s="799">
        <f>SUM(R62:R66)</f>
        <v>0</v>
      </c>
      <c r="S68" s="275"/>
      <c r="T68" s="178"/>
    </row>
    <row r="69" spans="2:20" ht="12.75" customHeight="1" x14ac:dyDescent="0.2">
      <c r="B69" s="34"/>
      <c r="C69" s="124"/>
      <c r="D69" s="784"/>
      <c r="E69" s="222"/>
      <c r="F69" s="222"/>
      <c r="G69" s="222"/>
      <c r="H69" s="310"/>
      <c r="I69" s="310"/>
      <c r="J69" s="310"/>
      <c r="K69" s="310"/>
      <c r="L69" s="310"/>
      <c r="M69" s="282"/>
      <c r="N69" s="311"/>
      <c r="O69" s="314"/>
      <c r="P69" s="314"/>
      <c r="Q69" s="314"/>
      <c r="R69" s="314"/>
      <c r="S69" s="126"/>
      <c r="T69" s="37"/>
    </row>
    <row r="70" spans="2:20" ht="12.75" customHeight="1" x14ac:dyDescent="0.2">
      <c r="B70" s="34"/>
      <c r="C70" s="35"/>
      <c r="D70" s="785"/>
      <c r="E70" s="59"/>
      <c r="F70" s="59"/>
      <c r="G70" s="59"/>
      <c r="H70" s="251"/>
      <c r="I70" s="251"/>
      <c r="J70" s="251"/>
      <c r="K70" s="251"/>
      <c r="L70" s="251"/>
      <c r="M70" s="247"/>
      <c r="N70" s="248"/>
      <c r="O70" s="249"/>
      <c r="P70" s="249"/>
      <c r="Q70" s="249"/>
      <c r="R70" s="249"/>
      <c r="S70" s="35"/>
      <c r="T70" s="37"/>
    </row>
    <row r="71" spans="2:20" ht="12.75" customHeight="1" x14ac:dyDescent="0.2">
      <c r="B71" s="34"/>
      <c r="C71" s="86"/>
      <c r="D71" s="786"/>
      <c r="E71" s="217"/>
      <c r="F71" s="217"/>
      <c r="G71" s="217"/>
      <c r="H71" s="315"/>
      <c r="I71" s="315"/>
      <c r="J71" s="315"/>
      <c r="K71" s="315"/>
      <c r="L71" s="315"/>
      <c r="M71" s="258"/>
      <c r="N71" s="259"/>
      <c r="O71" s="260"/>
      <c r="P71" s="260"/>
      <c r="Q71" s="260"/>
      <c r="R71" s="260"/>
      <c r="S71" s="128"/>
      <c r="T71" s="37"/>
    </row>
    <row r="72" spans="2:20" s="8" customFormat="1" ht="12.75" customHeight="1" x14ac:dyDescent="0.2">
      <c r="B72" s="175"/>
      <c r="C72" s="100"/>
      <c r="D72" s="743" t="s">
        <v>235</v>
      </c>
      <c r="E72" s="261"/>
      <c r="F72" s="261"/>
      <c r="G72" s="261"/>
      <c r="H72" s="262"/>
      <c r="I72" s="262"/>
      <c r="J72" s="262"/>
      <c r="K72" s="262"/>
      <c r="L72" s="262"/>
      <c r="M72" s="263"/>
      <c r="N72" s="264"/>
      <c r="O72" s="277"/>
      <c r="P72" s="277"/>
      <c r="Q72" s="277"/>
      <c r="R72" s="277"/>
      <c r="S72" s="266"/>
      <c r="T72" s="42"/>
    </row>
    <row r="73" spans="2:20" ht="12.75" customHeight="1" x14ac:dyDescent="0.2">
      <c r="B73" s="34"/>
      <c r="C73" s="91"/>
      <c r="D73" s="772"/>
      <c r="E73" s="116"/>
      <c r="F73" s="116"/>
      <c r="G73" s="116"/>
      <c r="H73" s="267"/>
      <c r="I73" s="267"/>
      <c r="J73" s="267"/>
      <c r="K73" s="267"/>
      <c r="L73" s="267"/>
      <c r="M73" s="219"/>
      <c r="N73" s="268"/>
      <c r="O73" s="276"/>
      <c r="P73" s="276"/>
      <c r="Q73" s="276"/>
      <c r="R73" s="276"/>
      <c r="S73" s="98"/>
      <c r="T73" s="37"/>
    </row>
    <row r="74" spans="2:20" s="10" customFormat="1" ht="12.75" customHeight="1" x14ac:dyDescent="0.2">
      <c r="B74" s="34"/>
      <c r="C74" s="91"/>
      <c r="D74" s="645" t="s">
        <v>16</v>
      </c>
      <c r="E74" s="92"/>
      <c r="F74" s="92"/>
      <c r="G74" s="92"/>
      <c r="H74" s="255">
        <v>0</v>
      </c>
      <c r="I74" s="255">
        <f t="shared" ref="I74:J80" si="3">H74</f>
        <v>0</v>
      </c>
      <c r="J74" s="255">
        <f t="shared" si="3"/>
        <v>0</v>
      </c>
      <c r="K74" s="255">
        <f t="shared" ref="K74:L80" si="4">J74</f>
        <v>0</v>
      </c>
      <c r="L74" s="255">
        <f t="shared" si="4"/>
        <v>0</v>
      </c>
      <c r="M74" s="219"/>
      <c r="N74" s="807">
        <f>ROUND(H74/geg!$G$42,2)</f>
        <v>0</v>
      </c>
      <c r="O74" s="807">
        <f>ROUND(I74/geg!$H$42,2)</f>
        <v>0</v>
      </c>
      <c r="P74" s="807">
        <f>ROUND(J74/geg!$H$42,2)</f>
        <v>0</v>
      </c>
      <c r="Q74" s="807">
        <f>ROUND(K74/geg!$H$42,2)</f>
        <v>0</v>
      </c>
      <c r="R74" s="807">
        <f>ROUND(L74/geg!$H$42,2)</f>
        <v>0</v>
      </c>
      <c r="S74" s="98"/>
      <c r="T74" s="37"/>
    </row>
    <row r="75" spans="2:20" s="10" customFormat="1" ht="12.75" customHeight="1" x14ac:dyDescent="0.2">
      <c r="B75" s="34"/>
      <c r="C75" s="91"/>
      <c r="D75" s="645" t="s">
        <v>71</v>
      </c>
      <c r="E75" s="92"/>
      <c r="F75" s="92"/>
      <c r="G75" s="92"/>
      <c r="H75" s="255">
        <v>0</v>
      </c>
      <c r="I75" s="255">
        <f t="shared" si="3"/>
        <v>0</v>
      </c>
      <c r="J75" s="255">
        <f t="shared" si="3"/>
        <v>0</v>
      </c>
      <c r="K75" s="255">
        <f t="shared" si="4"/>
        <v>0</v>
      </c>
      <c r="L75" s="255">
        <f t="shared" si="4"/>
        <v>0</v>
      </c>
      <c r="M75" s="219"/>
      <c r="N75" s="807">
        <f>ROUND(H75/geg!$G$42,2)</f>
        <v>0</v>
      </c>
      <c r="O75" s="807">
        <f>ROUND(I75/geg!$H$42,2)</f>
        <v>0</v>
      </c>
      <c r="P75" s="807">
        <f>ROUND(J75/geg!$H$42,2)</f>
        <v>0</v>
      </c>
      <c r="Q75" s="807">
        <f>ROUND(K75/geg!$H$42,2)</f>
        <v>0</v>
      </c>
      <c r="R75" s="807">
        <f>ROUND(L75/geg!$H$42,2)</f>
        <v>0</v>
      </c>
      <c r="S75" s="98"/>
      <c r="T75" s="37"/>
    </row>
    <row r="76" spans="2:20" s="10" customFormat="1" ht="12.75" customHeight="1" x14ac:dyDescent="0.2">
      <c r="B76" s="34"/>
      <c r="C76" s="91"/>
      <c r="D76" s="645" t="s">
        <v>264</v>
      </c>
      <c r="E76" s="92"/>
      <c r="F76" s="92"/>
      <c r="G76" s="92"/>
      <c r="H76" s="255">
        <v>0</v>
      </c>
      <c r="I76" s="255">
        <f t="shared" si="3"/>
        <v>0</v>
      </c>
      <c r="J76" s="255">
        <f t="shared" si="3"/>
        <v>0</v>
      </c>
      <c r="K76" s="255">
        <f t="shared" si="4"/>
        <v>0</v>
      </c>
      <c r="L76" s="255">
        <f t="shared" si="4"/>
        <v>0</v>
      </c>
      <c r="M76" s="219"/>
      <c r="N76" s="807">
        <f>ROUND(H76/geg!$G$42,2)</f>
        <v>0</v>
      </c>
      <c r="O76" s="807">
        <f>ROUND(I76/geg!$H$42,2)</f>
        <v>0</v>
      </c>
      <c r="P76" s="807">
        <f>ROUND(J76/geg!$H$42,2)</f>
        <v>0</v>
      </c>
      <c r="Q76" s="807">
        <f>ROUND(K76/geg!$H$42,2)</f>
        <v>0</v>
      </c>
      <c r="R76" s="807">
        <f>ROUND(L76/geg!$H$42,2)</f>
        <v>0</v>
      </c>
      <c r="S76" s="98"/>
      <c r="T76" s="37"/>
    </row>
    <row r="77" spans="2:20" s="10" customFormat="1" ht="12.75" customHeight="1" x14ac:dyDescent="0.2">
      <c r="B77" s="34"/>
      <c r="C77" s="91"/>
      <c r="D77" s="787"/>
      <c r="E77" s="92"/>
      <c r="F77" s="92"/>
      <c r="G77" s="92"/>
      <c r="H77" s="255">
        <v>0</v>
      </c>
      <c r="I77" s="255">
        <f t="shared" si="3"/>
        <v>0</v>
      </c>
      <c r="J77" s="255">
        <f t="shared" si="3"/>
        <v>0</v>
      </c>
      <c r="K77" s="255">
        <f t="shared" si="4"/>
        <v>0</v>
      </c>
      <c r="L77" s="255">
        <f t="shared" si="4"/>
        <v>0</v>
      </c>
      <c r="M77" s="219"/>
      <c r="N77" s="807">
        <f>ROUND(H77/geg!$G$42,2)</f>
        <v>0</v>
      </c>
      <c r="O77" s="807">
        <f>ROUND(I77/geg!$H$42,2)</f>
        <v>0</v>
      </c>
      <c r="P77" s="807">
        <f>ROUND(J77/geg!$H$42,2)</f>
        <v>0</v>
      </c>
      <c r="Q77" s="807">
        <f>ROUND(K77/geg!$H$42,2)</f>
        <v>0</v>
      </c>
      <c r="R77" s="807">
        <f>ROUND(L77/geg!$H$42,2)</f>
        <v>0</v>
      </c>
      <c r="S77" s="98"/>
      <c r="T77" s="37"/>
    </row>
    <row r="78" spans="2:20" s="10" customFormat="1" ht="12.75" customHeight="1" x14ac:dyDescent="0.2">
      <c r="B78" s="34"/>
      <c r="C78" s="91"/>
      <c r="D78" s="787"/>
      <c r="E78" s="92"/>
      <c r="F78" s="92"/>
      <c r="G78" s="92"/>
      <c r="H78" s="255">
        <v>0</v>
      </c>
      <c r="I78" s="255">
        <f t="shared" ref="I78" si="5">H78</f>
        <v>0</v>
      </c>
      <c r="J78" s="255">
        <f t="shared" si="3"/>
        <v>0</v>
      </c>
      <c r="K78" s="255">
        <f t="shared" si="4"/>
        <v>0</v>
      </c>
      <c r="L78" s="255">
        <f t="shared" si="4"/>
        <v>0</v>
      </c>
      <c r="M78" s="219"/>
      <c r="N78" s="807">
        <f>ROUND(H78/geg!$G$42,2)</f>
        <v>0</v>
      </c>
      <c r="O78" s="807">
        <f>ROUND(I78/geg!$H$42,2)</f>
        <v>0</v>
      </c>
      <c r="P78" s="807">
        <f>ROUND(J78/geg!$H$42,2)</f>
        <v>0</v>
      </c>
      <c r="Q78" s="807">
        <f>ROUND(K78/geg!$H$42,2)</f>
        <v>0</v>
      </c>
      <c r="R78" s="807">
        <f>ROUND(L78/geg!$H$42,2)</f>
        <v>0</v>
      </c>
      <c r="S78" s="98"/>
      <c r="T78" s="37"/>
    </row>
    <row r="79" spans="2:20" s="10" customFormat="1" ht="12.75" customHeight="1" x14ac:dyDescent="0.2">
      <c r="B79" s="34"/>
      <c r="C79" s="91"/>
      <c r="D79" s="775"/>
      <c r="E79" s="92"/>
      <c r="F79" s="92"/>
      <c r="G79" s="92"/>
      <c r="H79" s="255">
        <v>0</v>
      </c>
      <c r="I79" s="255">
        <f t="shared" si="3"/>
        <v>0</v>
      </c>
      <c r="J79" s="255">
        <f t="shared" si="3"/>
        <v>0</v>
      </c>
      <c r="K79" s="255">
        <f t="shared" si="4"/>
        <v>0</v>
      </c>
      <c r="L79" s="255">
        <f t="shared" si="4"/>
        <v>0</v>
      </c>
      <c r="M79" s="219"/>
      <c r="N79" s="807">
        <f>ROUND(H79/geg!$G$42,2)</f>
        <v>0</v>
      </c>
      <c r="O79" s="807">
        <f>ROUND(I79/geg!$H$42,2)</f>
        <v>0</v>
      </c>
      <c r="P79" s="807">
        <f>ROUND(J79/geg!$H$42,2)</f>
        <v>0</v>
      </c>
      <c r="Q79" s="807">
        <f>ROUND(K79/geg!$H$42,2)</f>
        <v>0</v>
      </c>
      <c r="R79" s="807">
        <f>ROUND(L79/geg!$H$42,2)</f>
        <v>0</v>
      </c>
      <c r="S79" s="98"/>
      <c r="T79" s="37"/>
    </row>
    <row r="80" spans="2:20" s="10" customFormat="1" ht="12.75" customHeight="1" x14ac:dyDescent="0.2">
      <c r="B80" s="34"/>
      <c r="C80" s="91"/>
      <c r="D80" s="775"/>
      <c r="E80" s="92"/>
      <c r="F80" s="92"/>
      <c r="G80" s="92"/>
      <c r="H80" s="255">
        <v>0</v>
      </c>
      <c r="I80" s="255">
        <f t="shared" si="3"/>
        <v>0</v>
      </c>
      <c r="J80" s="255">
        <f t="shared" si="3"/>
        <v>0</v>
      </c>
      <c r="K80" s="255">
        <f t="shared" si="4"/>
        <v>0</v>
      </c>
      <c r="L80" s="255">
        <f t="shared" si="4"/>
        <v>0</v>
      </c>
      <c r="M80" s="219"/>
      <c r="N80" s="807">
        <f>ROUND(H80/geg!$G$42,2)</f>
        <v>0</v>
      </c>
      <c r="O80" s="807">
        <f>ROUND(I80/geg!$H$42,2)</f>
        <v>0</v>
      </c>
      <c r="P80" s="807">
        <f>ROUND(J80/geg!$H$42,2)</f>
        <v>0</v>
      </c>
      <c r="Q80" s="807">
        <f>ROUND(K80/geg!$H$42,2)</f>
        <v>0</v>
      </c>
      <c r="R80" s="807">
        <f>ROUND(L80/geg!$H$42,2)</f>
        <v>0</v>
      </c>
      <c r="S80" s="98"/>
      <c r="T80" s="37"/>
    </row>
    <row r="81" spans="2:20" ht="12.75" customHeight="1" x14ac:dyDescent="0.2">
      <c r="B81" s="34"/>
      <c r="C81" s="91"/>
      <c r="D81" s="782"/>
      <c r="E81" s="269"/>
      <c r="F81" s="92"/>
      <c r="G81" s="92"/>
      <c r="H81" s="270"/>
      <c r="I81" s="270"/>
      <c r="J81" s="270"/>
      <c r="K81" s="270"/>
      <c r="L81" s="270"/>
      <c r="M81" s="219"/>
      <c r="N81" s="271"/>
      <c r="O81" s="271"/>
      <c r="P81" s="271"/>
      <c r="Q81" s="271"/>
      <c r="R81" s="271"/>
      <c r="S81" s="272"/>
      <c r="T81" s="37"/>
    </row>
    <row r="82" spans="2:20" ht="12.75" customHeight="1" x14ac:dyDescent="0.2">
      <c r="B82" s="58"/>
      <c r="C82" s="105"/>
      <c r="D82" s="772" t="s">
        <v>145</v>
      </c>
      <c r="E82" s="116"/>
      <c r="F82" s="116"/>
      <c r="G82" s="116"/>
      <c r="H82" s="801">
        <f>SUM(H74:H80)</f>
        <v>0</v>
      </c>
      <c r="I82" s="801">
        <f>SUM(I74:I80)</f>
        <v>0</v>
      </c>
      <c r="J82" s="801">
        <f>SUM(J74:J80)</f>
        <v>0</v>
      </c>
      <c r="K82" s="801">
        <f>SUM(K74:K80)</f>
        <v>0</v>
      </c>
      <c r="L82" s="801">
        <f>SUM(L74:L80)</f>
        <v>0</v>
      </c>
      <c r="M82" s="219"/>
      <c r="N82" s="799">
        <f>SUM(N74:N80)</f>
        <v>0</v>
      </c>
      <c r="O82" s="799">
        <f>SUM(O74:O80)</f>
        <v>0</v>
      </c>
      <c r="P82" s="799">
        <f>SUM(P74:P80)</f>
        <v>0</v>
      </c>
      <c r="Q82" s="799">
        <f>SUM(Q74:Q80)</f>
        <v>0</v>
      </c>
      <c r="R82" s="799">
        <f>SUM(R74:R80)</f>
        <v>0</v>
      </c>
      <c r="S82" s="275"/>
      <c r="T82" s="178"/>
    </row>
    <row r="83" spans="2:20" ht="12.75" customHeight="1" x14ac:dyDescent="0.2">
      <c r="B83" s="34"/>
      <c r="C83" s="124"/>
      <c r="D83" s="783"/>
      <c r="E83" s="125"/>
      <c r="F83" s="125"/>
      <c r="G83" s="125"/>
      <c r="H83" s="223"/>
      <c r="I83" s="280"/>
      <c r="J83" s="281"/>
      <c r="K83" s="281"/>
      <c r="L83" s="281"/>
      <c r="M83" s="282"/>
      <c r="N83" s="311"/>
      <c r="O83" s="314"/>
      <c r="P83" s="314"/>
      <c r="Q83" s="314"/>
      <c r="R83" s="314"/>
      <c r="S83" s="126"/>
      <c r="T83" s="37"/>
    </row>
    <row r="84" spans="2:20" ht="12.75" customHeight="1" x14ac:dyDescent="0.2">
      <c r="B84" s="34"/>
      <c r="C84" s="35"/>
      <c r="D84" s="756"/>
      <c r="E84" s="35"/>
      <c r="F84" s="35"/>
      <c r="G84" s="35"/>
      <c r="H84" s="62"/>
      <c r="I84" s="244"/>
      <c r="J84" s="60"/>
      <c r="K84" s="60"/>
      <c r="L84" s="60"/>
      <c r="M84" s="247"/>
      <c r="N84" s="248"/>
      <c r="O84" s="249"/>
      <c r="P84" s="249"/>
      <c r="Q84" s="249"/>
      <c r="R84" s="249"/>
      <c r="S84" s="35"/>
      <c r="T84" s="37"/>
    </row>
    <row r="85" spans="2:20" ht="12.75" customHeight="1" x14ac:dyDescent="0.2">
      <c r="B85" s="34"/>
      <c r="C85" s="86"/>
      <c r="D85" s="771"/>
      <c r="E85" s="87"/>
      <c r="F85" s="87"/>
      <c r="G85" s="144"/>
      <c r="H85" s="257"/>
      <c r="I85" s="218"/>
      <c r="J85" s="218"/>
      <c r="K85" s="218"/>
      <c r="L85" s="258"/>
      <c r="M85" s="258"/>
      <c r="N85" s="316"/>
      <c r="O85" s="317"/>
      <c r="P85" s="317"/>
      <c r="Q85" s="317"/>
      <c r="R85" s="317"/>
      <c r="S85" s="128"/>
      <c r="T85" s="37"/>
    </row>
    <row r="86" spans="2:20" ht="12.75" customHeight="1" x14ac:dyDescent="0.2">
      <c r="B86" s="34"/>
      <c r="C86" s="91"/>
      <c r="D86" s="743" t="s">
        <v>13</v>
      </c>
      <c r="E86" s="92"/>
      <c r="F86" s="92"/>
      <c r="G86" s="92"/>
      <c r="H86" s="801">
        <f>H56+H68+H82</f>
        <v>407692.09360000008</v>
      </c>
      <c r="I86" s="801">
        <f>I56+I68+I82</f>
        <v>347388.76759999996</v>
      </c>
      <c r="J86" s="801">
        <f>J56+J68+J82</f>
        <v>347388.76759999996</v>
      </c>
      <c r="K86" s="801">
        <f>K56+K68+K82</f>
        <v>347388.76759999996</v>
      </c>
      <c r="L86" s="801">
        <f>L56+L68+L82</f>
        <v>347388.76759999996</v>
      </c>
      <c r="M86" s="219"/>
      <c r="N86" s="800">
        <f>N56+N68+N82</f>
        <v>6.68</v>
      </c>
      <c r="O86" s="800">
        <f>O56+O68+O82</f>
        <v>5.69</v>
      </c>
      <c r="P86" s="800">
        <f>P56+P68+P82</f>
        <v>5.69</v>
      </c>
      <c r="Q86" s="800">
        <f>Q56+Q68+Q82</f>
        <v>5.69</v>
      </c>
      <c r="R86" s="800">
        <f>R56+R68+R82</f>
        <v>5.69</v>
      </c>
      <c r="S86" s="98"/>
      <c r="T86" s="37"/>
    </row>
    <row r="87" spans="2:20" ht="12.75" customHeight="1" x14ac:dyDescent="0.2">
      <c r="B87" s="34"/>
      <c r="C87" s="91"/>
      <c r="D87" s="645"/>
      <c r="E87" s="92"/>
      <c r="F87" s="92"/>
      <c r="G87" s="92"/>
      <c r="H87" s="115"/>
      <c r="I87" s="278"/>
      <c r="J87" s="220"/>
      <c r="K87" s="220"/>
      <c r="L87" s="220"/>
      <c r="M87" s="219"/>
      <c r="N87" s="274"/>
      <c r="O87" s="221"/>
      <c r="P87" s="221"/>
      <c r="Q87" s="221"/>
      <c r="R87" s="221"/>
      <c r="S87" s="98"/>
      <c r="T87" s="37"/>
    </row>
    <row r="88" spans="2:20" ht="12.75" customHeight="1" x14ac:dyDescent="0.2">
      <c r="B88" s="34"/>
      <c r="C88" s="91"/>
      <c r="D88" s="773" t="s">
        <v>401</v>
      </c>
      <c r="E88" s="92"/>
      <c r="F88" s="92"/>
      <c r="G88" s="92"/>
      <c r="H88" s="115"/>
      <c r="I88" s="278"/>
      <c r="J88" s="220"/>
      <c r="K88" s="220"/>
      <c r="L88" s="220"/>
      <c r="M88" s="219"/>
      <c r="N88" s="274"/>
      <c r="O88" s="221"/>
      <c r="P88" s="221"/>
      <c r="Q88" s="221"/>
      <c r="R88" s="221"/>
      <c r="S88" s="98"/>
      <c r="T88" s="37"/>
    </row>
    <row r="89" spans="2:20" ht="12.75" customHeight="1" x14ac:dyDescent="0.2">
      <c r="B89" s="34"/>
      <c r="C89" s="91"/>
      <c r="D89" s="645" t="s">
        <v>56</v>
      </c>
      <c r="E89" s="92"/>
      <c r="F89" s="92"/>
      <c r="G89" s="92"/>
      <c r="H89" s="255">
        <v>0</v>
      </c>
      <c r="I89" s="255">
        <f t="shared" ref="I89:L92" si="6">H89</f>
        <v>0</v>
      </c>
      <c r="J89" s="255">
        <f t="shared" si="6"/>
        <v>0</v>
      </c>
      <c r="K89" s="255">
        <f t="shared" si="6"/>
        <v>0</v>
      </c>
      <c r="L89" s="255">
        <f t="shared" si="6"/>
        <v>0</v>
      </c>
      <c r="M89" s="219"/>
      <c r="N89" s="807">
        <f>ROUND(H89/geg!$G$42,2)</f>
        <v>0</v>
      </c>
      <c r="O89" s="807">
        <f>ROUND(I89/geg!$H$42,2)</f>
        <v>0</v>
      </c>
      <c r="P89" s="807">
        <f>ROUND(J89/geg!$H$42,2)</f>
        <v>0</v>
      </c>
      <c r="Q89" s="807">
        <f>ROUND(K89/geg!$H$42,2)</f>
        <v>0</v>
      </c>
      <c r="R89" s="807">
        <f>ROUND(L89/geg!$H$42,2)</f>
        <v>0</v>
      </c>
      <c r="S89" s="98"/>
      <c r="T89" s="37"/>
    </row>
    <row r="90" spans="2:20" ht="12.75" customHeight="1" x14ac:dyDescent="0.2">
      <c r="B90" s="34"/>
      <c r="C90" s="91"/>
      <c r="D90" s="645" t="s">
        <v>57</v>
      </c>
      <c r="E90" s="92"/>
      <c r="F90" s="92"/>
      <c r="G90" s="92"/>
      <c r="H90" s="255">
        <v>0</v>
      </c>
      <c r="I90" s="255">
        <f t="shared" si="6"/>
        <v>0</v>
      </c>
      <c r="J90" s="255">
        <f t="shared" si="6"/>
        <v>0</v>
      </c>
      <c r="K90" s="255">
        <f t="shared" si="6"/>
        <v>0</v>
      </c>
      <c r="L90" s="255">
        <f t="shared" si="6"/>
        <v>0</v>
      </c>
      <c r="M90" s="219"/>
      <c r="N90" s="807">
        <f>ROUND(H90/geg!$G$42,2)</f>
        <v>0</v>
      </c>
      <c r="O90" s="807">
        <f>ROUND(I90/geg!$H$42,2)</f>
        <v>0</v>
      </c>
      <c r="P90" s="807">
        <f>ROUND(J90/geg!$H$42,2)</f>
        <v>0</v>
      </c>
      <c r="Q90" s="807">
        <f>ROUND(K90/geg!$H$42,2)</f>
        <v>0</v>
      </c>
      <c r="R90" s="807">
        <f>ROUND(L90/geg!$H$42,2)</f>
        <v>0</v>
      </c>
      <c r="S90" s="98"/>
      <c r="T90" s="37"/>
    </row>
    <row r="91" spans="2:20" ht="12.75" customHeight="1" x14ac:dyDescent="0.2">
      <c r="B91" s="34"/>
      <c r="C91" s="91"/>
      <c r="D91" s="645" t="s">
        <v>54</v>
      </c>
      <c r="E91" s="92"/>
      <c r="F91" s="92"/>
      <c r="G91" s="92"/>
      <c r="H91" s="255">
        <v>0</v>
      </c>
      <c r="I91" s="255">
        <f t="shared" si="6"/>
        <v>0</v>
      </c>
      <c r="J91" s="255">
        <f t="shared" si="6"/>
        <v>0</v>
      </c>
      <c r="K91" s="255">
        <f t="shared" si="6"/>
        <v>0</v>
      </c>
      <c r="L91" s="255">
        <f t="shared" si="6"/>
        <v>0</v>
      </c>
      <c r="M91" s="219"/>
      <c r="N91" s="807">
        <f>ROUND(H91/geg!$G$42,2)</f>
        <v>0</v>
      </c>
      <c r="O91" s="807">
        <f>ROUND(I91/geg!$H$42,2)</f>
        <v>0</v>
      </c>
      <c r="P91" s="807">
        <f>ROUND(J91/geg!$H$42,2)</f>
        <v>0</v>
      </c>
      <c r="Q91" s="807">
        <f>ROUND(K91/geg!$H$42,2)</f>
        <v>0</v>
      </c>
      <c r="R91" s="807">
        <f>ROUND(L91/geg!$H$42,2)</f>
        <v>0</v>
      </c>
      <c r="S91" s="98"/>
      <c r="T91" s="37"/>
    </row>
    <row r="92" spans="2:20" ht="12.75" customHeight="1" x14ac:dyDescent="0.2">
      <c r="B92" s="34"/>
      <c r="C92" s="91"/>
      <c r="D92" s="645" t="s">
        <v>55</v>
      </c>
      <c r="E92" s="92"/>
      <c r="F92" s="92"/>
      <c r="G92" s="92"/>
      <c r="H92" s="255">
        <v>0</v>
      </c>
      <c r="I92" s="255">
        <f t="shared" si="6"/>
        <v>0</v>
      </c>
      <c r="J92" s="255">
        <f t="shared" si="6"/>
        <v>0</v>
      </c>
      <c r="K92" s="255">
        <f t="shared" si="6"/>
        <v>0</v>
      </c>
      <c r="L92" s="255">
        <f t="shared" si="6"/>
        <v>0</v>
      </c>
      <c r="M92" s="219"/>
      <c r="N92" s="807">
        <f>ROUND(H92/geg!$G$42,2)</f>
        <v>0</v>
      </c>
      <c r="O92" s="807">
        <f>ROUND(I92/geg!$H$42,2)</f>
        <v>0</v>
      </c>
      <c r="P92" s="807">
        <f>ROUND(J92/geg!$H$42,2)</f>
        <v>0</v>
      </c>
      <c r="Q92" s="807">
        <f>ROUND(K92/geg!$H$42,2)</f>
        <v>0</v>
      </c>
      <c r="R92" s="807">
        <f>ROUND(L92/geg!$H$42,2)</f>
        <v>0</v>
      </c>
      <c r="S92" s="98"/>
      <c r="T92" s="37"/>
    </row>
    <row r="93" spans="2:20" s="19" customFormat="1" ht="12.75" customHeight="1" x14ac:dyDescent="0.2">
      <c r="B93" s="58"/>
      <c r="C93" s="105"/>
      <c r="D93" s="772" t="s">
        <v>58</v>
      </c>
      <c r="E93" s="116"/>
      <c r="F93" s="116"/>
      <c r="G93" s="116"/>
      <c r="H93" s="798">
        <f>SUM(H86:H90)-SUM(H91:H92)</f>
        <v>407692.09360000008</v>
      </c>
      <c r="I93" s="798">
        <f>SUM(I86:I90)-SUM(I91:I92)</f>
        <v>347388.76759999996</v>
      </c>
      <c r="J93" s="798">
        <f>SUM(J86:J90)-SUM(J91:J92)</f>
        <v>347388.76759999996</v>
      </c>
      <c r="K93" s="798">
        <f>SUM(K86:K90)-SUM(K91:K92)</f>
        <v>347388.76759999996</v>
      </c>
      <c r="L93" s="798">
        <f>SUM(L86:L90)-SUM(L91:L92)</f>
        <v>347388.76759999996</v>
      </c>
      <c r="M93" s="219"/>
      <c r="N93" s="800">
        <f>SUM(N86:N90)-SUM(N91:N92)</f>
        <v>6.68</v>
      </c>
      <c r="O93" s="800">
        <f>SUM(O86:O90)-SUM(O91:O92)</f>
        <v>5.69</v>
      </c>
      <c r="P93" s="800">
        <f>SUM(P86:P90)-SUM(P91:P92)</f>
        <v>5.69</v>
      </c>
      <c r="Q93" s="800">
        <f>SUM(Q86:Q90)-SUM(Q91:Q92)</f>
        <v>5.69</v>
      </c>
      <c r="R93" s="800">
        <f>SUM(R86:R90)-SUM(R91:R92)</f>
        <v>5.69</v>
      </c>
      <c r="S93" s="275"/>
      <c r="T93" s="178"/>
    </row>
    <row r="94" spans="2:20" s="19" customFormat="1" ht="12.75" customHeight="1" x14ac:dyDescent="0.2">
      <c r="B94" s="58"/>
      <c r="C94" s="318"/>
      <c r="D94" s="788"/>
      <c r="E94" s="325"/>
      <c r="F94" s="222"/>
      <c r="G94" s="222"/>
      <c r="H94" s="319"/>
      <c r="I94" s="319"/>
      <c r="J94" s="319"/>
      <c r="K94" s="319"/>
      <c r="L94" s="319"/>
      <c r="M94" s="282"/>
      <c r="N94" s="320"/>
      <c r="O94" s="320"/>
      <c r="P94" s="320"/>
      <c r="Q94" s="320"/>
      <c r="R94" s="320"/>
      <c r="S94" s="321"/>
      <c r="T94" s="178"/>
    </row>
    <row r="95" spans="2:20" s="19" customFormat="1" ht="12.75" customHeight="1" x14ac:dyDescent="0.2">
      <c r="B95" s="58"/>
      <c r="C95" s="59"/>
      <c r="D95" s="785"/>
      <c r="E95" s="59"/>
      <c r="F95" s="59"/>
      <c r="G95" s="59"/>
      <c r="H95" s="253"/>
      <c r="I95" s="253"/>
      <c r="J95" s="253"/>
      <c r="K95" s="253"/>
      <c r="L95" s="253"/>
      <c r="M95" s="247"/>
      <c r="N95" s="252"/>
      <c r="O95" s="252"/>
      <c r="P95" s="252"/>
      <c r="Q95" s="252"/>
      <c r="R95" s="252"/>
      <c r="S95" s="59"/>
      <c r="T95" s="178"/>
    </row>
    <row r="96" spans="2:20" s="19" customFormat="1" ht="12.75" customHeight="1" x14ac:dyDescent="0.2">
      <c r="B96" s="58"/>
      <c r="C96" s="59"/>
      <c r="D96" s="785"/>
      <c r="E96" s="59"/>
      <c r="F96" s="59"/>
      <c r="G96" s="59"/>
      <c r="H96" s="253"/>
      <c r="I96" s="253"/>
      <c r="J96" s="253"/>
      <c r="K96" s="253"/>
      <c r="L96" s="253"/>
      <c r="M96" s="247"/>
      <c r="N96" s="252"/>
      <c r="O96" s="252"/>
      <c r="P96" s="252"/>
      <c r="Q96" s="252"/>
      <c r="R96" s="252"/>
      <c r="S96" s="59"/>
      <c r="T96" s="178"/>
    </row>
    <row r="97" spans="2:20" s="19" customFormat="1" ht="12.75" customHeight="1" x14ac:dyDescent="0.2">
      <c r="B97" s="58"/>
      <c r="C97" s="322"/>
      <c r="D97" s="786"/>
      <c r="E97" s="217"/>
      <c r="F97" s="217"/>
      <c r="G97" s="217"/>
      <c r="H97" s="323"/>
      <c r="I97" s="323"/>
      <c r="J97" s="323"/>
      <c r="K97" s="323"/>
      <c r="L97" s="323"/>
      <c r="M97" s="258"/>
      <c r="N97" s="316"/>
      <c r="O97" s="316"/>
      <c r="P97" s="316"/>
      <c r="Q97" s="316"/>
      <c r="R97" s="316"/>
      <c r="S97" s="324"/>
      <c r="T97" s="178"/>
    </row>
    <row r="98" spans="2:20" s="19" customFormat="1" ht="12.75" customHeight="1" x14ac:dyDescent="0.2">
      <c r="B98" s="58"/>
      <c r="C98" s="105"/>
      <c r="D98" s="743" t="s">
        <v>381</v>
      </c>
      <c r="E98" s="135"/>
      <c r="F98" s="135"/>
      <c r="G98" s="116"/>
      <c r="H98" s="798">
        <f>fiebouw!H49</f>
        <v>61000</v>
      </c>
      <c r="I98" s="798">
        <f>fiebouw!L49</f>
        <v>61000</v>
      </c>
      <c r="J98" s="798">
        <f>fiebouw!P49</f>
        <v>61000</v>
      </c>
      <c r="K98" s="798">
        <f>fiebouw!T49</f>
        <v>61000</v>
      </c>
      <c r="L98" s="798">
        <f>fiebouw!X49</f>
        <v>61000</v>
      </c>
      <c r="M98" s="219"/>
      <c r="N98" s="799">
        <f>fiebouw!G49</f>
        <v>1</v>
      </c>
      <c r="O98" s="799">
        <f>fiebouw!K49</f>
        <v>1</v>
      </c>
      <c r="P98" s="799">
        <f>fiebouw!O49</f>
        <v>1</v>
      </c>
      <c r="Q98" s="799">
        <f>fiebouw!S49</f>
        <v>1</v>
      </c>
      <c r="R98" s="799">
        <f>fiebouw!W49</f>
        <v>1</v>
      </c>
      <c r="S98" s="275"/>
      <c r="T98" s="178"/>
    </row>
    <row r="99" spans="2:20" s="19" customFormat="1" ht="12.75" customHeight="1" x14ac:dyDescent="0.2">
      <c r="B99" s="58"/>
      <c r="C99" s="318"/>
      <c r="D99" s="788"/>
      <c r="E99" s="325"/>
      <c r="F99" s="222"/>
      <c r="G99" s="222"/>
      <c r="H99" s="319"/>
      <c r="I99" s="319"/>
      <c r="J99" s="319"/>
      <c r="K99" s="319"/>
      <c r="L99" s="319"/>
      <c r="M99" s="282"/>
      <c r="N99" s="320"/>
      <c r="O99" s="320"/>
      <c r="P99" s="320"/>
      <c r="Q99" s="320"/>
      <c r="R99" s="320"/>
      <c r="S99" s="321"/>
      <c r="T99" s="178"/>
    </row>
    <row r="100" spans="2:20" s="19" customFormat="1" ht="12.75" customHeight="1" x14ac:dyDescent="0.2">
      <c r="B100" s="58"/>
      <c r="C100" s="59"/>
      <c r="D100" s="789"/>
      <c r="E100" s="254"/>
      <c r="F100" s="59"/>
      <c r="G100" s="59"/>
      <c r="H100" s="253"/>
      <c r="I100" s="253"/>
      <c r="J100" s="253"/>
      <c r="K100" s="253"/>
      <c r="L100" s="253"/>
      <c r="M100" s="247"/>
      <c r="N100" s="252"/>
      <c r="O100" s="252"/>
      <c r="P100" s="252"/>
      <c r="Q100" s="252"/>
      <c r="R100" s="252"/>
      <c r="S100" s="59"/>
      <c r="T100" s="178"/>
    </row>
    <row r="101" spans="2:20" s="19" customFormat="1" ht="12.75" customHeight="1" x14ac:dyDescent="0.2">
      <c r="B101" s="58"/>
      <c r="C101" s="59"/>
      <c r="D101" s="789"/>
      <c r="E101" s="254"/>
      <c r="F101" s="59"/>
      <c r="G101" s="59"/>
      <c r="H101" s="253"/>
      <c r="I101" s="253"/>
      <c r="J101" s="253"/>
      <c r="K101" s="253"/>
      <c r="L101" s="253"/>
      <c r="M101" s="247"/>
      <c r="N101" s="252"/>
      <c r="O101" s="252"/>
      <c r="P101" s="252"/>
      <c r="Q101" s="252"/>
      <c r="R101" s="252"/>
      <c r="S101" s="59"/>
      <c r="T101" s="178"/>
    </row>
    <row r="102" spans="2:20" s="19" customFormat="1" ht="12.75" customHeight="1" x14ac:dyDescent="0.2">
      <c r="B102" s="58"/>
      <c r="C102" s="322"/>
      <c r="D102" s="790"/>
      <c r="E102" s="326"/>
      <c r="F102" s="217"/>
      <c r="G102" s="217"/>
      <c r="H102" s="323"/>
      <c r="I102" s="323"/>
      <c r="J102" s="323"/>
      <c r="K102" s="323"/>
      <c r="L102" s="323"/>
      <c r="M102" s="258"/>
      <c r="N102" s="316"/>
      <c r="O102" s="316"/>
      <c r="P102" s="316"/>
      <c r="Q102" s="316"/>
      <c r="R102" s="316"/>
      <c r="S102" s="324"/>
      <c r="T102" s="178"/>
    </row>
    <row r="103" spans="2:20" ht="12.75" customHeight="1" x14ac:dyDescent="0.2">
      <c r="B103" s="34"/>
      <c r="C103" s="91"/>
      <c r="D103" s="797" t="s">
        <v>14</v>
      </c>
      <c r="E103" s="106"/>
      <c r="F103" s="92"/>
      <c r="G103" s="92"/>
      <c r="H103" s="798">
        <f>H93-H98</f>
        <v>346692.09360000008</v>
      </c>
      <c r="I103" s="798">
        <f>I93-I98</f>
        <v>286388.76759999996</v>
      </c>
      <c r="J103" s="798">
        <f>J93-J98</f>
        <v>286388.76759999996</v>
      </c>
      <c r="K103" s="798">
        <f>K93-K98</f>
        <v>286388.76759999996</v>
      </c>
      <c r="L103" s="798">
        <f>L93-L98</f>
        <v>286388.76759999996</v>
      </c>
      <c r="M103" s="219"/>
      <c r="N103" s="799">
        <f>N93-N98</f>
        <v>5.68</v>
      </c>
      <c r="O103" s="799">
        <f>O93-O98</f>
        <v>4.6900000000000004</v>
      </c>
      <c r="P103" s="799">
        <f>P93-P98</f>
        <v>4.6900000000000004</v>
      </c>
      <c r="Q103" s="799">
        <f>Q93-Q98</f>
        <v>4.6900000000000004</v>
      </c>
      <c r="R103" s="799">
        <f>R93-R98</f>
        <v>4.6900000000000004</v>
      </c>
      <c r="S103" s="98"/>
      <c r="T103" s="37"/>
    </row>
    <row r="104" spans="2:20" ht="12.75" customHeight="1" x14ac:dyDescent="0.2">
      <c r="B104" s="34"/>
      <c r="C104" s="124"/>
      <c r="D104" s="792"/>
      <c r="E104" s="143"/>
      <c r="F104" s="125"/>
      <c r="G104" s="125"/>
      <c r="H104" s="223"/>
      <c r="I104" s="280"/>
      <c r="J104" s="281"/>
      <c r="K104" s="281"/>
      <c r="L104" s="281"/>
      <c r="M104" s="282"/>
      <c r="N104" s="954"/>
      <c r="O104" s="125"/>
      <c r="P104" s="125"/>
      <c r="Q104" s="125"/>
      <c r="R104" s="125"/>
      <c r="S104" s="126"/>
      <c r="T104" s="37"/>
    </row>
    <row r="105" spans="2:20" ht="12.75" customHeight="1" x14ac:dyDescent="0.2">
      <c r="B105" s="34"/>
      <c r="C105" s="35"/>
      <c r="D105" s="793"/>
      <c r="E105" s="55"/>
      <c r="F105" s="35"/>
      <c r="G105" s="35"/>
      <c r="H105" s="62"/>
      <c r="I105" s="244"/>
      <c r="J105" s="60"/>
      <c r="K105" s="60"/>
      <c r="L105" s="60"/>
      <c r="M105" s="247"/>
      <c r="N105" s="248"/>
      <c r="O105" s="35"/>
      <c r="P105" s="35"/>
      <c r="Q105" s="35"/>
      <c r="R105" s="35"/>
      <c r="S105" s="35"/>
      <c r="T105" s="37"/>
    </row>
    <row r="106" spans="2:20" ht="12.75" customHeight="1" x14ac:dyDescent="0.25">
      <c r="B106" s="68"/>
      <c r="C106" s="69"/>
      <c r="D106" s="794"/>
      <c r="E106" s="69"/>
      <c r="F106" s="69"/>
      <c r="G106" s="69"/>
      <c r="H106" s="189"/>
      <c r="I106" s="189"/>
      <c r="J106" s="189"/>
      <c r="K106" s="189"/>
      <c r="L106" s="189"/>
      <c r="M106" s="69"/>
      <c r="N106" s="69"/>
      <c r="O106" s="69"/>
      <c r="P106" s="69"/>
      <c r="Q106" s="69"/>
      <c r="R106" s="69"/>
      <c r="S106" s="72" t="s">
        <v>388</v>
      </c>
      <c r="T106" s="85"/>
    </row>
    <row r="107" spans="2:20" ht="12.75" customHeight="1" x14ac:dyDescent="0.2">
      <c r="D107" s="795"/>
      <c r="E107" s="168"/>
    </row>
    <row r="108" spans="2:20" ht="12.75" customHeight="1" x14ac:dyDescent="0.2">
      <c r="D108" s="795"/>
      <c r="E108" s="168"/>
    </row>
    <row r="109" spans="2:20" ht="12.75" customHeight="1" x14ac:dyDescent="0.2">
      <c r="D109" s="795"/>
      <c r="E109" s="168"/>
    </row>
    <row r="110" spans="2:20" ht="12.75" customHeight="1" x14ac:dyDescent="0.2">
      <c r="D110" s="795"/>
      <c r="E110" s="168"/>
    </row>
    <row r="111" spans="2:20" ht="12.75" customHeight="1" x14ac:dyDescent="0.2">
      <c r="D111" s="796"/>
      <c r="E111" s="240"/>
    </row>
    <row r="112" spans="2:20" ht="12.75" customHeight="1" x14ac:dyDescent="0.2">
      <c r="D112" s="809" t="s">
        <v>334</v>
      </c>
      <c r="E112" s="809"/>
      <c r="F112" s="749"/>
      <c r="G112" s="749"/>
      <c r="H112" s="810"/>
      <c r="I112" s="811">
        <f>begr!G8</f>
        <v>2017</v>
      </c>
      <c r="J112" s="811">
        <f>begr!H8</f>
        <v>2018</v>
      </c>
      <c r="K112" s="811">
        <f>begr!I8</f>
        <v>2019</v>
      </c>
      <c r="L112" s="811">
        <f>begr!J8</f>
        <v>2020</v>
      </c>
      <c r="M112" s="749"/>
      <c r="N112" s="749"/>
    </row>
    <row r="113" spans="4:14" ht="12.75" customHeight="1" x14ac:dyDescent="0.2">
      <c r="D113" s="749"/>
      <c r="E113" s="749"/>
      <c r="F113" s="749"/>
      <c r="G113" s="749"/>
      <c r="H113" s="810"/>
      <c r="I113" s="810"/>
      <c r="J113" s="810"/>
      <c r="K113" s="810"/>
      <c r="L113" s="810"/>
      <c r="M113" s="749"/>
      <c r="N113" s="749"/>
    </row>
    <row r="114" spans="4:14" ht="12.75" customHeight="1" x14ac:dyDescent="0.2">
      <c r="D114" s="749" t="s">
        <v>104</v>
      </c>
      <c r="E114" s="749"/>
      <c r="F114" s="749"/>
      <c r="G114" s="749"/>
      <c r="H114" s="810"/>
      <c r="I114" s="812">
        <f>7/12*H56+5/12*I56</f>
        <v>382565.70776666672</v>
      </c>
      <c r="J114" s="812">
        <f>7/12*I56+5/12*J56</f>
        <v>347388.76759999996</v>
      </c>
      <c r="K114" s="812">
        <f>7/12*J56+5/12*K56</f>
        <v>347388.76759999996</v>
      </c>
      <c r="L114" s="812">
        <f>7/12*K56+5/12*L56</f>
        <v>347388.76759999996</v>
      </c>
      <c r="M114" s="749"/>
      <c r="N114" s="749"/>
    </row>
    <row r="115" spans="4:14" ht="12.75" customHeight="1" x14ac:dyDescent="0.2">
      <c r="D115" s="749" t="s">
        <v>356</v>
      </c>
      <c r="E115" s="749"/>
      <c r="F115" s="749"/>
      <c r="G115" s="749"/>
      <c r="H115" s="810"/>
      <c r="I115" s="812">
        <f>7/12*H68+5/12*I68</f>
        <v>0</v>
      </c>
      <c r="J115" s="812">
        <f>7/12*I68+5/12*J68</f>
        <v>0</v>
      </c>
      <c r="K115" s="812">
        <f>7/12*J68+5/12*K68</f>
        <v>0</v>
      </c>
      <c r="L115" s="812">
        <f>7/12*K68+5/12*L68</f>
        <v>0</v>
      </c>
      <c r="M115" s="749"/>
      <c r="N115" s="749"/>
    </row>
    <row r="116" spans="4:14" ht="12.75" customHeight="1" x14ac:dyDescent="0.2">
      <c r="D116" s="749" t="s">
        <v>358</v>
      </c>
      <c r="E116" s="749"/>
      <c r="F116" s="749"/>
      <c r="G116" s="749"/>
      <c r="H116" s="810"/>
      <c r="I116" s="812">
        <f t="shared" ref="I116:L118" si="7">7/12*H74+5/12*I74</f>
        <v>0</v>
      </c>
      <c r="J116" s="812">
        <f t="shared" si="7"/>
        <v>0</v>
      </c>
      <c r="K116" s="812">
        <f t="shared" si="7"/>
        <v>0</v>
      </c>
      <c r="L116" s="812">
        <f t="shared" si="7"/>
        <v>0</v>
      </c>
      <c r="M116" s="749"/>
      <c r="N116" s="749"/>
    </row>
    <row r="117" spans="4:14" ht="12.75" customHeight="1" x14ac:dyDescent="0.2">
      <c r="D117" s="749" t="s">
        <v>72</v>
      </c>
      <c r="E117" s="749"/>
      <c r="F117" s="749"/>
      <c r="G117" s="749"/>
      <c r="H117" s="810"/>
      <c r="I117" s="812">
        <f t="shared" si="7"/>
        <v>0</v>
      </c>
      <c r="J117" s="812">
        <f t="shared" si="7"/>
        <v>0</v>
      </c>
      <c r="K117" s="812">
        <f t="shared" si="7"/>
        <v>0</v>
      </c>
      <c r="L117" s="812">
        <f t="shared" si="7"/>
        <v>0</v>
      </c>
      <c r="M117" s="749"/>
      <c r="N117" s="749"/>
    </row>
    <row r="118" spans="4:14" ht="12.75" customHeight="1" x14ac:dyDescent="0.2">
      <c r="D118" s="749" t="s">
        <v>73</v>
      </c>
      <c r="E118" s="749"/>
      <c r="F118" s="749"/>
      <c r="G118" s="749"/>
      <c r="H118" s="810"/>
      <c r="I118" s="812">
        <f t="shared" si="7"/>
        <v>0</v>
      </c>
      <c r="J118" s="812">
        <f t="shared" si="7"/>
        <v>0</v>
      </c>
      <c r="K118" s="812">
        <f t="shared" si="7"/>
        <v>0</v>
      </c>
      <c r="L118" s="812">
        <f t="shared" si="7"/>
        <v>0</v>
      </c>
      <c r="M118" s="749"/>
      <c r="N118" s="749"/>
    </row>
    <row r="119" spans="4:14" ht="12.75" customHeight="1" x14ac:dyDescent="0.2">
      <c r="D119" s="749" t="s">
        <v>235</v>
      </c>
      <c r="E119" s="749"/>
      <c r="F119" s="749"/>
      <c r="G119" s="749"/>
      <c r="H119" s="810"/>
      <c r="I119" s="812">
        <f>7/12*H82+5/12*I82-I116</f>
        <v>0</v>
      </c>
      <c r="J119" s="812">
        <f>7/12*I82+5/12*J82-J116</f>
        <v>0</v>
      </c>
      <c r="K119" s="812">
        <f>7/12*J82+5/12*K82-K116</f>
        <v>0</v>
      </c>
      <c r="L119" s="812">
        <f>7/12*K82+5/12*L82-L116</f>
        <v>0</v>
      </c>
      <c r="M119" s="749"/>
      <c r="N119" s="749"/>
    </row>
    <row r="120" spans="4:14" ht="12.75" customHeight="1" x14ac:dyDescent="0.2">
      <c r="D120" s="749" t="s">
        <v>339</v>
      </c>
      <c r="E120" s="749"/>
      <c r="F120" s="749"/>
      <c r="G120" s="749"/>
      <c r="H120" s="810"/>
      <c r="I120" s="812">
        <f>7/12*H53+5/12*I53</f>
        <v>0</v>
      </c>
      <c r="J120" s="812">
        <f>7/12*I53+5/12*J53</f>
        <v>0</v>
      </c>
      <c r="K120" s="812">
        <f>7/12*J53+5/12*K53</f>
        <v>0</v>
      </c>
      <c r="L120" s="812">
        <f>7/12*K53+5/12*L53</f>
        <v>0</v>
      </c>
      <c r="M120" s="749"/>
      <c r="N120" s="749"/>
    </row>
    <row r="121" spans="4:14" ht="12.75" customHeight="1" x14ac:dyDescent="0.2">
      <c r="D121" s="749" t="s">
        <v>335</v>
      </c>
      <c r="E121" s="749"/>
      <c r="F121" s="749"/>
      <c r="G121" s="749"/>
      <c r="H121" s="810"/>
      <c r="I121" s="812">
        <f>7/12*H98+5/12*I98</f>
        <v>61000</v>
      </c>
      <c r="J121" s="812">
        <f>7/12*I98+5/12*J98</f>
        <v>61000</v>
      </c>
      <c r="K121" s="812">
        <f>7/12*J98+5/12*K98</f>
        <v>61000</v>
      </c>
      <c r="L121" s="812">
        <f>7/12*K98+5/12*L98</f>
        <v>61000</v>
      </c>
      <c r="M121" s="749"/>
      <c r="N121" s="749"/>
    </row>
    <row r="122" spans="4:14" ht="12.75" customHeight="1" x14ac:dyDescent="0.2">
      <c r="D122" s="749" t="s">
        <v>492</v>
      </c>
      <c r="E122" s="749"/>
      <c r="F122" s="749"/>
      <c r="G122" s="749"/>
      <c r="H122" s="810"/>
      <c r="I122" s="812">
        <f>7/12*H35+5/12*I35</f>
        <v>0</v>
      </c>
      <c r="J122" s="812">
        <f>7/12*I35+5/12*J35</f>
        <v>0</v>
      </c>
      <c r="K122" s="812">
        <f>7/12*J35+5/12*K35</f>
        <v>0</v>
      </c>
      <c r="L122" s="812">
        <f>7/12*K35+5/12*L35</f>
        <v>0</v>
      </c>
      <c r="M122" s="749"/>
      <c r="N122" s="749"/>
    </row>
    <row r="123" spans="4:14" ht="12.75" customHeight="1" x14ac:dyDescent="0.2">
      <c r="D123" s="749" t="s">
        <v>281</v>
      </c>
      <c r="E123" s="749"/>
      <c r="F123" s="749"/>
      <c r="G123" s="749"/>
      <c r="H123" s="810"/>
      <c r="I123" s="813">
        <f>7/12*N93+5/12*O93</f>
        <v>6.2675000000000001</v>
      </c>
      <c r="J123" s="813">
        <f>7/12*O93+5/12*P93</f>
        <v>5.6900000000000013</v>
      </c>
      <c r="K123" s="813">
        <f>7/12*P93+5/12*Q93</f>
        <v>5.6900000000000013</v>
      </c>
      <c r="L123" s="813">
        <f>7/12*Q93+5/12*R93</f>
        <v>5.6900000000000013</v>
      </c>
      <c r="M123" s="749"/>
      <c r="N123" s="749"/>
    </row>
    <row r="124" spans="4:14" ht="12.75" customHeight="1" x14ac:dyDescent="0.2">
      <c r="D124" s="749" t="s">
        <v>282</v>
      </c>
      <c r="E124" s="749"/>
      <c r="F124" s="749"/>
      <c r="G124" s="749"/>
      <c r="H124" s="810"/>
      <c r="I124" s="813">
        <f>7/12*N98+5/12*O98</f>
        <v>1</v>
      </c>
      <c r="J124" s="813">
        <f>7/12*O98+5/12*P98</f>
        <v>1</v>
      </c>
      <c r="K124" s="813">
        <f>7/12*P98+5/12*Q98</f>
        <v>1</v>
      </c>
      <c r="L124" s="813">
        <f>7/12*Q98+5/12*R98</f>
        <v>1</v>
      </c>
      <c r="M124" s="749"/>
      <c r="N124" s="749"/>
    </row>
    <row r="125" spans="4:14" ht="12.75" customHeight="1" x14ac:dyDescent="0.2">
      <c r="D125" s="749"/>
      <c r="E125" s="749"/>
      <c r="F125" s="749"/>
      <c r="G125" s="749"/>
      <c r="H125" s="810"/>
      <c r="I125" s="810"/>
      <c r="J125" s="810"/>
      <c r="K125" s="810"/>
      <c r="L125" s="810"/>
      <c r="M125" s="749"/>
      <c r="N125" s="749"/>
    </row>
    <row r="126" spans="4:14" ht="12.75" customHeight="1" x14ac:dyDescent="0.2">
      <c r="D126" s="749"/>
      <c r="E126" s="749"/>
      <c r="F126" s="749"/>
      <c r="G126" s="749"/>
      <c r="H126" s="810"/>
      <c r="I126" s="810"/>
      <c r="J126" s="810"/>
      <c r="K126" s="810"/>
      <c r="L126" s="810"/>
      <c r="M126" s="749"/>
      <c r="N126" s="749"/>
    </row>
  </sheetData>
  <sheetProtection algorithmName="SHA-512" hashValue="UsiN8npxSC09Df1mWMYXtqgpFqW20tLpRThXtvzwOeOwC3JIOhsTHQhTFgEq3gqzoVch4mW8NVuR2xJ+L9Q96g==" saltValue="sv8vB3L/Ldcq7Avq4Q38pA==" spinCount="100000" sheet="1" objects="1" scenarios="1"/>
  <mergeCells count="2">
    <mergeCell ref="H8:L8"/>
    <mergeCell ref="N8:R8"/>
  </mergeCells>
  <phoneticPr fontId="0" type="noConversion"/>
  <pageMargins left="0.78740157480314965" right="0.78740157480314965" top="0.98425196850393704" bottom="0.98425196850393704" header="0.51181102362204722" footer="0.51181102362204722"/>
  <pageSetup paperSize="9" scale="53" orientation="portrait" r:id="rId1"/>
  <headerFooter alignWithMargins="0">
    <oddHeader>&amp;L&amp;"Arial,Vet"&amp;F&amp;R&amp;"Arial,Vet"&amp;A</oddHeader>
    <oddFooter>&amp;L&amp;"Arial,Vet"PO-Raad&amp;C&amp;"Arial,Vet"&amp;D&amp;R&amp;"Arial,Vet"pagina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I210"/>
  <sheetViews>
    <sheetView zoomScale="85" zoomScaleNormal="85" workbookViewId="0">
      <pane ySplit="9" topLeftCell="A10" activePane="bottomLeft" state="frozen"/>
      <selection activeCell="B2" sqref="B2"/>
      <selection pane="bottomLeft" activeCell="B2" sqref="B2"/>
    </sheetView>
  </sheetViews>
  <sheetFormatPr defaultColWidth="9.140625" defaultRowHeight="12.75" customHeight="1" x14ac:dyDescent="0.2"/>
  <cols>
    <col min="1" max="1" width="3.7109375" style="5" customWidth="1"/>
    <col min="2" max="3" width="2.7109375" style="5" customWidth="1"/>
    <col min="4" max="5" width="30.7109375" style="22" customWidth="1"/>
    <col min="6" max="6" width="10.7109375" style="5" customWidth="1"/>
    <col min="7" max="10" width="10.7109375" style="22" customWidth="1"/>
    <col min="11" max="11" width="1" style="5" customWidth="1"/>
    <col min="12" max="14" width="10.7109375" style="22" hidden="1" customWidth="1"/>
    <col min="15" max="15" width="12.7109375" style="22" customWidth="1"/>
    <col min="16" max="16" width="1.7109375" style="5" customWidth="1"/>
    <col min="17" max="17" width="12.7109375" style="22" customWidth="1"/>
    <col min="18" max="18" width="12.7109375" style="5" customWidth="1"/>
    <col min="19" max="22" width="2.7109375" style="5" customWidth="1"/>
    <col min="23" max="24" width="13.85546875" style="5" bestFit="1" customWidth="1"/>
    <col min="25" max="16384" width="9.140625" style="5"/>
  </cols>
  <sheetData>
    <row r="2" spans="2:35" ht="12.75" customHeight="1" x14ac:dyDescent="0.2">
      <c r="B2" s="30"/>
      <c r="C2" s="31"/>
      <c r="D2" s="76"/>
      <c r="E2" s="76"/>
      <c r="F2" s="31"/>
      <c r="G2" s="76"/>
      <c r="H2" s="76"/>
      <c r="I2" s="76"/>
      <c r="J2" s="76"/>
      <c r="K2" s="31"/>
      <c r="L2" s="76"/>
      <c r="M2" s="76"/>
      <c r="N2" s="76"/>
      <c r="O2" s="76"/>
      <c r="P2" s="31"/>
      <c r="Q2" s="76"/>
      <c r="R2" s="31"/>
      <c r="S2" s="31"/>
      <c r="T2" s="33"/>
    </row>
    <row r="3" spans="2:35" ht="12.75" customHeight="1" x14ac:dyDescent="0.2">
      <c r="B3" s="34"/>
      <c r="C3" s="35"/>
      <c r="D3" s="62"/>
      <c r="E3" s="62"/>
      <c r="F3" s="35"/>
      <c r="G3" s="62"/>
      <c r="H3" s="62"/>
      <c r="I3" s="62"/>
      <c r="J3" s="62"/>
      <c r="K3" s="35"/>
      <c r="L3" s="62"/>
      <c r="M3" s="62"/>
      <c r="N3" s="62"/>
      <c r="O3" s="62"/>
      <c r="P3" s="35"/>
      <c r="Q3" s="62"/>
      <c r="R3" s="35"/>
      <c r="S3" s="35"/>
      <c r="T3" s="37"/>
    </row>
    <row r="4" spans="2:35" s="436" customFormat="1" ht="18" customHeight="1" x14ac:dyDescent="0.3">
      <c r="B4" s="208"/>
      <c r="C4" s="151" t="s">
        <v>276</v>
      </c>
      <c r="D4" s="213"/>
      <c r="E4" s="214" t="str">
        <f>pers!H9</f>
        <v>2016/17</v>
      </c>
      <c r="F4" s="151"/>
      <c r="G4" s="213"/>
      <c r="H4" s="213"/>
      <c r="I4" s="213"/>
      <c r="J4" s="213"/>
      <c r="K4" s="151"/>
      <c r="L4" s="151"/>
      <c r="M4" s="213"/>
      <c r="N4" s="213"/>
      <c r="O4" s="213"/>
      <c r="P4" s="151"/>
      <c r="Q4" s="213"/>
      <c r="R4" s="151"/>
      <c r="S4" s="151"/>
      <c r="T4" s="209"/>
      <c r="AI4" s="165"/>
    </row>
    <row r="5" spans="2:35" s="231" customFormat="1" ht="18" customHeight="1" x14ac:dyDescent="0.3">
      <c r="B5" s="172"/>
      <c r="C5" s="173" t="str">
        <f>geg!G10</f>
        <v>Basisschool</v>
      </c>
      <c r="D5" s="328"/>
      <c r="E5" s="328"/>
      <c r="F5" s="328"/>
      <c r="G5" s="328"/>
      <c r="H5" s="328"/>
      <c r="I5" s="328"/>
      <c r="J5" s="328"/>
      <c r="K5" s="173"/>
      <c r="L5" s="173"/>
      <c r="M5" s="328"/>
      <c r="N5" s="328"/>
      <c r="O5" s="328"/>
      <c r="P5" s="173"/>
      <c r="Q5" s="328"/>
      <c r="R5" s="173"/>
      <c r="S5" s="173"/>
      <c r="T5" s="174"/>
      <c r="AI5" s="5"/>
    </row>
    <row r="6" spans="2:35" ht="12.75" customHeight="1" x14ac:dyDescent="0.2">
      <c r="B6" s="34"/>
      <c r="C6" s="35"/>
      <c r="D6" s="62"/>
      <c r="E6" s="62"/>
      <c r="F6" s="35"/>
      <c r="G6" s="62"/>
      <c r="H6" s="62"/>
      <c r="I6" s="62"/>
      <c r="J6" s="62"/>
      <c r="K6" s="35"/>
      <c r="L6" s="62"/>
      <c r="M6" s="62"/>
      <c r="N6" s="62"/>
      <c r="O6" s="62"/>
      <c r="P6" s="35"/>
      <c r="Q6" s="62"/>
      <c r="R6" s="35"/>
      <c r="S6" s="35"/>
      <c r="T6" s="37"/>
    </row>
    <row r="7" spans="2:35" s="165" customFormat="1" ht="12.75" customHeight="1" x14ac:dyDescent="0.2">
      <c r="B7" s="210"/>
      <c r="C7" s="153"/>
      <c r="D7" s="824" t="s">
        <v>248</v>
      </c>
      <c r="E7" s="824" t="s">
        <v>371</v>
      </c>
      <c r="F7" s="825" t="s">
        <v>251</v>
      </c>
      <c r="G7" s="825" t="s">
        <v>249</v>
      </c>
      <c r="H7" s="825" t="s">
        <v>188</v>
      </c>
      <c r="I7" s="825" t="s">
        <v>246</v>
      </c>
      <c r="J7" s="825" t="s">
        <v>247</v>
      </c>
      <c r="K7" s="825"/>
      <c r="L7" s="825" t="s">
        <v>246</v>
      </c>
      <c r="M7" s="825" t="s">
        <v>247</v>
      </c>
      <c r="N7" s="825" t="s">
        <v>262</v>
      </c>
      <c r="O7" s="825" t="s">
        <v>188</v>
      </c>
      <c r="P7" s="825"/>
      <c r="Q7" s="825" t="s">
        <v>261</v>
      </c>
      <c r="R7" s="825" t="s">
        <v>261</v>
      </c>
      <c r="S7" s="153"/>
      <c r="T7" s="212"/>
    </row>
    <row r="8" spans="2:35" s="165" customFormat="1" ht="12.75" customHeight="1" x14ac:dyDescent="0.2">
      <c r="B8" s="210"/>
      <c r="C8" s="153"/>
      <c r="D8" s="825"/>
      <c r="E8" s="825"/>
      <c r="F8" s="825"/>
      <c r="G8" s="825"/>
      <c r="H8" s="825"/>
      <c r="I8" s="1000" t="s">
        <v>263</v>
      </c>
      <c r="J8" s="1000"/>
      <c r="K8" s="825"/>
      <c r="L8" s="826">
        <f>+tab!E5</f>
        <v>42583</v>
      </c>
      <c r="M8" s="826">
        <f>+tab!E6</f>
        <v>42947</v>
      </c>
      <c r="N8" s="959">
        <f>M8-L8+1</f>
        <v>365</v>
      </c>
      <c r="O8" s="825" t="s">
        <v>250</v>
      </c>
      <c r="P8" s="825"/>
      <c r="Q8" s="825" t="s">
        <v>241</v>
      </c>
      <c r="R8" s="825" t="s">
        <v>255</v>
      </c>
      <c r="S8" s="153"/>
      <c r="T8" s="212"/>
    </row>
    <row r="9" spans="2:35" ht="12.75" customHeight="1" x14ac:dyDescent="0.2">
      <c r="B9" s="34"/>
      <c r="C9" s="35"/>
      <c r="D9" s="62"/>
      <c r="E9" s="62"/>
      <c r="F9" s="35"/>
      <c r="G9" s="62"/>
      <c r="H9" s="62"/>
      <c r="I9" s="62"/>
      <c r="J9" s="62"/>
      <c r="K9" s="35"/>
      <c r="L9" s="62"/>
      <c r="M9" s="62"/>
      <c r="N9" s="62"/>
      <c r="O9" s="62"/>
      <c r="P9" s="35"/>
      <c r="Q9" s="62"/>
      <c r="R9" s="35"/>
      <c r="S9" s="35"/>
      <c r="T9" s="37"/>
    </row>
    <row r="10" spans="2:35" ht="12.75" customHeight="1" x14ac:dyDescent="0.2">
      <c r="B10" s="34"/>
      <c r="C10" s="86"/>
      <c r="D10" s="144"/>
      <c r="E10" s="144"/>
      <c r="F10" s="87"/>
      <c r="G10" s="144"/>
      <c r="H10" s="144"/>
      <c r="I10" s="144"/>
      <c r="J10" s="144"/>
      <c r="K10" s="87"/>
      <c r="L10" s="144"/>
      <c r="M10" s="144"/>
      <c r="N10" s="144"/>
      <c r="O10" s="144"/>
      <c r="P10" s="87"/>
      <c r="Q10" s="144"/>
      <c r="R10" s="87"/>
      <c r="S10" s="128"/>
      <c r="T10" s="37"/>
    </row>
    <row r="11" spans="2:35" ht="12.75" customHeight="1" x14ac:dyDescent="0.2">
      <c r="B11" s="34"/>
      <c r="C11" s="91"/>
      <c r="D11" s="192"/>
      <c r="E11" s="206"/>
      <c r="F11" s="155"/>
      <c r="G11" s="164" t="s">
        <v>202</v>
      </c>
      <c r="H11" s="336">
        <v>1</v>
      </c>
      <c r="I11" s="337"/>
      <c r="J11" s="337"/>
      <c r="K11" s="115"/>
      <c r="L11" s="958">
        <f t="shared" ref="L11:L42" si="0">IF(I11=0,$L$8,I11)</f>
        <v>42583</v>
      </c>
      <c r="M11" s="958">
        <f t="shared" ref="M11:M42" si="1">IF(J11=0,$M$8,J11)</f>
        <v>42947</v>
      </c>
      <c r="N11" s="928">
        <f t="shared" ref="N11:N71" si="2">M11-L11+1</f>
        <v>365</v>
      </c>
      <c r="O11" s="823">
        <f t="shared" ref="O11:O42" si="3">H11*N11/$N$8</f>
        <v>1</v>
      </c>
      <c r="P11" s="115"/>
      <c r="Q11" s="821">
        <f>IF(O11=0,"",(VLOOKUP(G11,FPE_LA,2,FALSE))*O11)</f>
        <v>1</v>
      </c>
      <c r="R11" s="822">
        <f>IF(O11=0,"",(IF(Q11=0,0,Q11*geg!$G$42)))</f>
        <v>61000</v>
      </c>
      <c r="S11" s="98"/>
      <c r="T11" s="37"/>
    </row>
    <row r="12" spans="2:35" ht="12.75" customHeight="1" x14ac:dyDescent="0.2">
      <c r="B12" s="34"/>
      <c r="C12" s="91"/>
      <c r="D12" s="192"/>
      <c r="E12" s="206"/>
      <c r="F12" s="155"/>
      <c r="G12" s="164"/>
      <c r="H12" s="336"/>
      <c r="I12" s="337"/>
      <c r="J12" s="337"/>
      <c r="K12" s="92"/>
      <c r="L12" s="958">
        <f t="shared" si="0"/>
        <v>42583</v>
      </c>
      <c r="M12" s="958">
        <f t="shared" si="1"/>
        <v>42947</v>
      </c>
      <c r="N12" s="928">
        <f t="shared" si="2"/>
        <v>365</v>
      </c>
      <c r="O12" s="823">
        <f t="shared" si="3"/>
        <v>0</v>
      </c>
      <c r="P12" s="92"/>
      <c r="Q12" s="821" t="str">
        <f>IF(O12=0,"",(VLOOKUP(G12,FPE_LA,2,FALSE))*O12)</f>
        <v/>
      </c>
      <c r="R12" s="822" t="str">
        <f>IF(O12=0,"",(IF(Q12=0,0,Q12*geg!$G$42)))</f>
        <v/>
      </c>
      <c r="S12" s="98"/>
      <c r="T12" s="37"/>
      <c r="W12" s="465"/>
    </row>
    <row r="13" spans="2:35" ht="12.75" customHeight="1" x14ac:dyDescent="0.2">
      <c r="B13" s="34"/>
      <c r="C13" s="91"/>
      <c r="D13" s="192"/>
      <c r="E13" s="206"/>
      <c r="F13" s="155"/>
      <c r="G13" s="164"/>
      <c r="H13" s="336"/>
      <c r="I13" s="337"/>
      <c r="J13" s="337"/>
      <c r="K13" s="92"/>
      <c r="L13" s="958">
        <f t="shared" si="0"/>
        <v>42583</v>
      </c>
      <c r="M13" s="958">
        <f t="shared" si="1"/>
        <v>42947</v>
      </c>
      <c r="N13" s="928">
        <f t="shared" si="2"/>
        <v>365</v>
      </c>
      <c r="O13" s="823">
        <f t="shared" si="3"/>
        <v>0</v>
      </c>
      <c r="P13" s="92"/>
      <c r="Q13" s="821" t="str">
        <f t="shared" ref="Q13:Q42" si="4">IF(O13=0,"",(VLOOKUP(G13,FPE_LA,2,FALSE))*O13)</f>
        <v/>
      </c>
      <c r="R13" s="822" t="str">
        <f>IF(O13=0,"",(IF(Q13=0,0,Q13*geg!$G$42)))</f>
        <v/>
      </c>
      <c r="S13" s="98"/>
      <c r="T13" s="37"/>
    </row>
    <row r="14" spans="2:35" ht="12.75" customHeight="1" x14ac:dyDescent="0.2">
      <c r="B14" s="34"/>
      <c r="C14" s="91"/>
      <c r="D14" s="192"/>
      <c r="E14" s="206"/>
      <c r="F14" s="155"/>
      <c r="G14" s="164"/>
      <c r="H14" s="336"/>
      <c r="I14" s="337"/>
      <c r="J14" s="337"/>
      <c r="K14" s="92"/>
      <c r="L14" s="958">
        <f t="shared" si="0"/>
        <v>42583</v>
      </c>
      <c r="M14" s="958">
        <f t="shared" si="1"/>
        <v>42947</v>
      </c>
      <c r="N14" s="928">
        <f t="shared" si="2"/>
        <v>365</v>
      </c>
      <c r="O14" s="823">
        <f t="shared" si="3"/>
        <v>0</v>
      </c>
      <c r="P14" s="92"/>
      <c r="Q14" s="821" t="str">
        <f t="shared" si="4"/>
        <v/>
      </c>
      <c r="R14" s="822" t="str">
        <f>IF(O14=0,"",(IF(Q14=0,0,Q14*geg!$G$42)))</f>
        <v/>
      </c>
      <c r="S14" s="98"/>
      <c r="T14" s="37"/>
    </row>
    <row r="15" spans="2:35" ht="12.75" customHeight="1" x14ac:dyDescent="0.2">
      <c r="B15" s="34"/>
      <c r="C15" s="91"/>
      <c r="D15" s="192"/>
      <c r="E15" s="206"/>
      <c r="F15" s="155"/>
      <c r="G15" s="164"/>
      <c r="H15" s="336"/>
      <c r="I15" s="337"/>
      <c r="J15" s="337"/>
      <c r="K15" s="92"/>
      <c r="L15" s="958">
        <f t="shared" si="0"/>
        <v>42583</v>
      </c>
      <c r="M15" s="958">
        <f t="shared" si="1"/>
        <v>42947</v>
      </c>
      <c r="N15" s="928">
        <f t="shared" si="2"/>
        <v>365</v>
      </c>
      <c r="O15" s="823">
        <f t="shared" si="3"/>
        <v>0</v>
      </c>
      <c r="P15" s="92"/>
      <c r="Q15" s="821" t="str">
        <f t="shared" si="4"/>
        <v/>
      </c>
      <c r="R15" s="822" t="str">
        <f>IF(O15=0,"",(IF(Q15=0,0,Q15*geg!$G$42)))</f>
        <v/>
      </c>
      <c r="S15" s="98"/>
      <c r="T15" s="37"/>
    </row>
    <row r="16" spans="2:35" ht="12.75" customHeight="1" x14ac:dyDescent="0.2">
      <c r="B16" s="34"/>
      <c r="C16" s="91"/>
      <c r="D16" s="192"/>
      <c r="E16" s="206"/>
      <c r="F16" s="155"/>
      <c r="G16" s="164"/>
      <c r="H16" s="336"/>
      <c r="I16" s="337"/>
      <c r="J16" s="337"/>
      <c r="K16" s="92"/>
      <c r="L16" s="958">
        <f t="shared" si="0"/>
        <v>42583</v>
      </c>
      <c r="M16" s="958">
        <f t="shared" si="1"/>
        <v>42947</v>
      </c>
      <c r="N16" s="928">
        <f t="shared" si="2"/>
        <v>365</v>
      </c>
      <c r="O16" s="823">
        <f t="shared" si="3"/>
        <v>0</v>
      </c>
      <c r="P16" s="92"/>
      <c r="Q16" s="821" t="str">
        <f t="shared" si="4"/>
        <v/>
      </c>
      <c r="R16" s="822" t="str">
        <f>IF(O16=0,"",(IF(Q16=0,0,Q16*geg!$G$42)))</f>
        <v/>
      </c>
      <c r="S16" s="98"/>
      <c r="T16" s="37"/>
    </row>
    <row r="17" spans="2:20" ht="12.75" customHeight="1" x14ac:dyDescent="0.2">
      <c r="B17" s="34"/>
      <c r="C17" s="91"/>
      <c r="D17" s="192"/>
      <c r="E17" s="206"/>
      <c r="F17" s="155"/>
      <c r="G17" s="164"/>
      <c r="H17" s="336"/>
      <c r="I17" s="337"/>
      <c r="J17" s="337"/>
      <c r="K17" s="92"/>
      <c r="L17" s="958">
        <f t="shared" si="0"/>
        <v>42583</v>
      </c>
      <c r="M17" s="958">
        <f t="shared" si="1"/>
        <v>42947</v>
      </c>
      <c r="N17" s="928">
        <f t="shared" si="2"/>
        <v>365</v>
      </c>
      <c r="O17" s="823">
        <f t="shared" si="3"/>
        <v>0</v>
      </c>
      <c r="P17" s="92"/>
      <c r="Q17" s="821" t="str">
        <f t="shared" si="4"/>
        <v/>
      </c>
      <c r="R17" s="822" t="str">
        <f>IF(O17=0,"",(IF(Q17=0,0,Q17*geg!$G$42)))</f>
        <v/>
      </c>
      <c r="S17" s="98"/>
      <c r="T17" s="37"/>
    </row>
    <row r="18" spans="2:20" ht="12.75" customHeight="1" x14ac:dyDescent="0.2">
      <c r="B18" s="34"/>
      <c r="C18" s="91"/>
      <c r="D18" s="192"/>
      <c r="E18" s="206"/>
      <c r="F18" s="155"/>
      <c r="G18" s="164"/>
      <c r="H18" s="336"/>
      <c r="I18" s="337"/>
      <c r="J18" s="337"/>
      <c r="K18" s="92"/>
      <c r="L18" s="958">
        <f t="shared" si="0"/>
        <v>42583</v>
      </c>
      <c r="M18" s="958">
        <f t="shared" si="1"/>
        <v>42947</v>
      </c>
      <c r="N18" s="928">
        <f t="shared" si="2"/>
        <v>365</v>
      </c>
      <c r="O18" s="823">
        <f t="shared" si="3"/>
        <v>0</v>
      </c>
      <c r="P18" s="92"/>
      <c r="Q18" s="821" t="str">
        <f t="shared" si="4"/>
        <v/>
      </c>
      <c r="R18" s="822" t="str">
        <f>IF(O18=0,"",(IF(Q18=0,0,Q18*geg!$G$42)))</f>
        <v/>
      </c>
      <c r="S18" s="98"/>
      <c r="T18" s="37"/>
    </row>
    <row r="19" spans="2:20" ht="12.75" customHeight="1" x14ac:dyDescent="0.2">
      <c r="B19" s="34"/>
      <c r="C19" s="91"/>
      <c r="D19" s="192"/>
      <c r="E19" s="206"/>
      <c r="F19" s="155"/>
      <c r="G19" s="164"/>
      <c r="H19" s="336"/>
      <c r="I19" s="337"/>
      <c r="J19" s="337"/>
      <c r="K19" s="92"/>
      <c r="L19" s="958">
        <f t="shared" si="0"/>
        <v>42583</v>
      </c>
      <c r="M19" s="958">
        <f t="shared" si="1"/>
        <v>42947</v>
      </c>
      <c r="N19" s="928">
        <f t="shared" si="2"/>
        <v>365</v>
      </c>
      <c r="O19" s="823">
        <f t="shared" si="3"/>
        <v>0</v>
      </c>
      <c r="P19" s="92"/>
      <c r="Q19" s="821" t="str">
        <f t="shared" si="4"/>
        <v/>
      </c>
      <c r="R19" s="822" t="str">
        <f>IF(O19=0,"",(IF(Q19=0,0,Q19*geg!$G$42)))</f>
        <v/>
      </c>
      <c r="S19" s="98"/>
      <c r="T19" s="37"/>
    </row>
    <row r="20" spans="2:20" ht="12.75" customHeight="1" x14ac:dyDescent="0.2">
      <c r="B20" s="34"/>
      <c r="C20" s="91"/>
      <c r="D20" s="192"/>
      <c r="E20" s="206"/>
      <c r="F20" s="155"/>
      <c r="G20" s="164"/>
      <c r="H20" s="336"/>
      <c r="I20" s="337"/>
      <c r="J20" s="337"/>
      <c r="K20" s="92"/>
      <c r="L20" s="958">
        <f t="shared" si="0"/>
        <v>42583</v>
      </c>
      <c r="M20" s="958">
        <f t="shared" si="1"/>
        <v>42947</v>
      </c>
      <c r="N20" s="928">
        <f t="shared" si="2"/>
        <v>365</v>
      </c>
      <c r="O20" s="823">
        <f t="shared" si="3"/>
        <v>0</v>
      </c>
      <c r="P20" s="92"/>
      <c r="Q20" s="821" t="str">
        <f t="shared" si="4"/>
        <v/>
      </c>
      <c r="R20" s="822" t="str">
        <f>IF(O20=0,"",(IF(Q20=0,0,Q20*geg!$G$42)))</f>
        <v/>
      </c>
      <c r="S20" s="98"/>
      <c r="T20" s="37"/>
    </row>
    <row r="21" spans="2:20" ht="12.75" customHeight="1" x14ac:dyDescent="0.2">
      <c r="B21" s="34"/>
      <c r="C21" s="91"/>
      <c r="D21" s="192"/>
      <c r="E21" s="206"/>
      <c r="F21" s="155"/>
      <c r="G21" s="164"/>
      <c r="H21" s="336"/>
      <c r="I21" s="337"/>
      <c r="J21" s="337"/>
      <c r="K21" s="92"/>
      <c r="L21" s="958">
        <f t="shared" si="0"/>
        <v>42583</v>
      </c>
      <c r="M21" s="958">
        <f t="shared" si="1"/>
        <v>42947</v>
      </c>
      <c r="N21" s="928">
        <f t="shared" si="2"/>
        <v>365</v>
      </c>
      <c r="O21" s="823">
        <f t="shared" si="3"/>
        <v>0</v>
      </c>
      <c r="P21" s="92"/>
      <c r="Q21" s="821" t="str">
        <f t="shared" si="4"/>
        <v/>
      </c>
      <c r="R21" s="822" t="str">
        <f>IF(O21=0,"",(IF(Q21=0,0,Q21*geg!$G$42)))</f>
        <v/>
      </c>
      <c r="S21" s="98"/>
      <c r="T21" s="37"/>
    </row>
    <row r="22" spans="2:20" ht="12.75" customHeight="1" x14ac:dyDescent="0.2">
      <c r="B22" s="34"/>
      <c r="C22" s="91"/>
      <c r="D22" s="192"/>
      <c r="E22" s="206"/>
      <c r="F22" s="155"/>
      <c r="G22" s="164"/>
      <c r="H22" s="336"/>
      <c r="I22" s="337"/>
      <c r="J22" s="337"/>
      <c r="K22" s="92"/>
      <c r="L22" s="958">
        <f t="shared" si="0"/>
        <v>42583</v>
      </c>
      <c r="M22" s="958">
        <f t="shared" si="1"/>
        <v>42947</v>
      </c>
      <c r="N22" s="928">
        <f t="shared" si="2"/>
        <v>365</v>
      </c>
      <c r="O22" s="823">
        <f t="shared" si="3"/>
        <v>0</v>
      </c>
      <c r="P22" s="92"/>
      <c r="Q22" s="821" t="str">
        <f t="shared" si="4"/>
        <v/>
      </c>
      <c r="R22" s="822" t="str">
        <f>IF(O22=0,"",(IF(Q22=0,0,Q22*geg!$G$42)))</f>
        <v/>
      </c>
      <c r="S22" s="98"/>
      <c r="T22" s="37"/>
    </row>
    <row r="23" spans="2:20" ht="12.75" customHeight="1" x14ac:dyDescent="0.2">
      <c r="B23" s="34"/>
      <c r="C23" s="91"/>
      <c r="D23" s="192"/>
      <c r="E23" s="206"/>
      <c r="F23" s="155"/>
      <c r="G23" s="164"/>
      <c r="H23" s="336"/>
      <c r="I23" s="337"/>
      <c r="J23" s="337"/>
      <c r="K23" s="92"/>
      <c r="L23" s="958">
        <f t="shared" si="0"/>
        <v>42583</v>
      </c>
      <c r="M23" s="958">
        <f t="shared" si="1"/>
        <v>42947</v>
      </c>
      <c r="N23" s="928">
        <f t="shared" si="2"/>
        <v>365</v>
      </c>
      <c r="O23" s="823">
        <f t="shared" si="3"/>
        <v>0</v>
      </c>
      <c r="P23" s="92"/>
      <c r="Q23" s="821" t="str">
        <f t="shared" si="4"/>
        <v/>
      </c>
      <c r="R23" s="822" t="str">
        <f>IF(O23=0,"",(IF(Q23=0,0,Q23*geg!$G$42)))</f>
        <v/>
      </c>
      <c r="S23" s="98"/>
      <c r="T23" s="37"/>
    </row>
    <row r="24" spans="2:20" ht="12.75" customHeight="1" x14ac:dyDescent="0.2">
      <c r="B24" s="34"/>
      <c r="C24" s="91"/>
      <c r="D24" s="192"/>
      <c r="E24" s="206"/>
      <c r="F24" s="155"/>
      <c r="G24" s="164"/>
      <c r="H24" s="336"/>
      <c r="I24" s="337"/>
      <c r="J24" s="337"/>
      <c r="K24" s="92"/>
      <c r="L24" s="958">
        <f t="shared" si="0"/>
        <v>42583</v>
      </c>
      <c r="M24" s="958">
        <f t="shared" si="1"/>
        <v>42947</v>
      </c>
      <c r="N24" s="928">
        <f t="shared" si="2"/>
        <v>365</v>
      </c>
      <c r="O24" s="823">
        <f t="shared" si="3"/>
        <v>0</v>
      </c>
      <c r="P24" s="92"/>
      <c r="Q24" s="821" t="str">
        <f t="shared" si="4"/>
        <v/>
      </c>
      <c r="R24" s="822" t="str">
        <f>IF(O24=0,"",(IF(Q24=0,0,Q24*geg!$G$42)))</f>
        <v/>
      </c>
      <c r="S24" s="98"/>
      <c r="T24" s="37"/>
    </row>
    <row r="25" spans="2:20" ht="12.75" customHeight="1" x14ac:dyDescent="0.2">
      <c r="B25" s="34"/>
      <c r="C25" s="91"/>
      <c r="D25" s="192"/>
      <c r="E25" s="206"/>
      <c r="F25" s="155"/>
      <c r="G25" s="164"/>
      <c r="H25" s="336"/>
      <c r="I25" s="337"/>
      <c r="J25" s="337"/>
      <c r="K25" s="92"/>
      <c r="L25" s="958">
        <f t="shared" si="0"/>
        <v>42583</v>
      </c>
      <c r="M25" s="958">
        <f t="shared" si="1"/>
        <v>42947</v>
      </c>
      <c r="N25" s="928">
        <f t="shared" si="2"/>
        <v>365</v>
      </c>
      <c r="O25" s="823">
        <f t="shared" si="3"/>
        <v>0</v>
      </c>
      <c r="P25" s="92"/>
      <c r="Q25" s="821" t="str">
        <f t="shared" si="4"/>
        <v/>
      </c>
      <c r="R25" s="822" t="str">
        <f>IF(O25=0,"",(IF(Q25=0,0,Q25*geg!$G$42)))</f>
        <v/>
      </c>
      <c r="S25" s="98"/>
      <c r="T25" s="37"/>
    </row>
    <row r="26" spans="2:20" ht="12.75" customHeight="1" x14ac:dyDescent="0.2">
      <c r="B26" s="34"/>
      <c r="C26" s="91"/>
      <c r="D26" s="192"/>
      <c r="E26" s="206"/>
      <c r="F26" s="155"/>
      <c r="G26" s="164"/>
      <c r="H26" s="336"/>
      <c r="I26" s="337"/>
      <c r="J26" s="337"/>
      <c r="K26" s="92"/>
      <c r="L26" s="958">
        <f t="shared" si="0"/>
        <v>42583</v>
      </c>
      <c r="M26" s="958">
        <f t="shared" si="1"/>
        <v>42947</v>
      </c>
      <c r="N26" s="928">
        <f t="shared" si="2"/>
        <v>365</v>
      </c>
      <c r="O26" s="823">
        <f t="shared" si="3"/>
        <v>0</v>
      </c>
      <c r="P26" s="92"/>
      <c r="Q26" s="821" t="str">
        <f t="shared" si="4"/>
        <v/>
      </c>
      <c r="R26" s="822" t="str">
        <f>IF(O26=0,"",(IF(Q26=0,0,Q26*geg!$G$42)))</f>
        <v/>
      </c>
      <c r="S26" s="98"/>
      <c r="T26" s="37"/>
    </row>
    <row r="27" spans="2:20" ht="12.75" customHeight="1" x14ac:dyDescent="0.2">
      <c r="B27" s="34"/>
      <c r="C27" s="91"/>
      <c r="D27" s="192"/>
      <c r="E27" s="206"/>
      <c r="F27" s="155"/>
      <c r="G27" s="164"/>
      <c r="H27" s="336"/>
      <c r="I27" s="337"/>
      <c r="J27" s="337"/>
      <c r="K27" s="92"/>
      <c r="L27" s="958">
        <f t="shared" si="0"/>
        <v>42583</v>
      </c>
      <c r="M27" s="958">
        <f t="shared" si="1"/>
        <v>42947</v>
      </c>
      <c r="N27" s="928">
        <f t="shared" si="2"/>
        <v>365</v>
      </c>
      <c r="O27" s="823">
        <f t="shared" si="3"/>
        <v>0</v>
      </c>
      <c r="P27" s="92"/>
      <c r="Q27" s="821" t="str">
        <f t="shared" si="4"/>
        <v/>
      </c>
      <c r="R27" s="822" t="str">
        <f>IF(O27=0,"",(IF(Q27=0,0,Q27*geg!$G$42)))</f>
        <v/>
      </c>
      <c r="S27" s="98"/>
      <c r="T27" s="37"/>
    </row>
    <row r="28" spans="2:20" ht="12.75" customHeight="1" x14ac:dyDescent="0.2">
      <c r="B28" s="34"/>
      <c r="C28" s="91"/>
      <c r="D28" s="192"/>
      <c r="E28" s="206"/>
      <c r="F28" s="155"/>
      <c r="G28" s="164"/>
      <c r="H28" s="336"/>
      <c r="I28" s="337"/>
      <c r="J28" s="337"/>
      <c r="K28" s="92"/>
      <c r="L28" s="958">
        <f t="shared" si="0"/>
        <v>42583</v>
      </c>
      <c r="M28" s="958">
        <f t="shared" si="1"/>
        <v>42947</v>
      </c>
      <c r="N28" s="928">
        <f t="shared" si="2"/>
        <v>365</v>
      </c>
      <c r="O28" s="823">
        <f t="shared" si="3"/>
        <v>0</v>
      </c>
      <c r="P28" s="92"/>
      <c r="Q28" s="821" t="str">
        <f t="shared" si="4"/>
        <v/>
      </c>
      <c r="R28" s="822" t="str">
        <f>IF(O28=0,"",(IF(Q28=0,0,Q28*geg!$G$42)))</f>
        <v/>
      </c>
      <c r="S28" s="98"/>
      <c r="T28" s="37"/>
    </row>
    <row r="29" spans="2:20" ht="12.75" customHeight="1" x14ac:dyDescent="0.2">
      <c r="B29" s="34"/>
      <c r="C29" s="91"/>
      <c r="D29" s="192"/>
      <c r="E29" s="206"/>
      <c r="F29" s="155"/>
      <c r="G29" s="164"/>
      <c r="H29" s="336"/>
      <c r="I29" s="337"/>
      <c r="J29" s="337"/>
      <c r="K29" s="92"/>
      <c r="L29" s="958">
        <f t="shared" si="0"/>
        <v>42583</v>
      </c>
      <c r="M29" s="958">
        <f t="shared" si="1"/>
        <v>42947</v>
      </c>
      <c r="N29" s="928">
        <f t="shared" si="2"/>
        <v>365</v>
      </c>
      <c r="O29" s="823">
        <f t="shared" si="3"/>
        <v>0</v>
      </c>
      <c r="P29" s="92"/>
      <c r="Q29" s="821" t="str">
        <f t="shared" si="4"/>
        <v/>
      </c>
      <c r="R29" s="822" t="str">
        <f>IF(O29=0,"",(IF(Q29=0,0,Q29*geg!$G$42)))</f>
        <v/>
      </c>
      <c r="S29" s="98"/>
      <c r="T29" s="37"/>
    </row>
    <row r="30" spans="2:20" ht="12.75" customHeight="1" x14ac:dyDescent="0.2">
      <c r="B30" s="34"/>
      <c r="C30" s="91"/>
      <c r="D30" s="192"/>
      <c r="E30" s="206"/>
      <c r="F30" s="155"/>
      <c r="G30" s="164"/>
      <c r="H30" s="336"/>
      <c r="I30" s="337"/>
      <c r="J30" s="337"/>
      <c r="K30" s="92"/>
      <c r="L30" s="958">
        <f t="shared" si="0"/>
        <v>42583</v>
      </c>
      <c r="M30" s="958">
        <f t="shared" si="1"/>
        <v>42947</v>
      </c>
      <c r="N30" s="928">
        <f t="shared" si="2"/>
        <v>365</v>
      </c>
      <c r="O30" s="823">
        <f t="shared" si="3"/>
        <v>0</v>
      </c>
      <c r="P30" s="92"/>
      <c r="Q30" s="821" t="str">
        <f t="shared" si="4"/>
        <v/>
      </c>
      <c r="R30" s="822" t="str">
        <f>IF(O30=0,"",(IF(Q30=0,0,Q30*geg!$G$42)))</f>
        <v/>
      </c>
      <c r="S30" s="98"/>
      <c r="T30" s="37"/>
    </row>
    <row r="31" spans="2:20" ht="12.75" customHeight="1" x14ac:dyDescent="0.2">
      <c r="B31" s="34"/>
      <c r="C31" s="91"/>
      <c r="D31" s="192"/>
      <c r="E31" s="206"/>
      <c r="F31" s="155"/>
      <c r="G31" s="164"/>
      <c r="H31" s="336"/>
      <c r="I31" s="337"/>
      <c r="J31" s="337"/>
      <c r="K31" s="92"/>
      <c r="L31" s="958">
        <f t="shared" si="0"/>
        <v>42583</v>
      </c>
      <c r="M31" s="958">
        <f t="shared" si="1"/>
        <v>42947</v>
      </c>
      <c r="N31" s="928">
        <f t="shared" si="2"/>
        <v>365</v>
      </c>
      <c r="O31" s="823">
        <f t="shared" si="3"/>
        <v>0</v>
      </c>
      <c r="P31" s="92"/>
      <c r="Q31" s="821" t="str">
        <f t="shared" si="4"/>
        <v/>
      </c>
      <c r="R31" s="822" t="str">
        <f>IF(O31=0,"",(IF(Q31=0,0,Q31*geg!$G$42)))</f>
        <v/>
      </c>
      <c r="S31" s="98"/>
      <c r="T31" s="37"/>
    </row>
    <row r="32" spans="2:20" ht="12.75" customHeight="1" x14ac:dyDescent="0.2">
      <c r="B32" s="34"/>
      <c r="C32" s="91"/>
      <c r="D32" s="192"/>
      <c r="E32" s="206"/>
      <c r="F32" s="155"/>
      <c r="G32" s="164"/>
      <c r="H32" s="336"/>
      <c r="I32" s="337"/>
      <c r="J32" s="337"/>
      <c r="K32" s="92"/>
      <c r="L32" s="958">
        <f t="shared" si="0"/>
        <v>42583</v>
      </c>
      <c r="M32" s="958">
        <f t="shared" si="1"/>
        <v>42947</v>
      </c>
      <c r="N32" s="928">
        <f t="shared" si="2"/>
        <v>365</v>
      </c>
      <c r="O32" s="823">
        <f t="shared" si="3"/>
        <v>0</v>
      </c>
      <c r="P32" s="92"/>
      <c r="Q32" s="821" t="str">
        <f t="shared" si="4"/>
        <v/>
      </c>
      <c r="R32" s="822" t="str">
        <f>IF(O32=0,"",(IF(Q32=0,0,Q32*geg!$G$42)))</f>
        <v/>
      </c>
      <c r="S32" s="98"/>
      <c r="T32" s="37"/>
    </row>
    <row r="33" spans="2:20" ht="12.75" customHeight="1" x14ac:dyDescent="0.2">
      <c r="B33" s="34"/>
      <c r="C33" s="91"/>
      <c r="D33" s="192"/>
      <c r="E33" s="206"/>
      <c r="F33" s="155"/>
      <c r="G33" s="164"/>
      <c r="H33" s="336"/>
      <c r="I33" s="337"/>
      <c r="J33" s="337"/>
      <c r="K33" s="92"/>
      <c r="L33" s="958">
        <f t="shared" si="0"/>
        <v>42583</v>
      </c>
      <c r="M33" s="958">
        <f t="shared" si="1"/>
        <v>42947</v>
      </c>
      <c r="N33" s="928">
        <f t="shared" si="2"/>
        <v>365</v>
      </c>
      <c r="O33" s="823">
        <f t="shared" si="3"/>
        <v>0</v>
      </c>
      <c r="P33" s="92"/>
      <c r="Q33" s="821" t="str">
        <f t="shared" si="4"/>
        <v/>
      </c>
      <c r="R33" s="822" t="str">
        <f>IF(O33=0,"",(IF(Q33=0,0,Q33*geg!$G$42)))</f>
        <v/>
      </c>
      <c r="S33" s="98"/>
      <c r="T33" s="37"/>
    </row>
    <row r="34" spans="2:20" ht="12.75" customHeight="1" x14ac:dyDescent="0.2">
      <c r="B34" s="34"/>
      <c r="C34" s="91"/>
      <c r="D34" s="192"/>
      <c r="E34" s="206"/>
      <c r="F34" s="155"/>
      <c r="G34" s="164"/>
      <c r="H34" s="336"/>
      <c r="I34" s="337"/>
      <c r="J34" s="337"/>
      <c r="K34" s="92"/>
      <c r="L34" s="958">
        <f t="shared" si="0"/>
        <v>42583</v>
      </c>
      <c r="M34" s="958">
        <f t="shared" si="1"/>
        <v>42947</v>
      </c>
      <c r="N34" s="928">
        <f t="shared" si="2"/>
        <v>365</v>
      </c>
      <c r="O34" s="823">
        <f t="shared" si="3"/>
        <v>0</v>
      </c>
      <c r="P34" s="92"/>
      <c r="Q34" s="821" t="str">
        <f t="shared" si="4"/>
        <v/>
      </c>
      <c r="R34" s="822" t="str">
        <f>IF(O34=0,"",(IF(Q34=0,0,Q34*geg!$G$42)))</f>
        <v/>
      </c>
      <c r="S34" s="98"/>
      <c r="T34" s="37"/>
    </row>
    <row r="35" spans="2:20" ht="12.75" customHeight="1" x14ac:dyDescent="0.2">
      <c r="B35" s="34"/>
      <c r="C35" s="91"/>
      <c r="D35" s="192"/>
      <c r="E35" s="206"/>
      <c r="F35" s="155"/>
      <c r="G35" s="164"/>
      <c r="H35" s="336"/>
      <c r="I35" s="337"/>
      <c r="J35" s="337"/>
      <c r="K35" s="92"/>
      <c r="L35" s="958">
        <f t="shared" si="0"/>
        <v>42583</v>
      </c>
      <c r="M35" s="958">
        <f t="shared" si="1"/>
        <v>42947</v>
      </c>
      <c r="N35" s="928">
        <f t="shared" si="2"/>
        <v>365</v>
      </c>
      <c r="O35" s="823">
        <f t="shared" si="3"/>
        <v>0</v>
      </c>
      <c r="P35" s="92"/>
      <c r="Q35" s="821" t="str">
        <f t="shared" si="4"/>
        <v/>
      </c>
      <c r="R35" s="822" t="str">
        <f>IF(O35=0,"",(IF(Q35=0,0,Q35*geg!$G$42)))</f>
        <v/>
      </c>
      <c r="S35" s="98"/>
      <c r="T35" s="37"/>
    </row>
    <row r="36" spans="2:20" ht="12.75" customHeight="1" x14ac:dyDescent="0.2">
      <c r="B36" s="34"/>
      <c r="C36" s="91"/>
      <c r="D36" s="192"/>
      <c r="E36" s="206"/>
      <c r="F36" s="155"/>
      <c r="G36" s="164"/>
      <c r="H36" s="336"/>
      <c r="I36" s="337"/>
      <c r="J36" s="337"/>
      <c r="K36" s="92"/>
      <c r="L36" s="958">
        <f t="shared" si="0"/>
        <v>42583</v>
      </c>
      <c r="M36" s="958">
        <f t="shared" si="1"/>
        <v>42947</v>
      </c>
      <c r="N36" s="928">
        <f t="shared" si="2"/>
        <v>365</v>
      </c>
      <c r="O36" s="823">
        <f t="shared" si="3"/>
        <v>0</v>
      </c>
      <c r="P36" s="92"/>
      <c r="Q36" s="821" t="str">
        <f t="shared" si="4"/>
        <v/>
      </c>
      <c r="R36" s="822" t="str">
        <f>IF(O36=0,"",(IF(Q36=0,0,Q36*geg!$G$42)))</f>
        <v/>
      </c>
      <c r="S36" s="98"/>
      <c r="T36" s="37"/>
    </row>
    <row r="37" spans="2:20" ht="12.75" customHeight="1" x14ac:dyDescent="0.2">
      <c r="B37" s="34"/>
      <c r="C37" s="91"/>
      <c r="D37" s="192"/>
      <c r="E37" s="206"/>
      <c r="F37" s="155"/>
      <c r="G37" s="164"/>
      <c r="H37" s="336"/>
      <c r="I37" s="337"/>
      <c r="J37" s="337"/>
      <c r="K37" s="92"/>
      <c r="L37" s="958">
        <f t="shared" si="0"/>
        <v>42583</v>
      </c>
      <c r="M37" s="958">
        <f t="shared" si="1"/>
        <v>42947</v>
      </c>
      <c r="N37" s="928">
        <f t="shared" si="2"/>
        <v>365</v>
      </c>
      <c r="O37" s="823">
        <f t="shared" si="3"/>
        <v>0</v>
      </c>
      <c r="P37" s="92"/>
      <c r="Q37" s="821" t="str">
        <f t="shared" si="4"/>
        <v/>
      </c>
      <c r="R37" s="822" t="str">
        <f>IF(O37=0,"",(IF(Q37=0,0,Q37*geg!$G$42)))</f>
        <v/>
      </c>
      <c r="S37" s="98"/>
      <c r="T37" s="37"/>
    </row>
    <row r="38" spans="2:20" ht="12.75" customHeight="1" x14ac:dyDescent="0.2">
      <c r="B38" s="34"/>
      <c r="C38" s="91"/>
      <c r="D38" s="192"/>
      <c r="E38" s="206"/>
      <c r="F38" s="155"/>
      <c r="G38" s="164"/>
      <c r="H38" s="336"/>
      <c r="I38" s="337"/>
      <c r="J38" s="337"/>
      <c r="K38" s="92"/>
      <c r="L38" s="958">
        <f t="shared" si="0"/>
        <v>42583</v>
      </c>
      <c r="M38" s="958">
        <f t="shared" si="1"/>
        <v>42947</v>
      </c>
      <c r="N38" s="928">
        <f t="shared" si="2"/>
        <v>365</v>
      </c>
      <c r="O38" s="823">
        <f t="shared" si="3"/>
        <v>0</v>
      </c>
      <c r="P38" s="92"/>
      <c r="Q38" s="821" t="str">
        <f t="shared" si="4"/>
        <v/>
      </c>
      <c r="R38" s="822" t="str">
        <f>IF(O38=0,"",(IF(Q38=0,0,Q38*geg!$G$42)))</f>
        <v/>
      </c>
      <c r="S38" s="98"/>
      <c r="T38" s="37"/>
    </row>
    <row r="39" spans="2:20" ht="12.75" customHeight="1" x14ac:dyDescent="0.2">
      <c r="B39" s="34"/>
      <c r="C39" s="91"/>
      <c r="D39" s="192"/>
      <c r="E39" s="206"/>
      <c r="F39" s="155"/>
      <c r="G39" s="164"/>
      <c r="H39" s="336"/>
      <c r="I39" s="337"/>
      <c r="J39" s="337"/>
      <c r="K39" s="92"/>
      <c r="L39" s="958">
        <f t="shared" si="0"/>
        <v>42583</v>
      </c>
      <c r="M39" s="958">
        <f t="shared" si="1"/>
        <v>42947</v>
      </c>
      <c r="N39" s="928">
        <f t="shared" si="2"/>
        <v>365</v>
      </c>
      <c r="O39" s="823">
        <f t="shared" si="3"/>
        <v>0</v>
      </c>
      <c r="P39" s="92"/>
      <c r="Q39" s="821" t="str">
        <f t="shared" si="4"/>
        <v/>
      </c>
      <c r="R39" s="822" t="str">
        <f>IF(O39=0,"",(IF(Q39=0,0,Q39*geg!$G$42)))</f>
        <v/>
      </c>
      <c r="S39" s="98"/>
      <c r="T39" s="37"/>
    </row>
    <row r="40" spans="2:20" ht="12.75" customHeight="1" x14ac:dyDescent="0.2">
      <c r="B40" s="34"/>
      <c r="C40" s="91"/>
      <c r="D40" s="192"/>
      <c r="E40" s="206"/>
      <c r="F40" s="155"/>
      <c r="G40" s="164"/>
      <c r="H40" s="336"/>
      <c r="I40" s="337"/>
      <c r="J40" s="337"/>
      <c r="K40" s="92"/>
      <c r="L40" s="958">
        <f t="shared" si="0"/>
        <v>42583</v>
      </c>
      <c r="M40" s="958">
        <f t="shared" si="1"/>
        <v>42947</v>
      </c>
      <c r="N40" s="928">
        <f t="shared" si="2"/>
        <v>365</v>
      </c>
      <c r="O40" s="823">
        <f t="shared" si="3"/>
        <v>0</v>
      </c>
      <c r="P40" s="92"/>
      <c r="Q40" s="821" t="str">
        <f t="shared" si="4"/>
        <v/>
      </c>
      <c r="R40" s="822" t="str">
        <f>IF(O40=0,"",(IF(Q40=0,0,Q40*geg!$G$42)))</f>
        <v/>
      </c>
      <c r="S40" s="98"/>
      <c r="T40" s="37"/>
    </row>
    <row r="41" spans="2:20" ht="12.75" customHeight="1" x14ac:dyDescent="0.2">
      <c r="B41" s="34"/>
      <c r="C41" s="91"/>
      <c r="D41" s="192"/>
      <c r="E41" s="206"/>
      <c r="F41" s="155"/>
      <c r="G41" s="164"/>
      <c r="H41" s="336"/>
      <c r="I41" s="337"/>
      <c r="J41" s="337"/>
      <c r="K41" s="92"/>
      <c r="L41" s="958">
        <f t="shared" si="0"/>
        <v>42583</v>
      </c>
      <c r="M41" s="958">
        <f t="shared" si="1"/>
        <v>42947</v>
      </c>
      <c r="N41" s="928">
        <f t="shared" si="2"/>
        <v>365</v>
      </c>
      <c r="O41" s="823">
        <f t="shared" si="3"/>
        <v>0</v>
      </c>
      <c r="P41" s="92"/>
      <c r="Q41" s="821" t="str">
        <f t="shared" si="4"/>
        <v/>
      </c>
      <c r="R41" s="822" t="str">
        <f>IF(O41=0,"",(IF(Q41=0,0,Q41*geg!$G$42)))</f>
        <v/>
      </c>
      <c r="S41" s="98"/>
      <c r="T41" s="37"/>
    </row>
    <row r="42" spans="2:20" ht="12.75" customHeight="1" x14ac:dyDescent="0.2">
      <c r="B42" s="34"/>
      <c r="C42" s="91"/>
      <c r="D42" s="192"/>
      <c r="E42" s="206"/>
      <c r="F42" s="155"/>
      <c r="G42" s="164"/>
      <c r="H42" s="336"/>
      <c r="I42" s="337"/>
      <c r="J42" s="337"/>
      <c r="K42" s="92"/>
      <c r="L42" s="958">
        <f t="shared" si="0"/>
        <v>42583</v>
      </c>
      <c r="M42" s="958">
        <f t="shared" si="1"/>
        <v>42947</v>
      </c>
      <c r="N42" s="928">
        <f t="shared" si="2"/>
        <v>365</v>
      </c>
      <c r="O42" s="823">
        <f t="shared" si="3"/>
        <v>0</v>
      </c>
      <c r="P42" s="92"/>
      <c r="Q42" s="821" t="str">
        <f t="shared" si="4"/>
        <v/>
      </c>
      <c r="R42" s="822" t="str">
        <f>IF(O42=0,"",(IF(Q42=0,0,Q42*geg!$G$42)))</f>
        <v/>
      </c>
      <c r="S42" s="98"/>
      <c r="T42" s="37"/>
    </row>
    <row r="43" spans="2:20" ht="12.75" customHeight="1" x14ac:dyDescent="0.2">
      <c r="B43" s="34"/>
      <c r="C43" s="91"/>
      <c r="D43" s="192"/>
      <c r="E43" s="206"/>
      <c r="F43" s="155"/>
      <c r="G43" s="164"/>
      <c r="H43" s="336"/>
      <c r="I43" s="337"/>
      <c r="J43" s="337"/>
      <c r="K43" s="92"/>
      <c r="L43" s="958">
        <f t="shared" ref="L43:L74" si="5">IF(I43=0,$L$8,I43)</f>
        <v>42583</v>
      </c>
      <c r="M43" s="958">
        <f t="shared" ref="M43:M74" si="6">IF(J43=0,$M$8,J43)</f>
        <v>42947</v>
      </c>
      <c r="N43" s="928">
        <f t="shared" si="2"/>
        <v>365</v>
      </c>
      <c r="O43" s="823">
        <f t="shared" ref="O43:O74" si="7">H43*N43/$N$8</f>
        <v>0</v>
      </c>
      <c r="P43" s="92"/>
      <c r="Q43" s="821" t="str">
        <f t="shared" ref="Q43:Q74" si="8">IF(O43=0,"",(VLOOKUP(G43,FPE_LA,2,FALSE))*O43)</f>
        <v/>
      </c>
      <c r="R43" s="822" t="str">
        <f>IF(O43=0,"",(IF(Q43=0,0,Q43*geg!$G$42)))</f>
        <v/>
      </c>
      <c r="S43" s="98"/>
      <c r="T43" s="37"/>
    </row>
    <row r="44" spans="2:20" ht="12.75" customHeight="1" x14ac:dyDescent="0.2">
      <c r="B44" s="34"/>
      <c r="C44" s="91"/>
      <c r="D44" s="192"/>
      <c r="E44" s="206"/>
      <c r="F44" s="155"/>
      <c r="G44" s="164"/>
      <c r="H44" s="336"/>
      <c r="I44" s="337"/>
      <c r="J44" s="337"/>
      <c r="K44" s="92"/>
      <c r="L44" s="958">
        <f t="shared" si="5"/>
        <v>42583</v>
      </c>
      <c r="M44" s="958">
        <f t="shared" si="6"/>
        <v>42947</v>
      </c>
      <c r="N44" s="928">
        <f t="shared" si="2"/>
        <v>365</v>
      </c>
      <c r="O44" s="823">
        <f t="shared" si="7"/>
        <v>0</v>
      </c>
      <c r="P44" s="92"/>
      <c r="Q44" s="821" t="str">
        <f t="shared" si="8"/>
        <v/>
      </c>
      <c r="R44" s="822" t="str">
        <f>IF(O44=0,"",(IF(Q44=0,0,Q44*geg!$G$42)))</f>
        <v/>
      </c>
      <c r="S44" s="98"/>
      <c r="T44" s="37"/>
    </row>
    <row r="45" spans="2:20" ht="12.75" customHeight="1" x14ac:dyDescent="0.2">
      <c r="B45" s="34"/>
      <c r="C45" s="91"/>
      <c r="D45" s="192"/>
      <c r="E45" s="206"/>
      <c r="F45" s="155"/>
      <c r="G45" s="164"/>
      <c r="H45" s="336"/>
      <c r="I45" s="337"/>
      <c r="J45" s="337"/>
      <c r="K45" s="92"/>
      <c r="L45" s="958">
        <f t="shared" si="5"/>
        <v>42583</v>
      </c>
      <c r="M45" s="958">
        <f t="shared" si="6"/>
        <v>42947</v>
      </c>
      <c r="N45" s="928">
        <f t="shared" si="2"/>
        <v>365</v>
      </c>
      <c r="O45" s="823">
        <f t="shared" si="7"/>
        <v>0</v>
      </c>
      <c r="P45" s="92"/>
      <c r="Q45" s="821" t="str">
        <f t="shared" si="8"/>
        <v/>
      </c>
      <c r="R45" s="822" t="str">
        <f>IF(O45=0,"",(IF(Q45=0,0,Q45*geg!$G$42)))</f>
        <v/>
      </c>
      <c r="S45" s="98"/>
      <c r="T45" s="37"/>
    </row>
    <row r="46" spans="2:20" ht="12.75" customHeight="1" x14ac:dyDescent="0.2">
      <c r="B46" s="34"/>
      <c r="C46" s="91"/>
      <c r="D46" s="192"/>
      <c r="E46" s="206"/>
      <c r="F46" s="155"/>
      <c r="G46" s="164"/>
      <c r="H46" s="336"/>
      <c r="I46" s="337"/>
      <c r="J46" s="337"/>
      <c r="K46" s="92"/>
      <c r="L46" s="958">
        <f t="shared" si="5"/>
        <v>42583</v>
      </c>
      <c r="M46" s="958">
        <f t="shared" si="6"/>
        <v>42947</v>
      </c>
      <c r="N46" s="928">
        <f>M46-L46+1</f>
        <v>365</v>
      </c>
      <c r="O46" s="823">
        <f t="shared" si="7"/>
        <v>0</v>
      </c>
      <c r="P46" s="92"/>
      <c r="Q46" s="821" t="str">
        <f t="shared" si="8"/>
        <v/>
      </c>
      <c r="R46" s="822" t="str">
        <f>IF(O46=0,"",(IF(Q46=0,0,Q46*geg!$G$42)))</f>
        <v/>
      </c>
      <c r="S46" s="98"/>
      <c r="T46" s="37"/>
    </row>
    <row r="47" spans="2:20" ht="12.75" customHeight="1" x14ac:dyDescent="0.2">
      <c r="B47" s="34"/>
      <c r="C47" s="91"/>
      <c r="D47" s="192"/>
      <c r="E47" s="206"/>
      <c r="F47" s="155"/>
      <c r="G47" s="164"/>
      <c r="H47" s="336"/>
      <c r="I47" s="337"/>
      <c r="J47" s="337"/>
      <c r="K47" s="92"/>
      <c r="L47" s="958">
        <f t="shared" si="5"/>
        <v>42583</v>
      </c>
      <c r="M47" s="958">
        <f t="shared" si="6"/>
        <v>42947</v>
      </c>
      <c r="N47" s="928">
        <f>M47-L47+1</f>
        <v>365</v>
      </c>
      <c r="O47" s="823">
        <f t="shared" si="7"/>
        <v>0</v>
      </c>
      <c r="P47" s="92"/>
      <c r="Q47" s="821" t="str">
        <f t="shared" si="8"/>
        <v/>
      </c>
      <c r="R47" s="822" t="str">
        <f>IF(O47=0,"",(IF(Q47=0,0,Q47*geg!$G$42)))</f>
        <v/>
      </c>
      <c r="S47" s="98"/>
      <c r="T47" s="37"/>
    </row>
    <row r="48" spans="2:20" ht="12.75" customHeight="1" x14ac:dyDescent="0.2">
      <c r="B48" s="34"/>
      <c r="C48" s="91"/>
      <c r="D48" s="192"/>
      <c r="E48" s="206"/>
      <c r="F48" s="155"/>
      <c r="G48" s="164"/>
      <c r="H48" s="336"/>
      <c r="I48" s="337"/>
      <c r="J48" s="337"/>
      <c r="K48" s="92"/>
      <c r="L48" s="958">
        <f t="shared" si="5"/>
        <v>42583</v>
      </c>
      <c r="M48" s="958">
        <f t="shared" si="6"/>
        <v>42947</v>
      </c>
      <c r="N48" s="928">
        <f t="shared" si="2"/>
        <v>365</v>
      </c>
      <c r="O48" s="823">
        <f t="shared" si="7"/>
        <v>0</v>
      </c>
      <c r="P48" s="92"/>
      <c r="Q48" s="821" t="str">
        <f t="shared" si="8"/>
        <v/>
      </c>
      <c r="R48" s="822" t="str">
        <f>IF(O48=0,"",(IF(Q48=0,0,Q48*geg!$G$42)))</f>
        <v/>
      </c>
      <c r="S48" s="98"/>
      <c r="T48" s="37"/>
    </row>
    <row r="49" spans="2:20" ht="12.75" customHeight="1" x14ac:dyDescent="0.2">
      <c r="B49" s="34"/>
      <c r="C49" s="91"/>
      <c r="D49" s="192"/>
      <c r="E49" s="206"/>
      <c r="F49" s="155"/>
      <c r="G49" s="164"/>
      <c r="H49" s="336"/>
      <c r="I49" s="337"/>
      <c r="J49" s="337"/>
      <c r="K49" s="92"/>
      <c r="L49" s="958">
        <f t="shared" si="5"/>
        <v>42583</v>
      </c>
      <c r="M49" s="958">
        <f t="shared" si="6"/>
        <v>42947</v>
      </c>
      <c r="N49" s="928">
        <f t="shared" si="2"/>
        <v>365</v>
      </c>
      <c r="O49" s="823">
        <f t="shared" si="7"/>
        <v>0</v>
      </c>
      <c r="P49" s="92"/>
      <c r="Q49" s="821" t="str">
        <f t="shared" si="8"/>
        <v/>
      </c>
      <c r="R49" s="822" t="str">
        <f>IF(O49=0,"",(IF(Q49=0,0,Q49*geg!$G$42)))</f>
        <v/>
      </c>
      <c r="S49" s="98"/>
      <c r="T49" s="37"/>
    </row>
    <row r="50" spans="2:20" ht="12.75" customHeight="1" x14ac:dyDescent="0.2">
      <c r="B50" s="34"/>
      <c r="C50" s="91"/>
      <c r="D50" s="192"/>
      <c r="E50" s="206"/>
      <c r="F50" s="155"/>
      <c r="G50" s="164"/>
      <c r="H50" s="336"/>
      <c r="I50" s="337"/>
      <c r="J50" s="337"/>
      <c r="K50" s="92"/>
      <c r="L50" s="958">
        <f t="shared" si="5"/>
        <v>42583</v>
      </c>
      <c r="M50" s="958">
        <f t="shared" si="6"/>
        <v>42947</v>
      </c>
      <c r="N50" s="928">
        <f t="shared" si="2"/>
        <v>365</v>
      </c>
      <c r="O50" s="823">
        <f t="shared" si="7"/>
        <v>0</v>
      </c>
      <c r="P50" s="92"/>
      <c r="Q50" s="821" t="str">
        <f t="shared" si="8"/>
        <v/>
      </c>
      <c r="R50" s="822" t="str">
        <f>IF(O50=0,"",(IF(Q50=0,0,Q50*geg!$G$42)))</f>
        <v/>
      </c>
      <c r="S50" s="98"/>
      <c r="T50" s="37"/>
    </row>
    <row r="51" spans="2:20" ht="12.75" customHeight="1" x14ac:dyDescent="0.2">
      <c r="B51" s="34"/>
      <c r="C51" s="91"/>
      <c r="D51" s="192"/>
      <c r="E51" s="206"/>
      <c r="F51" s="155"/>
      <c r="G51" s="164"/>
      <c r="H51" s="336"/>
      <c r="I51" s="337"/>
      <c r="J51" s="337"/>
      <c r="K51" s="92"/>
      <c r="L51" s="958">
        <f t="shared" si="5"/>
        <v>42583</v>
      </c>
      <c r="M51" s="958">
        <f t="shared" si="6"/>
        <v>42947</v>
      </c>
      <c r="N51" s="928">
        <f t="shared" si="2"/>
        <v>365</v>
      </c>
      <c r="O51" s="823">
        <f t="shared" si="7"/>
        <v>0</v>
      </c>
      <c r="P51" s="92"/>
      <c r="Q51" s="821" t="str">
        <f t="shared" si="8"/>
        <v/>
      </c>
      <c r="R51" s="822" t="str">
        <f>IF(O51=0,"",(IF(Q51=0,0,Q51*geg!$G$42)))</f>
        <v/>
      </c>
      <c r="S51" s="98"/>
      <c r="T51" s="37"/>
    </row>
    <row r="52" spans="2:20" ht="12.75" customHeight="1" x14ac:dyDescent="0.2">
      <c r="B52" s="34"/>
      <c r="C52" s="91"/>
      <c r="D52" s="192"/>
      <c r="E52" s="206"/>
      <c r="F52" s="155"/>
      <c r="G52" s="164"/>
      <c r="H52" s="336"/>
      <c r="I52" s="337"/>
      <c r="J52" s="337"/>
      <c r="K52" s="92"/>
      <c r="L52" s="958">
        <f t="shared" si="5"/>
        <v>42583</v>
      </c>
      <c r="M52" s="958">
        <f t="shared" si="6"/>
        <v>42947</v>
      </c>
      <c r="N52" s="928">
        <f t="shared" si="2"/>
        <v>365</v>
      </c>
      <c r="O52" s="823">
        <f t="shared" si="7"/>
        <v>0</v>
      </c>
      <c r="P52" s="92"/>
      <c r="Q52" s="821" t="str">
        <f t="shared" si="8"/>
        <v/>
      </c>
      <c r="R52" s="822" t="str">
        <f>IF(O52=0,"",(IF(Q52=0,0,Q52*geg!$G$42)))</f>
        <v/>
      </c>
      <c r="S52" s="98"/>
      <c r="T52" s="37"/>
    </row>
    <row r="53" spans="2:20" ht="12.75" customHeight="1" x14ac:dyDescent="0.2">
      <c r="B53" s="34"/>
      <c r="C53" s="91"/>
      <c r="D53" s="192"/>
      <c r="E53" s="206"/>
      <c r="F53" s="155"/>
      <c r="G53" s="164"/>
      <c r="H53" s="336"/>
      <c r="I53" s="337"/>
      <c r="J53" s="337"/>
      <c r="K53" s="92"/>
      <c r="L53" s="958">
        <f t="shared" si="5"/>
        <v>42583</v>
      </c>
      <c r="M53" s="958">
        <f t="shared" si="6"/>
        <v>42947</v>
      </c>
      <c r="N53" s="928">
        <f t="shared" si="2"/>
        <v>365</v>
      </c>
      <c r="O53" s="823">
        <f t="shared" si="7"/>
        <v>0</v>
      </c>
      <c r="P53" s="92"/>
      <c r="Q53" s="821" t="str">
        <f t="shared" si="8"/>
        <v/>
      </c>
      <c r="R53" s="822" t="str">
        <f>IF(O53=0,"",(IF(Q53=0,0,Q53*geg!$G$42)))</f>
        <v/>
      </c>
      <c r="S53" s="98"/>
      <c r="T53" s="37"/>
    </row>
    <row r="54" spans="2:20" ht="12.75" customHeight="1" x14ac:dyDescent="0.2">
      <c r="B54" s="34"/>
      <c r="C54" s="91"/>
      <c r="D54" s="192"/>
      <c r="E54" s="206"/>
      <c r="F54" s="155"/>
      <c r="G54" s="164"/>
      <c r="H54" s="336"/>
      <c r="I54" s="337"/>
      <c r="J54" s="337"/>
      <c r="K54" s="92"/>
      <c r="L54" s="958">
        <f t="shared" si="5"/>
        <v>42583</v>
      </c>
      <c r="M54" s="958">
        <f t="shared" si="6"/>
        <v>42947</v>
      </c>
      <c r="N54" s="928">
        <f t="shared" si="2"/>
        <v>365</v>
      </c>
      <c r="O54" s="823">
        <f t="shared" si="7"/>
        <v>0</v>
      </c>
      <c r="P54" s="92"/>
      <c r="Q54" s="821" t="str">
        <f t="shared" si="8"/>
        <v/>
      </c>
      <c r="R54" s="822" t="str">
        <f>IF(O54=0,"",(IF(Q54=0,0,Q54*geg!$G$42)))</f>
        <v/>
      </c>
      <c r="S54" s="98"/>
      <c r="T54" s="37"/>
    </row>
    <row r="55" spans="2:20" ht="12.75" customHeight="1" x14ac:dyDescent="0.2">
      <c r="B55" s="34"/>
      <c r="C55" s="91"/>
      <c r="D55" s="192"/>
      <c r="E55" s="206"/>
      <c r="F55" s="155"/>
      <c r="G55" s="164"/>
      <c r="H55" s="336"/>
      <c r="I55" s="337"/>
      <c r="J55" s="337"/>
      <c r="K55" s="92"/>
      <c r="L55" s="958">
        <f t="shared" si="5"/>
        <v>42583</v>
      </c>
      <c r="M55" s="958">
        <f t="shared" si="6"/>
        <v>42947</v>
      </c>
      <c r="N55" s="928">
        <f t="shared" si="2"/>
        <v>365</v>
      </c>
      <c r="O55" s="823">
        <f t="shared" si="7"/>
        <v>0</v>
      </c>
      <c r="P55" s="92"/>
      <c r="Q55" s="821" t="str">
        <f t="shared" si="8"/>
        <v/>
      </c>
      <c r="R55" s="822" t="str">
        <f>IF(O55=0,"",(IF(Q55=0,0,Q55*geg!$G$42)))</f>
        <v/>
      </c>
      <c r="S55" s="98"/>
      <c r="T55" s="37"/>
    </row>
    <row r="56" spans="2:20" ht="12.75" customHeight="1" x14ac:dyDescent="0.2">
      <c r="B56" s="34"/>
      <c r="C56" s="91"/>
      <c r="D56" s="192"/>
      <c r="E56" s="206"/>
      <c r="F56" s="155"/>
      <c r="G56" s="164"/>
      <c r="H56" s="336"/>
      <c r="I56" s="337"/>
      <c r="J56" s="337"/>
      <c r="K56" s="92"/>
      <c r="L56" s="958">
        <f t="shared" si="5"/>
        <v>42583</v>
      </c>
      <c r="M56" s="958">
        <f t="shared" si="6"/>
        <v>42947</v>
      </c>
      <c r="N56" s="928">
        <f t="shared" si="2"/>
        <v>365</v>
      </c>
      <c r="O56" s="823">
        <f t="shared" si="7"/>
        <v>0</v>
      </c>
      <c r="P56" s="92"/>
      <c r="Q56" s="821" t="str">
        <f t="shared" si="8"/>
        <v/>
      </c>
      <c r="R56" s="822" t="str">
        <f>IF(O56=0,"",(IF(Q56=0,0,Q56*geg!$G$42)))</f>
        <v/>
      </c>
      <c r="S56" s="98"/>
      <c r="T56" s="37"/>
    </row>
    <row r="57" spans="2:20" ht="12.75" customHeight="1" x14ac:dyDescent="0.2">
      <c r="B57" s="34"/>
      <c r="C57" s="91"/>
      <c r="D57" s="192"/>
      <c r="E57" s="206"/>
      <c r="F57" s="155"/>
      <c r="G57" s="164"/>
      <c r="H57" s="336"/>
      <c r="I57" s="337"/>
      <c r="J57" s="337"/>
      <c r="K57" s="92"/>
      <c r="L57" s="958">
        <f t="shared" si="5"/>
        <v>42583</v>
      </c>
      <c r="M57" s="958">
        <f t="shared" si="6"/>
        <v>42947</v>
      </c>
      <c r="N57" s="928">
        <f t="shared" si="2"/>
        <v>365</v>
      </c>
      <c r="O57" s="823">
        <f t="shared" si="7"/>
        <v>0</v>
      </c>
      <c r="P57" s="92"/>
      <c r="Q57" s="821" t="str">
        <f t="shared" si="8"/>
        <v/>
      </c>
      <c r="R57" s="822" t="str">
        <f>IF(O57=0,"",(IF(Q57=0,0,Q57*geg!$G$42)))</f>
        <v/>
      </c>
      <c r="S57" s="98"/>
      <c r="T57" s="37"/>
    </row>
    <row r="58" spans="2:20" ht="12.75" customHeight="1" x14ac:dyDescent="0.2">
      <c r="B58" s="34"/>
      <c r="C58" s="91"/>
      <c r="D58" s="192"/>
      <c r="E58" s="206"/>
      <c r="F58" s="155"/>
      <c r="G58" s="164"/>
      <c r="H58" s="336"/>
      <c r="I58" s="337"/>
      <c r="J58" s="337"/>
      <c r="K58" s="92"/>
      <c r="L58" s="958">
        <f t="shared" si="5"/>
        <v>42583</v>
      </c>
      <c r="M58" s="958">
        <f t="shared" si="6"/>
        <v>42947</v>
      </c>
      <c r="N58" s="928">
        <f t="shared" si="2"/>
        <v>365</v>
      </c>
      <c r="O58" s="823">
        <f t="shared" si="7"/>
        <v>0</v>
      </c>
      <c r="P58" s="92"/>
      <c r="Q58" s="821" t="str">
        <f t="shared" si="8"/>
        <v/>
      </c>
      <c r="R58" s="822" t="str">
        <f>IF(O58=0,"",(IF(Q58=0,0,Q58*geg!$G$42)))</f>
        <v/>
      </c>
      <c r="S58" s="98"/>
      <c r="T58" s="37"/>
    </row>
    <row r="59" spans="2:20" ht="12.75" customHeight="1" x14ac:dyDescent="0.2">
      <c r="B59" s="34"/>
      <c r="C59" s="91"/>
      <c r="D59" s="192"/>
      <c r="E59" s="206"/>
      <c r="F59" s="155"/>
      <c r="G59" s="164"/>
      <c r="H59" s="336"/>
      <c r="I59" s="337"/>
      <c r="J59" s="337"/>
      <c r="K59" s="92"/>
      <c r="L59" s="958">
        <f t="shared" si="5"/>
        <v>42583</v>
      </c>
      <c r="M59" s="958">
        <f t="shared" si="6"/>
        <v>42947</v>
      </c>
      <c r="N59" s="928">
        <f t="shared" si="2"/>
        <v>365</v>
      </c>
      <c r="O59" s="823">
        <f t="shared" si="7"/>
        <v>0</v>
      </c>
      <c r="P59" s="92"/>
      <c r="Q59" s="821" t="str">
        <f t="shared" si="8"/>
        <v/>
      </c>
      <c r="R59" s="822" t="str">
        <f>IF(O59=0,"",(IF(Q59=0,0,Q59*geg!$G$42)))</f>
        <v/>
      </c>
      <c r="S59" s="98"/>
      <c r="T59" s="37"/>
    </row>
    <row r="60" spans="2:20" ht="12.75" customHeight="1" x14ac:dyDescent="0.2">
      <c r="B60" s="34"/>
      <c r="C60" s="91"/>
      <c r="D60" s="192"/>
      <c r="E60" s="206"/>
      <c r="F60" s="155"/>
      <c r="G60" s="164"/>
      <c r="H60" s="336"/>
      <c r="I60" s="337"/>
      <c r="J60" s="337"/>
      <c r="K60" s="92"/>
      <c r="L60" s="958">
        <f t="shared" si="5"/>
        <v>42583</v>
      </c>
      <c r="M60" s="958">
        <f t="shared" si="6"/>
        <v>42947</v>
      </c>
      <c r="N60" s="928">
        <f t="shared" si="2"/>
        <v>365</v>
      </c>
      <c r="O60" s="823">
        <f t="shared" si="7"/>
        <v>0</v>
      </c>
      <c r="P60" s="92"/>
      <c r="Q60" s="821" t="str">
        <f t="shared" si="8"/>
        <v/>
      </c>
      <c r="R60" s="822" t="str">
        <f>IF(O60=0,"",(IF(Q60=0,0,Q60*geg!$G$42)))</f>
        <v/>
      </c>
      <c r="S60" s="98"/>
      <c r="T60" s="37"/>
    </row>
    <row r="61" spans="2:20" ht="12.75" customHeight="1" x14ac:dyDescent="0.2">
      <c r="B61" s="34"/>
      <c r="C61" s="91"/>
      <c r="D61" s="192"/>
      <c r="E61" s="206"/>
      <c r="F61" s="155"/>
      <c r="G61" s="164"/>
      <c r="H61" s="336"/>
      <c r="I61" s="337"/>
      <c r="J61" s="337"/>
      <c r="K61" s="92"/>
      <c r="L61" s="958">
        <f t="shared" si="5"/>
        <v>42583</v>
      </c>
      <c r="M61" s="958">
        <f t="shared" si="6"/>
        <v>42947</v>
      </c>
      <c r="N61" s="928">
        <f t="shared" si="2"/>
        <v>365</v>
      </c>
      <c r="O61" s="823">
        <f t="shared" si="7"/>
        <v>0</v>
      </c>
      <c r="P61" s="92"/>
      <c r="Q61" s="821" t="str">
        <f t="shared" si="8"/>
        <v/>
      </c>
      <c r="R61" s="822" t="str">
        <f>IF(O61=0,"",(IF(Q61=0,0,Q61*geg!$G$42)))</f>
        <v/>
      </c>
      <c r="S61" s="98"/>
      <c r="T61" s="37"/>
    </row>
    <row r="62" spans="2:20" ht="12.75" customHeight="1" x14ac:dyDescent="0.2">
      <c r="B62" s="34"/>
      <c r="C62" s="91"/>
      <c r="D62" s="192"/>
      <c r="E62" s="206"/>
      <c r="F62" s="155"/>
      <c r="G62" s="164"/>
      <c r="H62" s="336"/>
      <c r="I62" s="337"/>
      <c r="J62" s="337"/>
      <c r="K62" s="92"/>
      <c r="L62" s="958">
        <f t="shared" si="5"/>
        <v>42583</v>
      </c>
      <c r="M62" s="958">
        <f t="shared" si="6"/>
        <v>42947</v>
      </c>
      <c r="N62" s="928">
        <f t="shared" si="2"/>
        <v>365</v>
      </c>
      <c r="O62" s="823">
        <f t="shared" si="7"/>
        <v>0</v>
      </c>
      <c r="P62" s="92"/>
      <c r="Q62" s="821" t="str">
        <f t="shared" si="8"/>
        <v/>
      </c>
      <c r="R62" s="822" t="str">
        <f>IF(O62=0,"",(IF(Q62=0,0,Q62*geg!$G$42)))</f>
        <v/>
      </c>
      <c r="S62" s="98"/>
      <c r="T62" s="37"/>
    </row>
    <row r="63" spans="2:20" ht="12.75" customHeight="1" x14ac:dyDescent="0.2">
      <c r="B63" s="34"/>
      <c r="C63" s="91"/>
      <c r="D63" s="192"/>
      <c r="E63" s="206"/>
      <c r="F63" s="155"/>
      <c r="G63" s="164"/>
      <c r="H63" s="336"/>
      <c r="I63" s="337"/>
      <c r="J63" s="337"/>
      <c r="K63" s="92"/>
      <c r="L63" s="958">
        <f t="shared" si="5"/>
        <v>42583</v>
      </c>
      <c r="M63" s="958">
        <f t="shared" si="6"/>
        <v>42947</v>
      </c>
      <c r="N63" s="928">
        <f t="shared" si="2"/>
        <v>365</v>
      </c>
      <c r="O63" s="823">
        <f t="shared" si="7"/>
        <v>0</v>
      </c>
      <c r="P63" s="92"/>
      <c r="Q63" s="821" t="str">
        <f t="shared" si="8"/>
        <v/>
      </c>
      <c r="R63" s="822" t="str">
        <f>IF(O63=0,"",(IF(Q63=0,0,Q63*geg!$G$42)))</f>
        <v/>
      </c>
      <c r="S63" s="98"/>
      <c r="T63" s="37"/>
    </row>
    <row r="64" spans="2:20" ht="12.75" customHeight="1" x14ac:dyDescent="0.2">
      <c r="B64" s="34"/>
      <c r="C64" s="91"/>
      <c r="D64" s="192"/>
      <c r="E64" s="206"/>
      <c r="F64" s="155"/>
      <c r="G64" s="164"/>
      <c r="H64" s="336"/>
      <c r="I64" s="337"/>
      <c r="J64" s="337"/>
      <c r="K64" s="92"/>
      <c r="L64" s="958">
        <f t="shared" si="5"/>
        <v>42583</v>
      </c>
      <c r="M64" s="958">
        <f t="shared" si="6"/>
        <v>42947</v>
      </c>
      <c r="N64" s="928">
        <f t="shared" si="2"/>
        <v>365</v>
      </c>
      <c r="O64" s="823">
        <f t="shared" si="7"/>
        <v>0</v>
      </c>
      <c r="P64" s="92"/>
      <c r="Q64" s="821" t="str">
        <f t="shared" si="8"/>
        <v/>
      </c>
      <c r="R64" s="822" t="str">
        <f>IF(O64=0,"",(IF(Q64=0,0,Q64*geg!$G$42)))</f>
        <v/>
      </c>
      <c r="S64" s="98"/>
      <c r="T64" s="37"/>
    </row>
    <row r="65" spans="2:20" ht="12.75" customHeight="1" x14ac:dyDescent="0.2">
      <c r="B65" s="34"/>
      <c r="C65" s="91"/>
      <c r="D65" s="192"/>
      <c r="E65" s="206"/>
      <c r="F65" s="155"/>
      <c r="G65" s="164"/>
      <c r="H65" s="336"/>
      <c r="I65" s="337"/>
      <c r="J65" s="337"/>
      <c r="K65" s="92"/>
      <c r="L65" s="958">
        <f t="shared" si="5"/>
        <v>42583</v>
      </c>
      <c r="M65" s="958">
        <f t="shared" si="6"/>
        <v>42947</v>
      </c>
      <c r="N65" s="928">
        <f t="shared" si="2"/>
        <v>365</v>
      </c>
      <c r="O65" s="823">
        <f t="shared" si="7"/>
        <v>0</v>
      </c>
      <c r="P65" s="92"/>
      <c r="Q65" s="821" t="str">
        <f t="shared" si="8"/>
        <v/>
      </c>
      <c r="R65" s="822" t="str">
        <f>IF(O65=0,"",(IF(Q65=0,0,Q65*geg!$G$42)))</f>
        <v/>
      </c>
      <c r="S65" s="98"/>
      <c r="T65" s="37"/>
    </row>
    <row r="66" spans="2:20" ht="12.75" customHeight="1" x14ac:dyDescent="0.2">
      <c r="B66" s="34"/>
      <c r="C66" s="91"/>
      <c r="D66" s="192"/>
      <c r="E66" s="206"/>
      <c r="F66" s="155"/>
      <c r="G66" s="164"/>
      <c r="H66" s="336"/>
      <c r="I66" s="337"/>
      <c r="J66" s="337"/>
      <c r="K66" s="92"/>
      <c r="L66" s="958">
        <f t="shared" si="5"/>
        <v>42583</v>
      </c>
      <c r="M66" s="958">
        <f t="shared" si="6"/>
        <v>42947</v>
      </c>
      <c r="N66" s="928">
        <f t="shared" si="2"/>
        <v>365</v>
      </c>
      <c r="O66" s="823">
        <f t="shared" si="7"/>
        <v>0</v>
      </c>
      <c r="P66" s="92"/>
      <c r="Q66" s="821" t="str">
        <f t="shared" si="8"/>
        <v/>
      </c>
      <c r="R66" s="822" t="str">
        <f>IF(O66=0,"",(IF(Q66=0,0,Q66*geg!$G$42)))</f>
        <v/>
      </c>
      <c r="S66" s="98"/>
      <c r="T66" s="37"/>
    </row>
    <row r="67" spans="2:20" ht="12.75" customHeight="1" x14ac:dyDescent="0.2">
      <c r="B67" s="34"/>
      <c r="C67" s="91"/>
      <c r="D67" s="192"/>
      <c r="E67" s="206"/>
      <c r="F67" s="155"/>
      <c r="G67" s="164"/>
      <c r="H67" s="336"/>
      <c r="I67" s="337"/>
      <c r="J67" s="337"/>
      <c r="K67" s="92"/>
      <c r="L67" s="958">
        <f t="shared" si="5"/>
        <v>42583</v>
      </c>
      <c r="M67" s="958">
        <f t="shared" si="6"/>
        <v>42947</v>
      </c>
      <c r="N67" s="928">
        <f t="shared" si="2"/>
        <v>365</v>
      </c>
      <c r="O67" s="823">
        <f t="shared" si="7"/>
        <v>0</v>
      </c>
      <c r="P67" s="92"/>
      <c r="Q67" s="821" t="str">
        <f t="shared" si="8"/>
        <v/>
      </c>
      <c r="R67" s="822" t="str">
        <f>IF(O67=0,"",(IF(Q67=0,0,Q67*geg!$G$42)))</f>
        <v/>
      </c>
      <c r="S67" s="98"/>
      <c r="T67" s="37"/>
    </row>
    <row r="68" spans="2:20" ht="12.75" customHeight="1" x14ac:dyDescent="0.2">
      <c r="B68" s="34"/>
      <c r="C68" s="91"/>
      <c r="D68" s="192"/>
      <c r="E68" s="206"/>
      <c r="F68" s="155"/>
      <c r="G68" s="164"/>
      <c r="H68" s="336"/>
      <c r="I68" s="337"/>
      <c r="J68" s="337"/>
      <c r="K68" s="92"/>
      <c r="L68" s="958">
        <f t="shared" si="5"/>
        <v>42583</v>
      </c>
      <c r="M68" s="958">
        <f t="shared" si="6"/>
        <v>42947</v>
      </c>
      <c r="N68" s="928">
        <f t="shared" si="2"/>
        <v>365</v>
      </c>
      <c r="O68" s="823">
        <f t="shared" si="7"/>
        <v>0</v>
      </c>
      <c r="P68" s="92"/>
      <c r="Q68" s="821" t="str">
        <f t="shared" si="8"/>
        <v/>
      </c>
      <c r="R68" s="822" t="str">
        <f>IF(O68=0,"",(IF(Q68=0,0,Q68*geg!$G$42)))</f>
        <v/>
      </c>
      <c r="S68" s="98"/>
      <c r="T68" s="37"/>
    </row>
    <row r="69" spans="2:20" ht="12.75" customHeight="1" x14ac:dyDescent="0.2">
      <c r="B69" s="34"/>
      <c r="C69" s="91"/>
      <c r="D69" s="192"/>
      <c r="E69" s="206"/>
      <c r="F69" s="155"/>
      <c r="G69" s="164"/>
      <c r="H69" s="336"/>
      <c r="I69" s="337"/>
      <c r="J69" s="337"/>
      <c r="K69" s="92"/>
      <c r="L69" s="958">
        <f t="shared" si="5"/>
        <v>42583</v>
      </c>
      <c r="M69" s="958">
        <f t="shared" si="6"/>
        <v>42947</v>
      </c>
      <c r="N69" s="928">
        <f t="shared" si="2"/>
        <v>365</v>
      </c>
      <c r="O69" s="823">
        <f t="shared" si="7"/>
        <v>0</v>
      </c>
      <c r="P69" s="92"/>
      <c r="Q69" s="821" t="str">
        <f t="shared" si="8"/>
        <v/>
      </c>
      <c r="R69" s="822" t="str">
        <f>IF(O69=0,"",(IF(Q69=0,0,Q69*geg!$G$42)))</f>
        <v/>
      </c>
      <c r="S69" s="98"/>
      <c r="T69" s="37"/>
    </row>
    <row r="70" spans="2:20" ht="12.75" customHeight="1" x14ac:dyDescent="0.2">
      <c r="B70" s="34"/>
      <c r="C70" s="91"/>
      <c r="D70" s="192"/>
      <c r="E70" s="206"/>
      <c r="F70" s="155"/>
      <c r="G70" s="164"/>
      <c r="H70" s="336"/>
      <c r="I70" s="337"/>
      <c r="J70" s="337"/>
      <c r="K70" s="92"/>
      <c r="L70" s="958">
        <f t="shared" si="5"/>
        <v>42583</v>
      </c>
      <c r="M70" s="958">
        <f t="shared" si="6"/>
        <v>42947</v>
      </c>
      <c r="N70" s="928">
        <f t="shared" si="2"/>
        <v>365</v>
      </c>
      <c r="O70" s="823">
        <f t="shared" si="7"/>
        <v>0</v>
      </c>
      <c r="P70" s="92"/>
      <c r="Q70" s="821" t="str">
        <f t="shared" si="8"/>
        <v/>
      </c>
      <c r="R70" s="822" t="str">
        <f>IF(O70=0,"",(IF(Q70=0,0,Q70*geg!$G$42)))</f>
        <v/>
      </c>
      <c r="S70" s="98"/>
      <c r="T70" s="37"/>
    </row>
    <row r="71" spans="2:20" ht="12.75" customHeight="1" x14ac:dyDescent="0.2">
      <c r="B71" s="34"/>
      <c r="C71" s="91"/>
      <c r="D71" s="192"/>
      <c r="E71" s="206"/>
      <c r="F71" s="155"/>
      <c r="G71" s="164"/>
      <c r="H71" s="336"/>
      <c r="I71" s="337"/>
      <c r="J71" s="337"/>
      <c r="K71" s="92"/>
      <c r="L71" s="958">
        <f t="shared" si="5"/>
        <v>42583</v>
      </c>
      <c r="M71" s="958">
        <f t="shared" si="6"/>
        <v>42947</v>
      </c>
      <c r="N71" s="928">
        <f t="shared" si="2"/>
        <v>365</v>
      </c>
      <c r="O71" s="823">
        <f t="shared" si="7"/>
        <v>0</v>
      </c>
      <c r="P71" s="92"/>
      <c r="Q71" s="821" t="str">
        <f t="shared" si="8"/>
        <v/>
      </c>
      <c r="R71" s="822" t="str">
        <f>IF(O71=0,"",(IF(Q71=0,0,Q71*geg!$G$42)))</f>
        <v/>
      </c>
      <c r="S71" s="98"/>
      <c r="T71" s="37"/>
    </row>
    <row r="72" spans="2:20" ht="12.75" customHeight="1" x14ac:dyDescent="0.2">
      <c r="B72" s="34"/>
      <c r="C72" s="91"/>
      <c r="D72" s="192"/>
      <c r="E72" s="206"/>
      <c r="F72" s="155"/>
      <c r="G72" s="164"/>
      <c r="H72" s="336"/>
      <c r="I72" s="337"/>
      <c r="J72" s="337"/>
      <c r="K72" s="92"/>
      <c r="L72" s="958">
        <f t="shared" si="5"/>
        <v>42583</v>
      </c>
      <c r="M72" s="958">
        <f t="shared" si="6"/>
        <v>42947</v>
      </c>
      <c r="N72" s="928">
        <f t="shared" ref="N72:N107" si="9">M72-L72+1</f>
        <v>365</v>
      </c>
      <c r="O72" s="823">
        <f t="shared" si="7"/>
        <v>0</v>
      </c>
      <c r="P72" s="92"/>
      <c r="Q72" s="821" t="str">
        <f t="shared" si="8"/>
        <v/>
      </c>
      <c r="R72" s="822" t="str">
        <f>IF(O72=0,"",(IF(Q72=0,0,Q72*geg!$G$42)))</f>
        <v/>
      </c>
      <c r="S72" s="98"/>
      <c r="T72" s="37"/>
    </row>
    <row r="73" spans="2:20" ht="12.75" customHeight="1" x14ac:dyDescent="0.2">
      <c r="B73" s="34"/>
      <c r="C73" s="91"/>
      <c r="D73" s="192"/>
      <c r="E73" s="206"/>
      <c r="F73" s="155"/>
      <c r="G73" s="164"/>
      <c r="H73" s="336"/>
      <c r="I73" s="337"/>
      <c r="J73" s="337"/>
      <c r="K73" s="92"/>
      <c r="L73" s="958">
        <f t="shared" si="5"/>
        <v>42583</v>
      </c>
      <c r="M73" s="958">
        <f t="shared" si="6"/>
        <v>42947</v>
      </c>
      <c r="N73" s="928">
        <f t="shared" si="9"/>
        <v>365</v>
      </c>
      <c r="O73" s="823">
        <f t="shared" si="7"/>
        <v>0</v>
      </c>
      <c r="P73" s="92"/>
      <c r="Q73" s="821" t="str">
        <f t="shared" si="8"/>
        <v/>
      </c>
      <c r="R73" s="822" t="str">
        <f>IF(O73=0,"",(IF(Q73=0,0,Q73*geg!$G$42)))</f>
        <v/>
      </c>
      <c r="S73" s="98"/>
      <c r="T73" s="37"/>
    </row>
    <row r="74" spans="2:20" ht="12.75" customHeight="1" x14ac:dyDescent="0.2">
      <c r="B74" s="34"/>
      <c r="C74" s="91"/>
      <c r="D74" s="192"/>
      <c r="E74" s="206"/>
      <c r="F74" s="155"/>
      <c r="G74" s="164"/>
      <c r="H74" s="336"/>
      <c r="I74" s="337"/>
      <c r="J74" s="337"/>
      <c r="K74" s="92"/>
      <c r="L74" s="958">
        <f t="shared" si="5"/>
        <v>42583</v>
      </c>
      <c r="M74" s="958">
        <f t="shared" si="6"/>
        <v>42947</v>
      </c>
      <c r="N74" s="928">
        <f t="shared" si="9"/>
        <v>365</v>
      </c>
      <c r="O74" s="823">
        <f t="shared" si="7"/>
        <v>0</v>
      </c>
      <c r="P74" s="92"/>
      <c r="Q74" s="821" t="str">
        <f t="shared" si="8"/>
        <v/>
      </c>
      <c r="R74" s="822" t="str">
        <f>IF(O74=0,"",(IF(Q74=0,0,Q74*geg!$G$42)))</f>
        <v/>
      </c>
      <c r="S74" s="98"/>
      <c r="T74" s="37"/>
    </row>
    <row r="75" spans="2:20" ht="12.75" customHeight="1" x14ac:dyDescent="0.2">
      <c r="B75" s="34"/>
      <c r="C75" s="91"/>
      <c r="D75" s="192"/>
      <c r="E75" s="206"/>
      <c r="F75" s="155"/>
      <c r="G75" s="164"/>
      <c r="H75" s="336"/>
      <c r="I75" s="337"/>
      <c r="J75" s="337"/>
      <c r="K75" s="92"/>
      <c r="L75" s="958">
        <f t="shared" ref="L75:L110" si="10">IF(I75=0,$L$8,I75)</f>
        <v>42583</v>
      </c>
      <c r="M75" s="958">
        <f t="shared" ref="M75:M110" si="11">IF(J75=0,$M$8,J75)</f>
        <v>42947</v>
      </c>
      <c r="N75" s="928">
        <f t="shared" si="9"/>
        <v>365</v>
      </c>
      <c r="O75" s="823">
        <f t="shared" ref="O75:O110" si="12">H75*N75/$N$8</f>
        <v>0</v>
      </c>
      <c r="P75" s="92"/>
      <c r="Q75" s="821" t="str">
        <f t="shared" ref="Q75:Q110" si="13">IF(O75=0,"",(VLOOKUP(G75,FPE_LA,2,FALSE))*O75)</f>
        <v/>
      </c>
      <c r="R75" s="822" t="str">
        <f>IF(O75=0,"",(IF(Q75=0,0,Q75*geg!$G$42)))</f>
        <v/>
      </c>
      <c r="S75" s="98"/>
      <c r="T75" s="37"/>
    </row>
    <row r="76" spans="2:20" ht="12.75" customHeight="1" x14ac:dyDescent="0.2">
      <c r="B76" s="34"/>
      <c r="C76" s="91"/>
      <c r="D76" s="192"/>
      <c r="E76" s="206"/>
      <c r="F76" s="155"/>
      <c r="G76" s="164"/>
      <c r="H76" s="336"/>
      <c r="I76" s="337"/>
      <c r="J76" s="337"/>
      <c r="K76" s="92"/>
      <c r="L76" s="958">
        <f t="shared" si="10"/>
        <v>42583</v>
      </c>
      <c r="M76" s="958">
        <f t="shared" si="11"/>
        <v>42947</v>
      </c>
      <c r="N76" s="928">
        <f t="shared" si="9"/>
        <v>365</v>
      </c>
      <c r="O76" s="823">
        <f t="shared" si="12"/>
        <v>0</v>
      </c>
      <c r="P76" s="92"/>
      <c r="Q76" s="821" t="str">
        <f t="shared" si="13"/>
        <v/>
      </c>
      <c r="R76" s="822" t="str">
        <f>IF(O76=0,"",(IF(Q76=0,0,Q76*geg!$G$42)))</f>
        <v/>
      </c>
      <c r="S76" s="98"/>
      <c r="T76" s="37"/>
    </row>
    <row r="77" spans="2:20" ht="12.75" customHeight="1" x14ac:dyDescent="0.2">
      <c r="B77" s="34"/>
      <c r="C77" s="91"/>
      <c r="D77" s="192"/>
      <c r="E77" s="206"/>
      <c r="F77" s="155"/>
      <c r="G77" s="164"/>
      <c r="H77" s="336"/>
      <c r="I77" s="337"/>
      <c r="J77" s="337"/>
      <c r="K77" s="92"/>
      <c r="L77" s="958">
        <f t="shared" si="10"/>
        <v>42583</v>
      </c>
      <c r="M77" s="958">
        <f t="shared" si="11"/>
        <v>42947</v>
      </c>
      <c r="N77" s="928">
        <f t="shared" si="9"/>
        <v>365</v>
      </c>
      <c r="O77" s="823">
        <f t="shared" si="12"/>
        <v>0</v>
      </c>
      <c r="P77" s="92"/>
      <c r="Q77" s="821" t="str">
        <f t="shared" si="13"/>
        <v/>
      </c>
      <c r="R77" s="822" t="str">
        <f>IF(O77=0,"",(IF(Q77=0,0,Q77*geg!$G$42)))</f>
        <v/>
      </c>
      <c r="S77" s="98"/>
      <c r="T77" s="37"/>
    </row>
    <row r="78" spans="2:20" ht="12.75" customHeight="1" x14ac:dyDescent="0.2">
      <c r="B78" s="34"/>
      <c r="C78" s="91"/>
      <c r="D78" s="192"/>
      <c r="E78" s="206"/>
      <c r="F78" s="155"/>
      <c r="G78" s="164"/>
      <c r="H78" s="336"/>
      <c r="I78" s="337"/>
      <c r="J78" s="337"/>
      <c r="K78" s="92"/>
      <c r="L78" s="958">
        <f t="shared" si="10"/>
        <v>42583</v>
      </c>
      <c r="M78" s="958">
        <f t="shared" si="11"/>
        <v>42947</v>
      </c>
      <c r="N78" s="928">
        <f t="shared" si="9"/>
        <v>365</v>
      </c>
      <c r="O78" s="823">
        <f t="shared" si="12"/>
        <v>0</v>
      </c>
      <c r="P78" s="92"/>
      <c r="Q78" s="821" t="str">
        <f t="shared" si="13"/>
        <v/>
      </c>
      <c r="R78" s="822" t="str">
        <f>IF(O78=0,"",(IF(Q78=0,0,Q78*geg!$G$42)))</f>
        <v/>
      </c>
      <c r="S78" s="98"/>
      <c r="T78" s="37"/>
    </row>
    <row r="79" spans="2:20" ht="12.75" customHeight="1" x14ac:dyDescent="0.2">
      <c r="B79" s="34"/>
      <c r="C79" s="91"/>
      <c r="D79" s="192"/>
      <c r="E79" s="206"/>
      <c r="F79" s="155"/>
      <c r="G79" s="164"/>
      <c r="H79" s="336"/>
      <c r="I79" s="337"/>
      <c r="J79" s="337"/>
      <c r="K79" s="92"/>
      <c r="L79" s="958">
        <f t="shared" si="10"/>
        <v>42583</v>
      </c>
      <c r="M79" s="958">
        <f t="shared" si="11"/>
        <v>42947</v>
      </c>
      <c r="N79" s="928">
        <f t="shared" si="9"/>
        <v>365</v>
      </c>
      <c r="O79" s="823">
        <f t="shared" si="12"/>
        <v>0</v>
      </c>
      <c r="P79" s="92"/>
      <c r="Q79" s="821" t="str">
        <f t="shared" si="13"/>
        <v/>
      </c>
      <c r="R79" s="822" t="str">
        <f>IF(O79=0,"",(IF(Q79=0,0,Q79*geg!$G$42)))</f>
        <v/>
      </c>
      <c r="S79" s="98"/>
      <c r="T79" s="37"/>
    </row>
    <row r="80" spans="2:20" ht="12.75" customHeight="1" x14ac:dyDescent="0.2">
      <c r="B80" s="34"/>
      <c r="C80" s="91"/>
      <c r="D80" s="192"/>
      <c r="E80" s="206"/>
      <c r="F80" s="155"/>
      <c r="G80" s="164"/>
      <c r="H80" s="336"/>
      <c r="I80" s="337"/>
      <c r="J80" s="337"/>
      <c r="K80" s="92"/>
      <c r="L80" s="958">
        <f t="shared" si="10"/>
        <v>42583</v>
      </c>
      <c r="M80" s="958">
        <f t="shared" si="11"/>
        <v>42947</v>
      </c>
      <c r="N80" s="928">
        <f t="shared" si="9"/>
        <v>365</v>
      </c>
      <c r="O80" s="823">
        <f t="shared" si="12"/>
        <v>0</v>
      </c>
      <c r="P80" s="92"/>
      <c r="Q80" s="821" t="str">
        <f t="shared" si="13"/>
        <v/>
      </c>
      <c r="R80" s="822" t="str">
        <f>IF(O80=0,"",(IF(Q80=0,0,Q80*geg!$G$42)))</f>
        <v/>
      </c>
      <c r="S80" s="98"/>
      <c r="T80" s="37"/>
    </row>
    <row r="81" spans="2:20" ht="12.75" customHeight="1" x14ac:dyDescent="0.2">
      <c r="B81" s="34"/>
      <c r="C81" s="91"/>
      <c r="D81" s="192"/>
      <c r="E81" s="206"/>
      <c r="F81" s="155"/>
      <c r="G81" s="164"/>
      <c r="H81" s="336"/>
      <c r="I81" s="337"/>
      <c r="J81" s="337"/>
      <c r="K81" s="92"/>
      <c r="L81" s="958">
        <f t="shared" si="10"/>
        <v>42583</v>
      </c>
      <c r="M81" s="958">
        <f t="shared" si="11"/>
        <v>42947</v>
      </c>
      <c r="N81" s="928">
        <f t="shared" si="9"/>
        <v>365</v>
      </c>
      <c r="O81" s="823">
        <f t="shared" si="12"/>
        <v>0</v>
      </c>
      <c r="P81" s="92"/>
      <c r="Q81" s="821" t="str">
        <f t="shared" si="13"/>
        <v/>
      </c>
      <c r="R81" s="822" t="str">
        <f>IF(O81=0,"",(IF(Q81=0,0,Q81*geg!$G$42)))</f>
        <v/>
      </c>
      <c r="S81" s="98"/>
      <c r="T81" s="37"/>
    </row>
    <row r="82" spans="2:20" ht="12.75" customHeight="1" x14ac:dyDescent="0.2">
      <c r="B82" s="34"/>
      <c r="C82" s="91"/>
      <c r="D82" s="192"/>
      <c r="E82" s="206"/>
      <c r="F82" s="155"/>
      <c r="G82" s="164"/>
      <c r="H82" s="336"/>
      <c r="I82" s="337"/>
      <c r="J82" s="337"/>
      <c r="K82" s="92"/>
      <c r="L82" s="958">
        <f t="shared" si="10"/>
        <v>42583</v>
      </c>
      <c r="M82" s="958">
        <f t="shared" si="11"/>
        <v>42947</v>
      </c>
      <c r="N82" s="928">
        <f t="shared" si="9"/>
        <v>365</v>
      </c>
      <c r="O82" s="823">
        <f t="shared" si="12"/>
        <v>0</v>
      </c>
      <c r="P82" s="92"/>
      <c r="Q82" s="821" t="str">
        <f t="shared" si="13"/>
        <v/>
      </c>
      <c r="R82" s="822" t="str">
        <f>IF(O82=0,"",(IF(Q82=0,0,Q82*geg!$G$42)))</f>
        <v/>
      </c>
      <c r="S82" s="98"/>
      <c r="T82" s="37"/>
    </row>
    <row r="83" spans="2:20" ht="12.75" customHeight="1" x14ac:dyDescent="0.2">
      <c r="B83" s="34"/>
      <c r="C83" s="91"/>
      <c r="D83" s="192"/>
      <c r="E83" s="206"/>
      <c r="F83" s="155"/>
      <c r="G83" s="164"/>
      <c r="H83" s="336"/>
      <c r="I83" s="337"/>
      <c r="J83" s="337"/>
      <c r="K83" s="92"/>
      <c r="L83" s="958">
        <f t="shared" si="10"/>
        <v>42583</v>
      </c>
      <c r="M83" s="958">
        <f t="shared" si="11"/>
        <v>42947</v>
      </c>
      <c r="N83" s="928">
        <f t="shared" si="9"/>
        <v>365</v>
      </c>
      <c r="O83" s="823">
        <f t="shared" si="12"/>
        <v>0</v>
      </c>
      <c r="P83" s="92"/>
      <c r="Q83" s="821" t="str">
        <f t="shared" si="13"/>
        <v/>
      </c>
      <c r="R83" s="822" t="str">
        <f>IF(O83=0,"",(IF(Q83=0,0,Q83*geg!$G$42)))</f>
        <v/>
      </c>
      <c r="S83" s="98"/>
      <c r="T83" s="37"/>
    </row>
    <row r="84" spans="2:20" ht="12.75" customHeight="1" x14ac:dyDescent="0.2">
      <c r="B84" s="34"/>
      <c r="C84" s="91"/>
      <c r="D84" s="192"/>
      <c r="E84" s="206"/>
      <c r="F84" s="155"/>
      <c r="G84" s="164"/>
      <c r="H84" s="336"/>
      <c r="I84" s="337"/>
      <c r="J84" s="337"/>
      <c r="K84" s="92"/>
      <c r="L84" s="958">
        <f t="shared" si="10"/>
        <v>42583</v>
      </c>
      <c r="M84" s="958">
        <f t="shared" si="11"/>
        <v>42947</v>
      </c>
      <c r="N84" s="928">
        <f t="shared" si="9"/>
        <v>365</v>
      </c>
      <c r="O84" s="823">
        <f t="shared" si="12"/>
        <v>0</v>
      </c>
      <c r="P84" s="92"/>
      <c r="Q84" s="821" t="str">
        <f t="shared" si="13"/>
        <v/>
      </c>
      <c r="R84" s="822" t="str">
        <f>IF(O84=0,"",(IF(Q84=0,0,Q84*geg!$G$42)))</f>
        <v/>
      </c>
      <c r="S84" s="98"/>
      <c r="T84" s="37"/>
    </row>
    <row r="85" spans="2:20" ht="12.75" customHeight="1" x14ac:dyDescent="0.2">
      <c r="B85" s="34"/>
      <c r="C85" s="91"/>
      <c r="D85" s="192"/>
      <c r="E85" s="206"/>
      <c r="F85" s="155"/>
      <c r="G85" s="164"/>
      <c r="H85" s="336"/>
      <c r="I85" s="337"/>
      <c r="J85" s="337"/>
      <c r="K85" s="92"/>
      <c r="L85" s="958">
        <f t="shared" si="10"/>
        <v>42583</v>
      </c>
      <c r="M85" s="958">
        <f t="shared" si="11"/>
        <v>42947</v>
      </c>
      <c r="N85" s="928">
        <f t="shared" si="9"/>
        <v>365</v>
      </c>
      <c r="O85" s="823">
        <f t="shared" si="12"/>
        <v>0</v>
      </c>
      <c r="P85" s="92"/>
      <c r="Q85" s="821" t="str">
        <f t="shared" si="13"/>
        <v/>
      </c>
      <c r="R85" s="822" t="str">
        <f>IF(O85=0,"",(IF(Q85=0,0,Q85*geg!$G$42)))</f>
        <v/>
      </c>
      <c r="S85" s="98"/>
      <c r="T85" s="37"/>
    </row>
    <row r="86" spans="2:20" ht="12.75" customHeight="1" x14ac:dyDescent="0.2">
      <c r="B86" s="34"/>
      <c r="C86" s="91"/>
      <c r="D86" s="192"/>
      <c r="E86" s="206"/>
      <c r="F86" s="155"/>
      <c r="G86" s="164"/>
      <c r="H86" s="336"/>
      <c r="I86" s="337"/>
      <c r="J86" s="337"/>
      <c r="K86" s="92"/>
      <c r="L86" s="958">
        <f t="shared" si="10"/>
        <v>42583</v>
      </c>
      <c r="M86" s="958">
        <f t="shared" si="11"/>
        <v>42947</v>
      </c>
      <c r="N86" s="928">
        <f t="shared" si="9"/>
        <v>365</v>
      </c>
      <c r="O86" s="823">
        <f t="shared" si="12"/>
        <v>0</v>
      </c>
      <c r="P86" s="92"/>
      <c r="Q86" s="821" t="str">
        <f t="shared" si="13"/>
        <v/>
      </c>
      <c r="R86" s="822" t="str">
        <f>IF(O86=0,"",(IF(Q86=0,0,Q86*geg!$G$42)))</f>
        <v/>
      </c>
      <c r="S86" s="98"/>
      <c r="T86" s="37"/>
    </row>
    <row r="87" spans="2:20" ht="12.75" customHeight="1" x14ac:dyDescent="0.2">
      <c r="B87" s="34"/>
      <c r="C87" s="91"/>
      <c r="D87" s="192"/>
      <c r="E87" s="206"/>
      <c r="F87" s="155"/>
      <c r="G87" s="164"/>
      <c r="H87" s="336"/>
      <c r="I87" s="337"/>
      <c r="J87" s="337"/>
      <c r="K87" s="92"/>
      <c r="L87" s="958">
        <f t="shared" si="10"/>
        <v>42583</v>
      </c>
      <c r="M87" s="958">
        <f t="shared" si="11"/>
        <v>42947</v>
      </c>
      <c r="N87" s="928">
        <f t="shared" si="9"/>
        <v>365</v>
      </c>
      <c r="O87" s="823">
        <f t="shared" si="12"/>
        <v>0</v>
      </c>
      <c r="P87" s="92"/>
      <c r="Q87" s="821" t="str">
        <f t="shared" si="13"/>
        <v/>
      </c>
      <c r="R87" s="822" t="str">
        <f>IF(O87=0,"",(IF(Q87=0,0,Q87*geg!$G$42)))</f>
        <v/>
      </c>
      <c r="S87" s="98"/>
      <c r="T87" s="37"/>
    </row>
    <row r="88" spans="2:20" ht="12.75" customHeight="1" x14ac:dyDescent="0.2">
      <c r="B88" s="34"/>
      <c r="C88" s="91"/>
      <c r="D88" s="192"/>
      <c r="E88" s="206"/>
      <c r="F88" s="155"/>
      <c r="G88" s="164"/>
      <c r="H88" s="336"/>
      <c r="I88" s="337"/>
      <c r="J88" s="337"/>
      <c r="K88" s="92"/>
      <c r="L88" s="958">
        <f t="shared" si="10"/>
        <v>42583</v>
      </c>
      <c r="M88" s="958">
        <f t="shared" si="11"/>
        <v>42947</v>
      </c>
      <c r="N88" s="928">
        <f t="shared" si="9"/>
        <v>365</v>
      </c>
      <c r="O88" s="823">
        <f t="shared" si="12"/>
        <v>0</v>
      </c>
      <c r="P88" s="92"/>
      <c r="Q88" s="821" t="str">
        <f t="shared" si="13"/>
        <v/>
      </c>
      <c r="R88" s="822" t="str">
        <f>IF(O88=0,"",(IF(Q88=0,0,Q88*geg!$G$42)))</f>
        <v/>
      </c>
      <c r="S88" s="98"/>
      <c r="T88" s="37"/>
    </row>
    <row r="89" spans="2:20" ht="12.75" customHeight="1" x14ac:dyDescent="0.2">
      <c r="B89" s="34"/>
      <c r="C89" s="91"/>
      <c r="D89" s="192"/>
      <c r="E89" s="206"/>
      <c r="F89" s="155"/>
      <c r="G89" s="164"/>
      <c r="H89" s="336"/>
      <c r="I89" s="337"/>
      <c r="J89" s="337"/>
      <c r="K89" s="92"/>
      <c r="L89" s="958">
        <f t="shared" si="10"/>
        <v>42583</v>
      </c>
      <c r="M89" s="958">
        <f t="shared" si="11"/>
        <v>42947</v>
      </c>
      <c r="N89" s="928">
        <f t="shared" si="9"/>
        <v>365</v>
      </c>
      <c r="O89" s="823">
        <f t="shared" si="12"/>
        <v>0</v>
      </c>
      <c r="P89" s="92"/>
      <c r="Q89" s="821" t="str">
        <f t="shared" si="13"/>
        <v/>
      </c>
      <c r="R89" s="822" t="str">
        <f>IF(O89=0,"",(IF(Q89=0,0,Q89*geg!$G$42)))</f>
        <v/>
      </c>
      <c r="S89" s="98"/>
      <c r="T89" s="37"/>
    </row>
    <row r="90" spans="2:20" ht="12.75" customHeight="1" x14ac:dyDescent="0.2">
      <c r="B90" s="34"/>
      <c r="C90" s="91"/>
      <c r="D90" s="192"/>
      <c r="E90" s="206"/>
      <c r="F90" s="155"/>
      <c r="G90" s="164"/>
      <c r="H90" s="336"/>
      <c r="I90" s="337"/>
      <c r="J90" s="337"/>
      <c r="K90" s="92"/>
      <c r="L90" s="958">
        <f t="shared" si="10"/>
        <v>42583</v>
      </c>
      <c r="M90" s="958">
        <f t="shared" si="11"/>
        <v>42947</v>
      </c>
      <c r="N90" s="928">
        <f t="shared" si="9"/>
        <v>365</v>
      </c>
      <c r="O90" s="823">
        <f t="shared" si="12"/>
        <v>0</v>
      </c>
      <c r="P90" s="92"/>
      <c r="Q90" s="821" t="str">
        <f t="shared" si="13"/>
        <v/>
      </c>
      <c r="R90" s="822" t="str">
        <f>IF(O90=0,"",(IF(Q90=0,0,Q90*geg!$G$42)))</f>
        <v/>
      </c>
      <c r="S90" s="98"/>
      <c r="T90" s="37"/>
    </row>
    <row r="91" spans="2:20" ht="12.75" customHeight="1" x14ac:dyDescent="0.2">
      <c r="B91" s="34"/>
      <c r="C91" s="91"/>
      <c r="D91" s="192"/>
      <c r="E91" s="206"/>
      <c r="F91" s="155"/>
      <c r="G91" s="164"/>
      <c r="H91" s="336"/>
      <c r="I91" s="337"/>
      <c r="J91" s="337"/>
      <c r="K91" s="92"/>
      <c r="L91" s="958">
        <f t="shared" si="10"/>
        <v>42583</v>
      </c>
      <c r="M91" s="958">
        <f t="shared" si="11"/>
        <v>42947</v>
      </c>
      <c r="N91" s="928">
        <f t="shared" si="9"/>
        <v>365</v>
      </c>
      <c r="O91" s="823">
        <f t="shared" si="12"/>
        <v>0</v>
      </c>
      <c r="P91" s="92"/>
      <c r="Q91" s="821" t="str">
        <f t="shared" si="13"/>
        <v/>
      </c>
      <c r="R91" s="822" t="str">
        <f>IF(O91=0,"",(IF(Q91=0,0,Q91*geg!$G$42)))</f>
        <v/>
      </c>
      <c r="S91" s="98"/>
      <c r="T91" s="37"/>
    </row>
    <row r="92" spans="2:20" ht="12.75" customHeight="1" x14ac:dyDescent="0.2">
      <c r="B92" s="34"/>
      <c r="C92" s="91"/>
      <c r="D92" s="192"/>
      <c r="E92" s="206"/>
      <c r="F92" s="155"/>
      <c r="G92" s="164"/>
      <c r="H92" s="336"/>
      <c r="I92" s="337"/>
      <c r="J92" s="337"/>
      <c r="K92" s="92"/>
      <c r="L92" s="958">
        <f t="shared" si="10"/>
        <v>42583</v>
      </c>
      <c r="M92" s="958">
        <f t="shared" si="11"/>
        <v>42947</v>
      </c>
      <c r="N92" s="928">
        <f t="shared" si="9"/>
        <v>365</v>
      </c>
      <c r="O92" s="823">
        <f t="shared" si="12"/>
        <v>0</v>
      </c>
      <c r="P92" s="92"/>
      <c r="Q92" s="821" t="str">
        <f t="shared" si="13"/>
        <v/>
      </c>
      <c r="R92" s="822" t="str">
        <f>IF(O92=0,"",(IF(Q92=0,0,Q92*geg!$G$42)))</f>
        <v/>
      </c>
      <c r="S92" s="98"/>
      <c r="T92" s="37"/>
    </row>
    <row r="93" spans="2:20" ht="12.75" customHeight="1" x14ac:dyDescent="0.2">
      <c r="B93" s="34"/>
      <c r="C93" s="91"/>
      <c r="D93" s="192"/>
      <c r="E93" s="206"/>
      <c r="F93" s="155"/>
      <c r="G93" s="164"/>
      <c r="H93" s="336"/>
      <c r="I93" s="337"/>
      <c r="J93" s="337"/>
      <c r="K93" s="92"/>
      <c r="L93" s="958">
        <f t="shared" si="10"/>
        <v>42583</v>
      </c>
      <c r="M93" s="958">
        <f t="shared" si="11"/>
        <v>42947</v>
      </c>
      <c r="N93" s="928">
        <f t="shared" si="9"/>
        <v>365</v>
      </c>
      <c r="O93" s="823">
        <f t="shared" si="12"/>
        <v>0</v>
      </c>
      <c r="P93" s="92"/>
      <c r="Q93" s="821" t="str">
        <f t="shared" si="13"/>
        <v/>
      </c>
      <c r="R93" s="822" t="str">
        <f>IF(O93=0,"",(IF(Q93=0,0,Q93*geg!$G$42)))</f>
        <v/>
      </c>
      <c r="S93" s="98"/>
      <c r="T93" s="37"/>
    </row>
    <row r="94" spans="2:20" ht="12.75" customHeight="1" x14ac:dyDescent="0.2">
      <c r="B94" s="34"/>
      <c r="C94" s="91"/>
      <c r="D94" s="192"/>
      <c r="E94" s="206"/>
      <c r="F94" s="155"/>
      <c r="G94" s="164"/>
      <c r="H94" s="336"/>
      <c r="I94" s="337"/>
      <c r="J94" s="337"/>
      <c r="K94" s="92"/>
      <c r="L94" s="958">
        <f t="shared" si="10"/>
        <v>42583</v>
      </c>
      <c r="M94" s="958">
        <f t="shared" si="11"/>
        <v>42947</v>
      </c>
      <c r="N94" s="928">
        <f t="shared" si="9"/>
        <v>365</v>
      </c>
      <c r="O94" s="823">
        <f t="shared" si="12"/>
        <v>0</v>
      </c>
      <c r="P94" s="92"/>
      <c r="Q94" s="821" t="str">
        <f t="shared" si="13"/>
        <v/>
      </c>
      <c r="R94" s="822" t="str">
        <f>IF(O94=0,"",(IF(Q94=0,0,Q94*geg!$G$42)))</f>
        <v/>
      </c>
      <c r="S94" s="98"/>
      <c r="T94" s="37"/>
    </row>
    <row r="95" spans="2:20" ht="12.75" customHeight="1" x14ac:dyDescent="0.2">
      <c r="B95" s="34"/>
      <c r="C95" s="91"/>
      <c r="D95" s="192"/>
      <c r="E95" s="206"/>
      <c r="F95" s="155"/>
      <c r="G95" s="164"/>
      <c r="H95" s="336"/>
      <c r="I95" s="337"/>
      <c r="J95" s="337"/>
      <c r="K95" s="92"/>
      <c r="L95" s="958">
        <f t="shared" si="10"/>
        <v>42583</v>
      </c>
      <c r="M95" s="958">
        <f t="shared" si="11"/>
        <v>42947</v>
      </c>
      <c r="N95" s="928">
        <f t="shared" si="9"/>
        <v>365</v>
      </c>
      <c r="O95" s="823">
        <f t="shared" si="12"/>
        <v>0</v>
      </c>
      <c r="P95" s="92"/>
      <c r="Q95" s="821" t="str">
        <f t="shared" si="13"/>
        <v/>
      </c>
      <c r="R95" s="822" t="str">
        <f>IF(O95=0,"",(IF(Q95=0,0,Q95*geg!$G$42)))</f>
        <v/>
      </c>
      <c r="S95" s="98"/>
      <c r="T95" s="37"/>
    </row>
    <row r="96" spans="2:20" ht="12.75" customHeight="1" x14ac:dyDescent="0.2">
      <c r="B96" s="34"/>
      <c r="C96" s="91"/>
      <c r="D96" s="192"/>
      <c r="E96" s="206"/>
      <c r="F96" s="155"/>
      <c r="G96" s="164"/>
      <c r="H96" s="336"/>
      <c r="I96" s="337"/>
      <c r="J96" s="337"/>
      <c r="K96" s="92"/>
      <c r="L96" s="958">
        <f t="shared" si="10"/>
        <v>42583</v>
      </c>
      <c r="M96" s="958">
        <f t="shared" si="11"/>
        <v>42947</v>
      </c>
      <c r="N96" s="928">
        <f t="shared" si="9"/>
        <v>365</v>
      </c>
      <c r="O96" s="823">
        <f t="shared" si="12"/>
        <v>0</v>
      </c>
      <c r="P96" s="92"/>
      <c r="Q96" s="821" t="str">
        <f t="shared" si="13"/>
        <v/>
      </c>
      <c r="R96" s="822" t="str">
        <f>IF(O96=0,"",(IF(Q96=0,0,Q96*geg!$G$42)))</f>
        <v/>
      </c>
      <c r="S96" s="98"/>
      <c r="T96" s="37"/>
    </row>
    <row r="97" spans="2:35" ht="12.75" customHeight="1" x14ac:dyDescent="0.2">
      <c r="B97" s="34"/>
      <c r="C97" s="91"/>
      <c r="D97" s="192"/>
      <c r="E97" s="206"/>
      <c r="F97" s="155"/>
      <c r="G97" s="164"/>
      <c r="H97" s="336"/>
      <c r="I97" s="337"/>
      <c r="J97" s="337"/>
      <c r="K97" s="92"/>
      <c r="L97" s="958">
        <f t="shared" si="10"/>
        <v>42583</v>
      </c>
      <c r="M97" s="958">
        <f t="shared" si="11"/>
        <v>42947</v>
      </c>
      <c r="N97" s="928">
        <f t="shared" si="9"/>
        <v>365</v>
      </c>
      <c r="O97" s="823">
        <f t="shared" si="12"/>
        <v>0</v>
      </c>
      <c r="P97" s="92"/>
      <c r="Q97" s="821" t="str">
        <f t="shared" si="13"/>
        <v/>
      </c>
      <c r="R97" s="822" t="str">
        <f>IF(O97=0,"",(IF(Q97=0,0,Q97*geg!$G$42)))</f>
        <v/>
      </c>
      <c r="S97" s="98"/>
      <c r="T97" s="37"/>
    </row>
    <row r="98" spans="2:35" ht="12.75" customHeight="1" x14ac:dyDescent="0.2">
      <c r="B98" s="34"/>
      <c r="C98" s="91"/>
      <c r="D98" s="192"/>
      <c r="E98" s="206"/>
      <c r="F98" s="155"/>
      <c r="G98" s="164"/>
      <c r="H98" s="336"/>
      <c r="I98" s="337"/>
      <c r="J98" s="337"/>
      <c r="K98" s="92"/>
      <c r="L98" s="958">
        <f t="shared" si="10"/>
        <v>42583</v>
      </c>
      <c r="M98" s="958">
        <f t="shared" si="11"/>
        <v>42947</v>
      </c>
      <c r="N98" s="928">
        <f t="shared" si="9"/>
        <v>365</v>
      </c>
      <c r="O98" s="823">
        <f t="shared" si="12"/>
        <v>0</v>
      </c>
      <c r="P98" s="92"/>
      <c r="Q98" s="821" t="str">
        <f t="shared" si="13"/>
        <v/>
      </c>
      <c r="R98" s="822" t="str">
        <f>IF(O98=0,"",(IF(Q98=0,0,Q98*geg!$G$42)))</f>
        <v/>
      </c>
      <c r="S98" s="98"/>
      <c r="T98" s="37"/>
    </row>
    <row r="99" spans="2:35" ht="12.75" customHeight="1" x14ac:dyDescent="0.2">
      <c r="B99" s="34"/>
      <c r="C99" s="91"/>
      <c r="D99" s="192"/>
      <c r="E99" s="206"/>
      <c r="F99" s="155"/>
      <c r="G99" s="164"/>
      <c r="H99" s="336"/>
      <c r="I99" s="337"/>
      <c r="J99" s="337"/>
      <c r="K99" s="92"/>
      <c r="L99" s="958">
        <f t="shared" si="10"/>
        <v>42583</v>
      </c>
      <c r="M99" s="958">
        <f t="shared" si="11"/>
        <v>42947</v>
      </c>
      <c r="N99" s="928">
        <f t="shared" si="9"/>
        <v>365</v>
      </c>
      <c r="O99" s="823">
        <f t="shared" si="12"/>
        <v>0</v>
      </c>
      <c r="P99" s="92"/>
      <c r="Q99" s="821" t="str">
        <f t="shared" si="13"/>
        <v/>
      </c>
      <c r="R99" s="822" t="str">
        <f>IF(O99=0,"",(IF(Q99=0,0,Q99*geg!$G$42)))</f>
        <v/>
      </c>
      <c r="S99" s="98"/>
      <c r="T99" s="37"/>
    </row>
    <row r="100" spans="2:35" ht="12.75" customHeight="1" x14ac:dyDescent="0.2">
      <c r="B100" s="34"/>
      <c r="C100" s="91"/>
      <c r="D100" s="192"/>
      <c r="E100" s="206"/>
      <c r="F100" s="155"/>
      <c r="G100" s="164"/>
      <c r="H100" s="336"/>
      <c r="I100" s="337"/>
      <c r="J100" s="337"/>
      <c r="K100" s="92"/>
      <c r="L100" s="958">
        <f t="shared" si="10"/>
        <v>42583</v>
      </c>
      <c r="M100" s="958">
        <f t="shared" si="11"/>
        <v>42947</v>
      </c>
      <c r="N100" s="928">
        <f t="shared" si="9"/>
        <v>365</v>
      </c>
      <c r="O100" s="823">
        <f t="shared" si="12"/>
        <v>0</v>
      </c>
      <c r="P100" s="92"/>
      <c r="Q100" s="821" t="str">
        <f t="shared" si="13"/>
        <v/>
      </c>
      <c r="R100" s="822" t="str">
        <f>IF(O100=0,"",(IF(Q100=0,0,Q100*geg!$G$42)))</f>
        <v/>
      </c>
      <c r="S100" s="98"/>
      <c r="T100" s="37"/>
    </row>
    <row r="101" spans="2:35" ht="12.75" customHeight="1" x14ac:dyDescent="0.2">
      <c r="B101" s="34"/>
      <c r="C101" s="91"/>
      <c r="D101" s="192"/>
      <c r="E101" s="206"/>
      <c r="F101" s="155"/>
      <c r="G101" s="164"/>
      <c r="H101" s="336"/>
      <c r="I101" s="337"/>
      <c r="J101" s="337"/>
      <c r="K101" s="92"/>
      <c r="L101" s="958">
        <f t="shared" si="10"/>
        <v>42583</v>
      </c>
      <c r="M101" s="958">
        <f t="shared" si="11"/>
        <v>42947</v>
      </c>
      <c r="N101" s="928">
        <f t="shared" si="9"/>
        <v>365</v>
      </c>
      <c r="O101" s="823">
        <f t="shared" si="12"/>
        <v>0</v>
      </c>
      <c r="P101" s="92"/>
      <c r="Q101" s="821" t="str">
        <f t="shared" si="13"/>
        <v/>
      </c>
      <c r="R101" s="822" t="str">
        <f>IF(O101=0,"",(IF(Q101=0,0,Q101*geg!$G$42)))</f>
        <v/>
      </c>
      <c r="S101" s="98"/>
      <c r="T101" s="37"/>
    </row>
    <row r="102" spans="2:35" ht="12.75" customHeight="1" x14ac:dyDescent="0.2">
      <c r="B102" s="34"/>
      <c r="C102" s="91"/>
      <c r="D102" s="192"/>
      <c r="E102" s="206"/>
      <c r="F102" s="155"/>
      <c r="G102" s="164"/>
      <c r="H102" s="336"/>
      <c r="I102" s="337"/>
      <c r="J102" s="337"/>
      <c r="K102" s="92"/>
      <c r="L102" s="958">
        <f t="shared" si="10"/>
        <v>42583</v>
      </c>
      <c r="M102" s="958">
        <f t="shared" si="11"/>
        <v>42947</v>
      </c>
      <c r="N102" s="928">
        <f t="shared" si="9"/>
        <v>365</v>
      </c>
      <c r="O102" s="823">
        <f t="shared" si="12"/>
        <v>0</v>
      </c>
      <c r="P102" s="92"/>
      <c r="Q102" s="821" t="str">
        <f t="shared" si="13"/>
        <v/>
      </c>
      <c r="R102" s="822" t="str">
        <f>IF(O102=0,"",(IF(Q102=0,0,Q102*geg!$G$42)))</f>
        <v/>
      </c>
      <c r="S102" s="98"/>
      <c r="T102" s="37"/>
    </row>
    <row r="103" spans="2:35" ht="12.75" customHeight="1" x14ac:dyDescent="0.2">
      <c r="B103" s="34"/>
      <c r="C103" s="91"/>
      <c r="D103" s="192"/>
      <c r="E103" s="206"/>
      <c r="F103" s="155"/>
      <c r="G103" s="164"/>
      <c r="H103" s="336"/>
      <c r="I103" s="337"/>
      <c r="J103" s="337"/>
      <c r="K103" s="92"/>
      <c r="L103" s="958">
        <f t="shared" si="10"/>
        <v>42583</v>
      </c>
      <c r="M103" s="958">
        <f t="shared" si="11"/>
        <v>42947</v>
      </c>
      <c r="N103" s="928">
        <f t="shared" si="9"/>
        <v>365</v>
      </c>
      <c r="O103" s="823">
        <f t="shared" si="12"/>
        <v>0</v>
      </c>
      <c r="P103" s="92"/>
      <c r="Q103" s="821" t="str">
        <f t="shared" si="13"/>
        <v/>
      </c>
      <c r="R103" s="822" t="str">
        <f>IF(O103=0,"",(IF(Q103=0,0,Q103*geg!$G$42)))</f>
        <v/>
      </c>
      <c r="S103" s="98"/>
      <c r="T103" s="37"/>
    </row>
    <row r="104" spans="2:35" ht="12.75" customHeight="1" x14ac:dyDescent="0.2">
      <c r="B104" s="34"/>
      <c r="C104" s="91"/>
      <c r="D104" s="192"/>
      <c r="E104" s="206"/>
      <c r="F104" s="155"/>
      <c r="G104" s="164"/>
      <c r="H104" s="336"/>
      <c r="I104" s="337"/>
      <c r="J104" s="337"/>
      <c r="K104" s="92"/>
      <c r="L104" s="958">
        <f t="shared" si="10"/>
        <v>42583</v>
      </c>
      <c r="M104" s="958">
        <f t="shared" si="11"/>
        <v>42947</v>
      </c>
      <c r="N104" s="928">
        <f t="shared" si="9"/>
        <v>365</v>
      </c>
      <c r="O104" s="823">
        <f t="shared" si="12"/>
        <v>0</v>
      </c>
      <c r="P104" s="92"/>
      <c r="Q104" s="821" t="str">
        <f t="shared" si="13"/>
        <v/>
      </c>
      <c r="R104" s="822" t="str">
        <f>IF(O104=0,"",(IF(Q104=0,0,Q104*geg!$G$42)))</f>
        <v/>
      </c>
      <c r="S104" s="98"/>
      <c r="T104" s="37"/>
    </row>
    <row r="105" spans="2:35" ht="12.75" customHeight="1" x14ac:dyDescent="0.2">
      <c r="B105" s="34"/>
      <c r="C105" s="91"/>
      <c r="D105" s="192"/>
      <c r="E105" s="206"/>
      <c r="F105" s="155"/>
      <c r="G105" s="164"/>
      <c r="H105" s="336"/>
      <c r="I105" s="337"/>
      <c r="J105" s="337"/>
      <c r="K105" s="92"/>
      <c r="L105" s="958">
        <f t="shared" si="10"/>
        <v>42583</v>
      </c>
      <c r="M105" s="958">
        <f t="shared" si="11"/>
        <v>42947</v>
      </c>
      <c r="N105" s="928">
        <f t="shared" si="9"/>
        <v>365</v>
      </c>
      <c r="O105" s="823">
        <f t="shared" si="12"/>
        <v>0</v>
      </c>
      <c r="P105" s="92"/>
      <c r="Q105" s="821" t="str">
        <f t="shared" si="13"/>
        <v/>
      </c>
      <c r="R105" s="822" t="str">
        <f>IF(O105=0,"",(IF(Q105=0,0,Q105*geg!$G$42)))</f>
        <v/>
      </c>
      <c r="S105" s="98"/>
      <c r="T105" s="37"/>
    </row>
    <row r="106" spans="2:35" ht="12.75" customHeight="1" x14ac:dyDescent="0.2">
      <c r="B106" s="34"/>
      <c r="C106" s="91"/>
      <c r="D106" s="192"/>
      <c r="E106" s="206"/>
      <c r="F106" s="155"/>
      <c r="G106" s="164"/>
      <c r="H106" s="336"/>
      <c r="I106" s="337"/>
      <c r="J106" s="337"/>
      <c r="K106" s="92"/>
      <c r="L106" s="958">
        <f t="shared" si="10"/>
        <v>42583</v>
      </c>
      <c r="M106" s="958">
        <f t="shared" si="11"/>
        <v>42947</v>
      </c>
      <c r="N106" s="928">
        <f t="shared" si="9"/>
        <v>365</v>
      </c>
      <c r="O106" s="823">
        <f t="shared" si="12"/>
        <v>0</v>
      </c>
      <c r="P106" s="92"/>
      <c r="Q106" s="821" t="str">
        <f t="shared" si="13"/>
        <v/>
      </c>
      <c r="R106" s="822" t="str">
        <f>IF(O106=0,"",(IF(Q106=0,0,Q106*geg!$G$42)))</f>
        <v/>
      </c>
      <c r="S106" s="98"/>
      <c r="T106" s="37"/>
    </row>
    <row r="107" spans="2:35" ht="12.75" customHeight="1" x14ac:dyDescent="0.2">
      <c r="B107" s="34"/>
      <c r="C107" s="91"/>
      <c r="D107" s="192"/>
      <c r="E107" s="206"/>
      <c r="F107" s="155"/>
      <c r="G107" s="164"/>
      <c r="H107" s="336"/>
      <c r="I107" s="337"/>
      <c r="J107" s="337"/>
      <c r="K107" s="92"/>
      <c r="L107" s="958">
        <f t="shared" si="10"/>
        <v>42583</v>
      </c>
      <c r="M107" s="958">
        <f t="shared" si="11"/>
        <v>42947</v>
      </c>
      <c r="N107" s="928">
        <f t="shared" si="9"/>
        <v>365</v>
      </c>
      <c r="O107" s="823">
        <f t="shared" si="12"/>
        <v>0</v>
      </c>
      <c r="P107" s="92"/>
      <c r="Q107" s="821" t="str">
        <f t="shared" si="13"/>
        <v/>
      </c>
      <c r="R107" s="822" t="str">
        <f>IF(O107=0,"",(IF(Q107=0,0,Q107*geg!$G$42)))</f>
        <v/>
      </c>
      <c r="S107" s="98"/>
      <c r="T107" s="37"/>
    </row>
    <row r="108" spans="2:35" ht="12.75" customHeight="1" x14ac:dyDescent="0.2">
      <c r="B108" s="34"/>
      <c r="C108" s="91"/>
      <c r="D108" s="192"/>
      <c r="E108" s="206"/>
      <c r="F108" s="155"/>
      <c r="G108" s="164"/>
      <c r="H108" s="336"/>
      <c r="I108" s="337"/>
      <c r="J108" s="337"/>
      <c r="K108" s="92"/>
      <c r="L108" s="958">
        <f>IF(I108=0,$L$8,I108)</f>
        <v>42583</v>
      </c>
      <c r="M108" s="958">
        <f>IF(J108=0,$M$8,J108)</f>
        <v>42947</v>
      </c>
      <c r="N108" s="928">
        <f>M108-L108+1</f>
        <v>365</v>
      </c>
      <c r="O108" s="823">
        <f>H108*N108/$N$8</f>
        <v>0</v>
      </c>
      <c r="P108" s="92"/>
      <c r="Q108" s="821" t="str">
        <f t="shared" si="13"/>
        <v/>
      </c>
      <c r="R108" s="822" t="str">
        <f>IF(O108=0,"",(IF(Q108=0,0,Q108*geg!$G$42)))</f>
        <v/>
      </c>
      <c r="S108" s="98"/>
      <c r="T108" s="37"/>
    </row>
    <row r="109" spans="2:35" ht="12.75" customHeight="1" x14ac:dyDescent="0.2">
      <c r="B109" s="34"/>
      <c r="C109" s="91"/>
      <c r="D109" s="192"/>
      <c r="E109" s="206"/>
      <c r="F109" s="155"/>
      <c r="G109" s="164"/>
      <c r="H109" s="336"/>
      <c r="I109" s="337"/>
      <c r="J109" s="337"/>
      <c r="K109" s="92"/>
      <c r="L109" s="958">
        <f>IF(I109=0,$L$8,I109)</f>
        <v>42583</v>
      </c>
      <c r="M109" s="958">
        <f>IF(J109=0,$M$8,J109)</f>
        <v>42947</v>
      </c>
      <c r="N109" s="928">
        <f>M109-L109+1</f>
        <v>365</v>
      </c>
      <c r="O109" s="823">
        <f t="shared" si="12"/>
        <v>0</v>
      </c>
      <c r="P109" s="92"/>
      <c r="Q109" s="821" t="str">
        <f t="shared" si="13"/>
        <v/>
      </c>
      <c r="R109" s="822" t="str">
        <f>IF(O109=0,"",(IF(Q109=0,0,Q109*geg!$G$42)))</f>
        <v/>
      </c>
      <c r="S109" s="98"/>
      <c r="T109" s="37"/>
    </row>
    <row r="110" spans="2:35" ht="12.75" customHeight="1" x14ac:dyDescent="0.2">
      <c r="B110" s="34"/>
      <c r="C110" s="91"/>
      <c r="D110" s="192"/>
      <c r="E110" s="206"/>
      <c r="F110" s="155"/>
      <c r="G110" s="164"/>
      <c r="H110" s="336"/>
      <c r="I110" s="337"/>
      <c r="J110" s="337"/>
      <c r="K110" s="92"/>
      <c r="L110" s="958">
        <f t="shared" si="10"/>
        <v>42583</v>
      </c>
      <c r="M110" s="958">
        <f t="shared" si="11"/>
        <v>42947</v>
      </c>
      <c r="N110" s="928">
        <f>M110-L110+1</f>
        <v>365</v>
      </c>
      <c r="O110" s="823">
        <f t="shared" si="12"/>
        <v>0</v>
      </c>
      <c r="P110" s="92"/>
      <c r="Q110" s="821" t="str">
        <f t="shared" si="13"/>
        <v/>
      </c>
      <c r="R110" s="822" t="str">
        <f>IF(O110=0,"",(IF(Q110=0,0,Q110*geg!$G$42)))</f>
        <v/>
      </c>
      <c r="S110" s="98"/>
      <c r="T110" s="37"/>
    </row>
    <row r="111" spans="2:35" ht="12.75" customHeight="1" x14ac:dyDescent="0.2">
      <c r="B111" s="34"/>
      <c r="C111" s="91"/>
      <c r="D111" s="334"/>
      <c r="E111" s="334"/>
      <c r="F111" s="334"/>
      <c r="G111" s="334"/>
      <c r="H111" s="334"/>
      <c r="I111" s="334"/>
      <c r="J111" s="334"/>
      <c r="K111" s="334"/>
      <c r="L111" s="334"/>
      <c r="M111" s="334"/>
      <c r="N111" s="334"/>
      <c r="O111" s="334"/>
      <c r="P111" s="334"/>
      <c r="Q111" s="334"/>
      <c r="R111" s="334"/>
      <c r="S111" s="98"/>
      <c r="T111" s="37"/>
    </row>
    <row r="112" spans="2:35" s="19" customFormat="1" ht="12.75" customHeight="1" x14ac:dyDescent="0.2">
      <c r="B112" s="58"/>
      <c r="C112" s="105"/>
      <c r="D112" s="220"/>
      <c r="E112" s="220"/>
      <c r="F112" s="116"/>
      <c r="G112" s="220"/>
      <c r="H112" s="268"/>
      <c r="I112" s="334"/>
      <c r="J112" s="334"/>
      <c r="K112" s="116"/>
      <c r="L112" s="334"/>
      <c r="M112" s="334"/>
      <c r="N112" s="335"/>
      <c r="O112" s="820">
        <f>SUM(O11:O110)</f>
        <v>1</v>
      </c>
      <c r="P112" s="116"/>
      <c r="Q112" s="799">
        <f>SUM(Q11:Q110)</f>
        <v>1</v>
      </c>
      <c r="R112" s="801">
        <f>SUM(R11:R110)</f>
        <v>61000</v>
      </c>
      <c r="S112" s="98"/>
      <c r="T112" s="178"/>
      <c r="AI112" s="5"/>
    </row>
    <row r="113" spans="2:20" ht="12.75" customHeight="1" x14ac:dyDescent="0.2">
      <c r="B113" s="34"/>
      <c r="C113" s="124"/>
      <c r="D113" s="223"/>
      <c r="E113" s="223"/>
      <c r="F113" s="125"/>
      <c r="G113" s="223"/>
      <c r="H113" s="223"/>
      <c r="I113" s="223"/>
      <c r="J113" s="280"/>
      <c r="K113" s="125"/>
      <c r="L113" s="223"/>
      <c r="M113" s="280"/>
      <c r="N113" s="280"/>
      <c r="O113" s="223"/>
      <c r="P113" s="125"/>
      <c r="Q113" s="223"/>
      <c r="R113" s="125"/>
      <c r="S113" s="126"/>
      <c r="T113" s="37"/>
    </row>
    <row r="114" spans="2:20" ht="12.75" customHeight="1" x14ac:dyDescent="0.2">
      <c r="B114" s="34"/>
      <c r="C114" s="35"/>
      <c r="D114" s="62"/>
      <c r="E114" s="62"/>
      <c r="F114" s="35"/>
      <c r="G114" s="62"/>
      <c r="H114" s="62"/>
      <c r="I114" s="62"/>
      <c r="J114" s="62"/>
      <c r="K114" s="35"/>
      <c r="L114" s="62"/>
      <c r="M114" s="62"/>
      <c r="N114" s="62"/>
      <c r="O114" s="62"/>
      <c r="P114" s="35"/>
      <c r="Q114" s="62"/>
      <c r="R114" s="35"/>
      <c r="S114" s="35"/>
      <c r="T114" s="37"/>
    </row>
    <row r="115" spans="2:20" ht="12.75" customHeight="1" x14ac:dyDescent="0.25">
      <c r="B115" s="329"/>
      <c r="C115" s="246"/>
      <c r="D115" s="246"/>
      <c r="E115" s="246"/>
      <c r="F115" s="246"/>
      <c r="G115" s="246"/>
      <c r="H115" s="246"/>
      <c r="I115" s="246"/>
      <c r="J115" s="246"/>
      <c r="K115" s="246"/>
      <c r="L115" s="246"/>
      <c r="M115" s="246"/>
      <c r="N115" s="246"/>
      <c r="O115" s="246"/>
      <c r="P115" s="246"/>
      <c r="Q115" s="246"/>
      <c r="R115" s="246"/>
      <c r="S115" s="330" t="s">
        <v>392</v>
      </c>
      <c r="T115" s="331"/>
    </row>
    <row r="116" spans="2:20" ht="12.75" customHeight="1" x14ac:dyDescent="0.2">
      <c r="D116" s="5"/>
      <c r="E116" s="5"/>
      <c r="G116" s="5"/>
      <c r="H116" s="5"/>
      <c r="I116" s="5"/>
      <c r="J116" s="5"/>
      <c r="L116" s="5"/>
      <c r="M116" s="5"/>
      <c r="N116" s="5"/>
      <c r="O116" s="5"/>
      <c r="Q116" s="5"/>
    </row>
    <row r="117" spans="2:20" ht="12.75" customHeight="1" x14ac:dyDescent="0.2">
      <c r="D117" s="5"/>
      <c r="E117" s="5"/>
      <c r="G117" s="5"/>
      <c r="H117" s="5"/>
      <c r="I117" s="5"/>
      <c r="J117" s="5"/>
      <c r="L117" s="5"/>
      <c r="M117" s="5"/>
      <c r="N117" s="5"/>
      <c r="O117" s="5"/>
      <c r="Q117" s="5"/>
    </row>
    <row r="118" spans="2:20" ht="12.75" customHeight="1" x14ac:dyDescent="0.2">
      <c r="D118" s="5"/>
      <c r="E118" s="5"/>
      <c r="G118" s="5"/>
      <c r="H118" s="5"/>
      <c r="I118" s="5"/>
      <c r="J118" s="5"/>
      <c r="L118" s="5"/>
      <c r="M118" s="5"/>
      <c r="N118" s="5"/>
      <c r="O118" s="5"/>
      <c r="Q118" s="5"/>
    </row>
    <row r="119" spans="2:20" ht="12.75" customHeight="1" x14ac:dyDescent="0.2">
      <c r="D119" s="5"/>
      <c r="E119" s="5"/>
      <c r="G119" s="5"/>
      <c r="H119" s="5"/>
      <c r="I119" s="5"/>
      <c r="J119" s="5"/>
      <c r="L119" s="5"/>
      <c r="M119" s="5"/>
      <c r="N119" s="5"/>
      <c r="O119" s="5"/>
      <c r="Q119" s="5"/>
    </row>
    <row r="120" spans="2:20" ht="12.75" customHeight="1" x14ac:dyDescent="0.2">
      <c r="D120" s="5"/>
      <c r="E120" s="5"/>
      <c r="G120" s="5"/>
      <c r="H120" s="5"/>
      <c r="I120" s="5"/>
      <c r="J120" s="5"/>
      <c r="L120" s="5"/>
      <c r="M120" s="5"/>
      <c r="N120" s="5"/>
      <c r="O120" s="5"/>
      <c r="Q120" s="5"/>
    </row>
    <row r="121" spans="2:20" ht="12.75" customHeight="1" x14ac:dyDescent="0.2">
      <c r="D121" s="5"/>
      <c r="E121" s="5"/>
      <c r="G121" s="5"/>
      <c r="H121" s="5"/>
      <c r="I121" s="5"/>
      <c r="J121" s="5"/>
      <c r="L121" s="5"/>
      <c r="M121" s="5"/>
      <c r="N121" s="5"/>
      <c r="O121" s="5"/>
      <c r="Q121" s="5"/>
    </row>
    <row r="122" spans="2:20" ht="12.75" customHeight="1" x14ac:dyDescent="0.2">
      <c r="D122" s="5"/>
      <c r="E122" s="5"/>
      <c r="G122" s="5"/>
      <c r="H122" s="5"/>
      <c r="I122" s="5"/>
      <c r="J122" s="5"/>
      <c r="L122" s="5"/>
      <c r="M122" s="5"/>
      <c r="N122" s="5"/>
      <c r="O122" s="5"/>
      <c r="Q122" s="5"/>
    </row>
    <row r="123" spans="2:20" ht="12.75" customHeight="1" x14ac:dyDescent="0.2">
      <c r="D123" s="5"/>
      <c r="E123" s="5"/>
      <c r="G123" s="5"/>
      <c r="H123" s="5"/>
      <c r="I123" s="5"/>
      <c r="J123" s="5"/>
      <c r="L123" s="5"/>
      <c r="M123" s="5"/>
      <c r="N123" s="5"/>
      <c r="O123" s="5"/>
      <c r="Q123" s="5"/>
    </row>
    <row r="124" spans="2:20" ht="12.75" customHeight="1" x14ac:dyDescent="0.2">
      <c r="D124" s="5"/>
      <c r="E124" s="5"/>
      <c r="G124" s="5"/>
      <c r="H124" s="5"/>
      <c r="I124" s="5"/>
      <c r="J124" s="5"/>
      <c r="L124" s="5"/>
      <c r="M124" s="5"/>
      <c r="N124" s="5"/>
      <c r="O124" s="5"/>
      <c r="Q124" s="5"/>
    </row>
    <row r="125" spans="2:20" ht="12.75" customHeight="1" x14ac:dyDescent="0.2">
      <c r="D125" s="5"/>
      <c r="E125" s="5"/>
      <c r="G125" s="5"/>
      <c r="H125" s="5"/>
      <c r="I125" s="5"/>
      <c r="J125" s="5"/>
      <c r="L125" s="5"/>
      <c r="M125" s="5"/>
      <c r="N125" s="5"/>
      <c r="O125" s="5"/>
      <c r="Q125" s="5"/>
    </row>
    <row r="126" spans="2:20" ht="12.75" customHeight="1" x14ac:dyDescent="0.2">
      <c r="D126" s="5"/>
      <c r="E126" s="5"/>
      <c r="G126" s="5"/>
      <c r="H126" s="5"/>
      <c r="I126" s="5"/>
      <c r="J126" s="5"/>
      <c r="L126" s="5"/>
      <c r="M126" s="5"/>
      <c r="N126" s="5"/>
      <c r="O126" s="5"/>
      <c r="Q126" s="5"/>
    </row>
    <row r="127" spans="2:20" ht="12.75" customHeight="1" x14ac:dyDescent="0.2">
      <c r="D127" s="5"/>
      <c r="E127" s="5"/>
      <c r="G127" s="5"/>
      <c r="H127" s="5"/>
      <c r="I127" s="5"/>
      <c r="J127" s="5"/>
      <c r="L127" s="5"/>
      <c r="M127" s="5"/>
      <c r="N127" s="5"/>
      <c r="O127" s="5"/>
      <c r="Q127" s="5"/>
    </row>
    <row r="128" spans="2:20" ht="12.75" customHeight="1" x14ac:dyDescent="0.2">
      <c r="D128" s="5"/>
      <c r="E128" s="5"/>
      <c r="G128" s="5"/>
      <c r="H128" s="5"/>
      <c r="I128" s="5"/>
      <c r="J128" s="5"/>
      <c r="L128" s="5"/>
      <c r="M128" s="5"/>
      <c r="N128" s="5"/>
      <c r="O128" s="5"/>
      <c r="Q128" s="5"/>
    </row>
    <row r="129" spans="2:17" ht="12.75" customHeight="1" x14ac:dyDescent="0.2">
      <c r="D129" s="5"/>
      <c r="E129" s="5"/>
      <c r="G129" s="5"/>
      <c r="H129" s="5"/>
      <c r="I129" s="5"/>
      <c r="J129" s="5"/>
      <c r="L129" s="5"/>
      <c r="M129" s="5"/>
      <c r="N129" s="5"/>
      <c r="O129" s="5"/>
      <c r="Q129" s="5"/>
    </row>
    <row r="130" spans="2:17" ht="12.75" customHeight="1" x14ac:dyDescent="0.2">
      <c r="D130" s="5"/>
      <c r="E130" s="5"/>
      <c r="G130" s="5"/>
      <c r="H130" s="5"/>
      <c r="I130" s="5"/>
      <c r="J130" s="5"/>
      <c r="L130" s="5"/>
      <c r="M130" s="5"/>
      <c r="N130" s="5"/>
      <c r="O130" s="5"/>
      <c r="Q130" s="5"/>
    </row>
    <row r="131" spans="2:17" ht="12.75" customHeight="1" x14ac:dyDescent="0.2">
      <c r="B131" s="17" t="s">
        <v>216</v>
      </c>
      <c r="D131" s="5"/>
      <c r="E131" s="5"/>
      <c r="G131" s="5"/>
      <c r="H131" s="5"/>
      <c r="I131" s="5"/>
      <c r="J131" s="5"/>
      <c r="L131" s="5"/>
      <c r="M131" s="5"/>
      <c r="N131" s="5"/>
      <c r="O131" s="5"/>
      <c r="Q131" s="5"/>
    </row>
    <row r="132" spans="2:17" ht="12.75" customHeight="1" x14ac:dyDescent="0.2">
      <c r="B132" s="17" t="s">
        <v>218</v>
      </c>
      <c r="D132" s="5"/>
      <c r="E132" s="5"/>
      <c r="G132" s="5"/>
      <c r="H132" s="5"/>
      <c r="I132" s="5"/>
      <c r="J132" s="5"/>
      <c r="L132" s="5"/>
      <c r="M132" s="5"/>
      <c r="N132" s="5"/>
      <c r="O132" s="5"/>
      <c r="Q132" s="5"/>
    </row>
    <row r="133" spans="2:17" ht="12.75" customHeight="1" x14ac:dyDescent="0.2">
      <c r="B133" s="17" t="s">
        <v>219</v>
      </c>
      <c r="D133" s="5"/>
      <c r="E133" s="5"/>
      <c r="G133" s="5"/>
      <c r="H133" s="5"/>
      <c r="I133" s="5"/>
      <c r="J133" s="5"/>
      <c r="L133" s="5"/>
      <c r="M133" s="5"/>
      <c r="N133" s="5"/>
      <c r="O133" s="5"/>
      <c r="Q133" s="5"/>
    </row>
    <row r="134" spans="2:17" ht="12.75" customHeight="1" x14ac:dyDescent="0.2">
      <c r="B134" s="17" t="s">
        <v>220</v>
      </c>
      <c r="D134" s="5"/>
      <c r="E134" s="5"/>
      <c r="G134" s="5"/>
      <c r="H134" s="5"/>
      <c r="I134" s="5"/>
      <c r="J134" s="5"/>
      <c r="L134" s="5"/>
      <c r="M134" s="5"/>
      <c r="N134" s="5"/>
      <c r="O134" s="5"/>
      <c r="Q134" s="5"/>
    </row>
    <row r="135" spans="2:17" ht="12.75" customHeight="1" x14ac:dyDescent="0.2">
      <c r="B135" s="17" t="s">
        <v>221</v>
      </c>
      <c r="D135" s="5"/>
      <c r="E135" s="5"/>
      <c r="G135" s="5"/>
      <c r="H135" s="5"/>
      <c r="I135" s="5"/>
      <c r="J135" s="5"/>
      <c r="L135" s="5"/>
      <c r="M135" s="5"/>
      <c r="N135" s="5"/>
      <c r="O135" s="5"/>
      <c r="Q135" s="5"/>
    </row>
    <row r="136" spans="2:17" ht="12.75" customHeight="1" x14ac:dyDescent="0.2">
      <c r="B136" s="17" t="s">
        <v>222</v>
      </c>
      <c r="D136" s="5"/>
      <c r="E136" s="5"/>
      <c r="G136" s="5"/>
      <c r="H136" s="5"/>
      <c r="I136" s="5"/>
      <c r="J136" s="5"/>
      <c r="L136" s="5"/>
      <c r="M136" s="5"/>
      <c r="N136" s="5"/>
      <c r="O136" s="5"/>
      <c r="Q136" s="5"/>
    </row>
    <row r="137" spans="2:17" ht="12.75" customHeight="1" x14ac:dyDescent="0.2">
      <c r="B137" s="17" t="s">
        <v>223</v>
      </c>
      <c r="D137" s="5"/>
      <c r="E137" s="5"/>
      <c r="G137" s="5"/>
      <c r="H137" s="5"/>
      <c r="I137" s="5"/>
      <c r="J137" s="5"/>
      <c r="L137" s="5"/>
      <c r="M137" s="5"/>
      <c r="N137" s="5"/>
      <c r="O137" s="5"/>
      <c r="Q137" s="5"/>
    </row>
    <row r="138" spans="2:17" ht="12.75" customHeight="1" x14ac:dyDescent="0.2">
      <c r="B138" s="17" t="s">
        <v>224</v>
      </c>
      <c r="D138" s="5"/>
      <c r="E138" s="5"/>
      <c r="G138" s="5"/>
      <c r="H138" s="5"/>
      <c r="I138" s="5"/>
      <c r="J138" s="5"/>
      <c r="L138" s="5"/>
      <c r="M138" s="5"/>
      <c r="N138" s="5"/>
      <c r="O138" s="5"/>
      <c r="Q138" s="5"/>
    </row>
    <row r="139" spans="2:17" ht="12.75" customHeight="1" x14ac:dyDescent="0.2">
      <c r="B139" s="17" t="s">
        <v>190</v>
      </c>
      <c r="D139" s="5"/>
      <c r="E139" s="5"/>
      <c r="G139" s="5"/>
      <c r="H139" s="5"/>
      <c r="I139" s="5"/>
      <c r="J139" s="5"/>
      <c r="L139" s="5"/>
      <c r="M139" s="5"/>
      <c r="N139" s="5"/>
      <c r="O139" s="5"/>
      <c r="Q139" s="5"/>
    </row>
    <row r="140" spans="2:17" ht="12.75" customHeight="1" x14ac:dyDescent="0.2">
      <c r="B140" s="17" t="s">
        <v>191</v>
      </c>
      <c r="D140" s="5"/>
      <c r="E140" s="5"/>
      <c r="G140" s="5"/>
      <c r="H140" s="5"/>
      <c r="I140" s="5"/>
      <c r="J140" s="5"/>
      <c r="L140" s="5"/>
      <c r="M140" s="5"/>
      <c r="N140" s="5"/>
      <c r="O140" s="5"/>
      <c r="Q140" s="5"/>
    </row>
    <row r="141" spans="2:17" ht="12.75" customHeight="1" x14ac:dyDescent="0.2">
      <c r="B141" s="17" t="s">
        <v>192</v>
      </c>
      <c r="D141" s="5"/>
      <c r="E141" s="5"/>
      <c r="G141" s="5"/>
      <c r="H141" s="5"/>
      <c r="I141" s="5"/>
      <c r="J141" s="5"/>
      <c r="L141" s="5"/>
      <c r="M141" s="5"/>
      <c r="N141" s="5"/>
      <c r="O141" s="5"/>
      <c r="Q141" s="5"/>
    </row>
    <row r="142" spans="2:17" ht="12.75" customHeight="1" x14ac:dyDescent="0.2">
      <c r="B142" s="17" t="s">
        <v>193</v>
      </c>
      <c r="D142" s="5"/>
      <c r="E142" s="5"/>
      <c r="G142" s="5"/>
      <c r="H142" s="5"/>
      <c r="I142" s="5"/>
      <c r="J142" s="5"/>
      <c r="L142" s="5"/>
      <c r="M142" s="5"/>
      <c r="N142" s="5"/>
      <c r="O142" s="5"/>
      <c r="Q142" s="5"/>
    </row>
    <row r="143" spans="2:17" ht="12.75" customHeight="1" x14ac:dyDescent="0.2">
      <c r="B143" s="17" t="s">
        <v>194</v>
      </c>
      <c r="D143" s="5"/>
      <c r="E143" s="5"/>
      <c r="G143" s="5"/>
      <c r="H143" s="5"/>
      <c r="I143" s="5"/>
      <c r="J143" s="5"/>
      <c r="L143" s="5"/>
      <c r="M143" s="5"/>
      <c r="N143" s="5"/>
      <c r="O143" s="5"/>
      <c r="Q143" s="5"/>
    </row>
    <row r="144" spans="2:17" ht="12.75" customHeight="1" x14ac:dyDescent="0.2">
      <c r="B144" s="17" t="s">
        <v>195</v>
      </c>
      <c r="D144" s="5"/>
      <c r="E144" s="5"/>
      <c r="G144" s="5"/>
      <c r="H144" s="5"/>
      <c r="I144" s="5"/>
      <c r="J144" s="5"/>
      <c r="L144" s="5"/>
      <c r="M144" s="5"/>
      <c r="N144" s="5"/>
      <c r="O144" s="5"/>
      <c r="Q144" s="5"/>
    </row>
    <row r="145" spans="2:17" ht="12.75" customHeight="1" x14ac:dyDescent="0.2">
      <c r="B145" s="17" t="s">
        <v>196</v>
      </c>
      <c r="D145" s="5"/>
      <c r="E145" s="5"/>
      <c r="G145" s="5"/>
      <c r="H145" s="5"/>
      <c r="I145" s="5"/>
      <c r="J145" s="5"/>
      <c r="L145" s="5"/>
      <c r="M145" s="5"/>
      <c r="N145" s="5"/>
      <c r="O145" s="5"/>
      <c r="Q145" s="5"/>
    </row>
    <row r="146" spans="2:17" ht="12.75" customHeight="1" x14ac:dyDescent="0.2">
      <c r="B146" s="17" t="s">
        <v>197</v>
      </c>
      <c r="D146" s="5"/>
      <c r="E146" s="5"/>
      <c r="G146" s="5"/>
      <c r="H146" s="5"/>
      <c r="I146" s="5"/>
      <c r="J146" s="5"/>
      <c r="L146" s="5"/>
      <c r="M146" s="5"/>
      <c r="N146" s="5"/>
      <c r="O146" s="5"/>
      <c r="Q146" s="5"/>
    </row>
    <row r="147" spans="2:17" ht="12.75" customHeight="1" x14ac:dyDescent="0.2">
      <c r="B147" s="17" t="s">
        <v>198</v>
      </c>
      <c r="D147" s="5"/>
      <c r="E147" s="5"/>
      <c r="G147" s="5"/>
      <c r="H147" s="5"/>
      <c r="I147" s="5"/>
      <c r="J147" s="5"/>
      <c r="L147" s="5"/>
      <c r="M147" s="5"/>
      <c r="N147" s="5"/>
      <c r="O147" s="5"/>
      <c r="Q147" s="5"/>
    </row>
    <row r="148" spans="2:17" ht="12.75" customHeight="1" x14ac:dyDescent="0.2">
      <c r="B148" s="17" t="s">
        <v>199</v>
      </c>
      <c r="D148" s="5"/>
      <c r="E148" s="5"/>
      <c r="G148" s="5"/>
      <c r="H148" s="5"/>
      <c r="I148" s="5"/>
      <c r="J148" s="5"/>
      <c r="L148" s="5"/>
      <c r="M148" s="5"/>
      <c r="N148" s="5"/>
      <c r="O148" s="5"/>
      <c r="Q148" s="5"/>
    </row>
    <row r="149" spans="2:17" ht="12.75" customHeight="1" x14ac:dyDescent="0.2">
      <c r="B149" s="17" t="s">
        <v>200</v>
      </c>
      <c r="D149" s="5"/>
      <c r="E149" s="5"/>
      <c r="G149" s="5"/>
      <c r="H149" s="5"/>
      <c r="I149" s="5"/>
      <c r="J149" s="5"/>
      <c r="L149" s="5"/>
      <c r="M149" s="5"/>
      <c r="N149" s="5"/>
      <c r="O149" s="5"/>
      <c r="Q149" s="5"/>
    </row>
    <row r="150" spans="2:17" ht="12.75" customHeight="1" x14ac:dyDescent="0.2">
      <c r="B150" s="17" t="s">
        <v>201</v>
      </c>
      <c r="D150" s="5"/>
      <c r="E150" s="5"/>
      <c r="G150" s="5"/>
      <c r="H150" s="5"/>
      <c r="I150" s="5"/>
      <c r="J150" s="5"/>
      <c r="L150" s="5"/>
      <c r="M150" s="5"/>
      <c r="N150" s="5"/>
      <c r="O150" s="5"/>
      <c r="Q150" s="5"/>
    </row>
    <row r="151" spans="2:17" ht="12.75" customHeight="1" x14ac:dyDescent="0.2">
      <c r="B151" s="20" t="s">
        <v>202</v>
      </c>
      <c r="D151" s="5"/>
      <c r="E151" s="5"/>
      <c r="G151" s="5"/>
      <c r="H151" s="5"/>
      <c r="I151" s="5"/>
      <c r="J151" s="5"/>
      <c r="L151" s="5"/>
      <c r="M151" s="5"/>
      <c r="N151" s="5"/>
      <c r="O151" s="5"/>
      <c r="Q151" s="5"/>
    </row>
    <row r="152" spans="2:17" ht="12.75" customHeight="1" x14ac:dyDescent="0.2">
      <c r="B152" s="17" t="s">
        <v>203</v>
      </c>
      <c r="D152" s="5"/>
      <c r="E152" s="5"/>
      <c r="G152" s="5"/>
      <c r="H152" s="5"/>
      <c r="I152" s="5"/>
      <c r="J152" s="5"/>
      <c r="L152" s="5"/>
      <c r="M152" s="5"/>
      <c r="N152" s="5"/>
      <c r="O152" s="5"/>
      <c r="Q152" s="5"/>
    </row>
    <row r="153" spans="2:17" ht="12.75" customHeight="1" x14ac:dyDescent="0.2">
      <c r="B153" s="17" t="s">
        <v>204</v>
      </c>
    </row>
    <row r="154" spans="2:17" ht="12.75" customHeight="1" x14ac:dyDescent="0.2">
      <c r="B154" s="17" t="s">
        <v>205</v>
      </c>
    </row>
    <row r="155" spans="2:17" ht="12.75" customHeight="1" x14ac:dyDescent="0.2">
      <c r="B155" s="17" t="s">
        <v>206</v>
      </c>
    </row>
    <row r="156" spans="2:17" ht="12.75" customHeight="1" x14ac:dyDescent="0.2">
      <c r="B156" s="17">
        <v>1</v>
      </c>
    </row>
    <row r="157" spans="2:17" ht="12.75" customHeight="1" x14ac:dyDescent="0.2">
      <c r="B157" s="17">
        <v>2</v>
      </c>
    </row>
    <row r="158" spans="2:17" ht="12.75" customHeight="1" x14ac:dyDescent="0.2">
      <c r="B158" s="17">
        <v>3</v>
      </c>
    </row>
    <row r="159" spans="2:17" ht="12.75" customHeight="1" x14ac:dyDescent="0.2">
      <c r="B159" s="17">
        <v>4</v>
      </c>
    </row>
    <row r="160" spans="2:17" ht="12.75" customHeight="1" x14ac:dyDescent="0.2">
      <c r="B160" s="17">
        <v>5</v>
      </c>
    </row>
    <row r="161" spans="2:2" ht="12.75" customHeight="1" x14ac:dyDescent="0.2">
      <c r="B161" s="17">
        <v>6</v>
      </c>
    </row>
    <row r="162" spans="2:2" ht="12.75" customHeight="1" x14ac:dyDescent="0.2">
      <c r="B162" s="17">
        <v>7</v>
      </c>
    </row>
    <row r="163" spans="2:2" ht="12.75" customHeight="1" x14ac:dyDescent="0.2">
      <c r="B163" s="17">
        <v>8</v>
      </c>
    </row>
    <row r="164" spans="2:2" ht="12.75" customHeight="1" x14ac:dyDescent="0.2">
      <c r="B164" s="17">
        <v>9</v>
      </c>
    </row>
    <row r="165" spans="2:2" ht="12.75" customHeight="1" x14ac:dyDescent="0.2">
      <c r="B165" s="17">
        <v>10</v>
      </c>
    </row>
    <row r="166" spans="2:2" ht="12.75" customHeight="1" x14ac:dyDescent="0.2">
      <c r="B166" s="17">
        <v>11</v>
      </c>
    </row>
    <row r="167" spans="2:2" ht="12.75" customHeight="1" x14ac:dyDescent="0.2">
      <c r="B167" s="17">
        <v>12</v>
      </c>
    </row>
    <row r="168" spans="2:2" ht="12.75" customHeight="1" x14ac:dyDescent="0.2">
      <c r="B168" s="17">
        <v>13</v>
      </c>
    </row>
    <row r="169" spans="2:2" ht="12.75" customHeight="1" x14ac:dyDescent="0.2">
      <c r="B169" s="17">
        <v>14</v>
      </c>
    </row>
    <row r="170" spans="2:2" ht="12.75" customHeight="1" x14ac:dyDescent="0.2">
      <c r="B170" s="17">
        <v>15</v>
      </c>
    </row>
    <row r="171" spans="2:2" ht="12.75" customHeight="1" x14ac:dyDescent="0.2">
      <c r="B171" s="17">
        <v>16</v>
      </c>
    </row>
    <row r="172" spans="2:2" ht="12.75" customHeight="1" x14ac:dyDescent="0.2">
      <c r="B172" s="17" t="s">
        <v>207</v>
      </c>
    </row>
    <row r="173" spans="2:2" ht="12.75" customHeight="1" x14ac:dyDescent="0.2">
      <c r="B173" s="17" t="s">
        <v>208</v>
      </c>
    </row>
    <row r="210" spans="35:35" ht="12.75" customHeight="1" x14ac:dyDescent="0.2">
      <c r="AI210" s="19"/>
    </row>
  </sheetData>
  <sheetProtection algorithmName="SHA-512" hashValue="k+B3cudZLhHzdjPzuvF6LV6NOPDE4yQCjA5afSs5vN4eCQuisUkpcZQau1IPUvpzGuiYsKibW50D/77eElZUDg==" saltValue="6Mf/MeD9RSb/xC5p+AfyIQ==" spinCount="100000" sheet="1" objects="1" scenarios="1"/>
  <dataConsolidate/>
  <mergeCells count="1">
    <mergeCell ref="I8:J8"/>
  </mergeCells>
  <phoneticPr fontId="0" type="noConversion"/>
  <dataValidations count="4">
    <dataValidation type="list" allowBlank="1" showInputMessage="1" showErrorMessage="1" sqref="G112">
      <formula1>"AA,AB,AC,AD,AE,DA,DB,Dbuit,DC,Dcuit,DE,LA,LB,LC,LD,LE,LIOa,LIOb,1,2,3,4,5,6,7,8,9,10,11,12,13,14,15"</formula1>
    </dataValidation>
    <dataValidation type="list" allowBlank="1" showInputMessage="1" showErrorMessage="1" sqref="F11:F110">
      <formula1>"vast,tijdelijk"</formula1>
    </dataValidation>
    <dataValidation type="list" allowBlank="1" showInputMessage="1" showErrorMessage="1" sqref="G12:G110">
      <formula1>$B$139:$B$171</formula1>
    </dataValidation>
    <dataValidation type="list" allowBlank="1" showInputMessage="1" showErrorMessage="1" sqref="G11">
      <formula1>$B$139:$B$173</formula1>
    </dataValidation>
  </dataValidations>
  <pageMargins left="0.78740157480314965" right="0.78740157480314965" top="0.98425196850393704" bottom="0.98425196850393704" header="0.51181102362204722" footer="0.51181102362204722"/>
  <pageSetup paperSize="9" scale="48" orientation="portrait" r:id="rId1"/>
  <headerFooter alignWithMargins="0">
    <oddHeader>&amp;L&amp;"Arial,Vet"&amp;F&amp;R&amp;"Arial,Vet"&amp;A</oddHeader>
    <oddFooter>&amp;L&amp;"Arial,Vet"PO-Raad&amp;C&amp;"Arial,Vet"&amp;D&amp;R&amp;"Arial,Vet"pagina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I210"/>
  <sheetViews>
    <sheetView zoomScale="85" zoomScaleNormal="85" workbookViewId="0">
      <pane ySplit="9" topLeftCell="A10" activePane="bottomLeft" state="frozen"/>
      <selection activeCell="L11" sqref="L11:N110"/>
      <selection pane="bottomLeft" activeCell="B2" sqref="B2"/>
    </sheetView>
  </sheetViews>
  <sheetFormatPr defaultColWidth="9.140625" defaultRowHeight="12.75" customHeight="1" x14ac:dyDescent="0.2"/>
  <cols>
    <col min="1" max="1" width="3.7109375" style="5" customWidth="1"/>
    <col min="2" max="3" width="2.7109375" style="5" customWidth="1"/>
    <col min="4" max="5" width="30.7109375" style="22" customWidth="1"/>
    <col min="6" max="6" width="10.7109375" style="5" customWidth="1"/>
    <col min="7" max="10" width="10.7109375" style="22" customWidth="1"/>
    <col min="11" max="11" width="1" style="5" customWidth="1"/>
    <col min="12" max="14" width="10.7109375" style="22" hidden="1" customWidth="1"/>
    <col min="15" max="15" width="12.7109375" style="22" customWidth="1"/>
    <col min="16" max="16" width="1.7109375" style="5" customWidth="1"/>
    <col min="17" max="17" width="12.7109375" style="22" customWidth="1"/>
    <col min="18" max="18" width="12.7109375" style="5" customWidth="1"/>
    <col min="19" max="22" width="2.7109375" style="5" customWidth="1"/>
    <col min="23" max="24" width="13.85546875" style="5" bestFit="1" customWidth="1"/>
    <col min="25" max="16384" width="9.140625" style="5"/>
  </cols>
  <sheetData>
    <row r="2" spans="2:35" ht="12.75" customHeight="1" x14ac:dyDescent="0.2">
      <c r="B2" s="30" t="s">
        <v>185</v>
      </c>
      <c r="C2" s="31"/>
      <c r="D2" s="76"/>
      <c r="E2" s="76"/>
      <c r="F2" s="31"/>
      <c r="G2" s="76"/>
      <c r="H2" s="76"/>
      <c r="I2" s="76"/>
      <c r="J2" s="76"/>
      <c r="K2" s="31"/>
      <c r="L2" s="76"/>
      <c r="M2" s="76"/>
      <c r="N2" s="76"/>
      <c r="O2" s="76"/>
      <c r="P2" s="31"/>
      <c r="Q2" s="76"/>
      <c r="R2" s="31"/>
      <c r="S2" s="31"/>
      <c r="T2" s="33"/>
    </row>
    <row r="3" spans="2:35" ht="12.75" customHeight="1" x14ac:dyDescent="0.2">
      <c r="B3" s="34"/>
      <c r="C3" s="35"/>
      <c r="D3" s="62"/>
      <c r="E3" s="62"/>
      <c r="F3" s="35"/>
      <c r="G3" s="62"/>
      <c r="H3" s="62"/>
      <c r="I3" s="62"/>
      <c r="J3" s="62"/>
      <c r="K3" s="35"/>
      <c r="L3" s="62"/>
      <c r="M3" s="62"/>
      <c r="N3" s="62"/>
      <c r="O3" s="62"/>
      <c r="P3" s="35"/>
      <c r="Q3" s="62"/>
      <c r="R3" s="35"/>
      <c r="S3" s="35"/>
      <c r="T3" s="37"/>
    </row>
    <row r="4" spans="2:35" s="436" customFormat="1" ht="18" customHeight="1" x14ac:dyDescent="0.3">
      <c r="B4" s="208"/>
      <c r="C4" s="151" t="s">
        <v>276</v>
      </c>
      <c r="D4" s="213"/>
      <c r="E4" s="214" t="str">
        <f>pers!I9</f>
        <v>2017/18</v>
      </c>
      <c r="F4" s="151"/>
      <c r="G4" s="213"/>
      <c r="H4" s="213"/>
      <c r="I4" s="213"/>
      <c r="J4" s="213"/>
      <c r="K4" s="151"/>
      <c r="L4" s="151"/>
      <c r="M4" s="213"/>
      <c r="N4" s="213"/>
      <c r="O4" s="213"/>
      <c r="P4" s="151"/>
      <c r="Q4" s="213"/>
      <c r="R4" s="151"/>
      <c r="S4" s="151"/>
      <c r="T4" s="209"/>
      <c r="AI4" s="165"/>
    </row>
    <row r="5" spans="2:35" s="231" customFormat="1" ht="18" customHeight="1" x14ac:dyDescent="0.3">
      <c r="B5" s="172"/>
      <c r="C5" s="173" t="str">
        <f>geg!G10</f>
        <v>Basisschool</v>
      </c>
      <c r="D5" s="328"/>
      <c r="E5" s="328"/>
      <c r="F5" s="328"/>
      <c r="G5" s="328"/>
      <c r="H5" s="328"/>
      <c r="I5" s="328"/>
      <c r="J5" s="328"/>
      <c r="K5" s="173"/>
      <c r="L5" s="173"/>
      <c r="M5" s="328"/>
      <c r="N5" s="328"/>
      <c r="O5" s="328"/>
      <c r="P5" s="173"/>
      <c r="Q5" s="328"/>
      <c r="R5" s="173"/>
      <c r="S5" s="173"/>
      <c r="T5" s="174"/>
      <c r="AI5" s="5"/>
    </row>
    <row r="6" spans="2:35" ht="12.75" customHeight="1" x14ac:dyDescent="0.2">
      <c r="B6" s="34"/>
      <c r="C6" s="35"/>
      <c r="D6" s="62"/>
      <c r="E6" s="62"/>
      <c r="F6" s="35"/>
      <c r="G6" s="62"/>
      <c r="H6" s="62"/>
      <c r="I6" s="62"/>
      <c r="J6" s="62"/>
      <c r="K6" s="35"/>
      <c r="L6" s="62"/>
      <c r="M6" s="62"/>
      <c r="N6" s="62"/>
      <c r="O6" s="62"/>
      <c r="P6" s="35"/>
      <c r="Q6" s="62"/>
      <c r="R6" s="35"/>
      <c r="S6" s="35"/>
      <c r="T6" s="37"/>
    </row>
    <row r="7" spans="2:35" s="730" customFormat="1" ht="12.75" customHeight="1" x14ac:dyDescent="0.2">
      <c r="B7" s="727"/>
      <c r="C7" s="728"/>
      <c r="D7" s="824" t="s">
        <v>248</v>
      </c>
      <c r="E7" s="824" t="s">
        <v>371</v>
      </c>
      <c r="F7" s="825" t="s">
        <v>251</v>
      </c>
      <c r="G7" s="825" t="s">
        <v>249</v>
      </c>
      <c r="H7" s="825" t="s">
        <v>188</v>
      </c>
      <c r="I7" s="825" t="s">
        <v>246</v>
      </c>
      <c r="J7" s="825" t="s">
        <v>247</v>
      </c>
      <c r="K7" s="825"/>
      <c r="L7" s="825" t="s">
        <v>246</v>
      </c>
      <c r="M7" s="825" t="s">
        <v>247</v>
      </c>
      <c r="N7" s="825" t="s">
        <v>262</v>
      </c>
      <c r="O7" s="825" t="s">
        <v>188</v>
      </c>
      <c r="P7" s="825"/>
      <c r="Q7" s="825" t="s">
        <v>261</v>
      </c>
      <c r="R7" s="825" t="s">
        <v>261</v>
      </c>
      <c r="S7" s="728"/>
      <c r="T7" s="729"/>
    </row>
    <row r="8" spans="2:35" s="730" customFormat="1" ht="12.75" customHeight="1" x14ac:dyDescent="0.2">
      <c r="B8" s="727"/>
      <c r="C8" s="728"/>
      <c r="D8" s="825"/>
      <c r="E8" s="825"/>
      <c r="F8" s="825"/>
      <c r="G8" s="825"/>
      <c r="H8" s="825"/>
      <c r="I8" s="1000" t="s">
        <v>263</v>
      </c>
      <c r="J8" s="1000"/>
      <c r="K8" s="825"/>
      <c r="L8" s="826">
        <f>tab!F5</f>
        <v>42948</v>
      </c>
      <c r="M8" s="826">
        <f>tab!F6</f>
        <v>43312</v>
      </c>
      <c r="N8" s="959">
        <f>M8-L8+1</f>
        <v>365</v>
      </c>
      <c r="O8" s="825" t="s">
        <v>250</v>
      </c>
      <c r="P8" s="825"/>
      <c r="Q8" s="825" t="s">
        <v>241</v>
      </c>
      <c r="R8" s="825" t="s">
        <v>255</v>
      </c>
      <c r="S8" s="728"/>
      <c r="T8" s="729"/>
    </row>
    <row r="9" spans="2:35" ht="12.75" customHeight="1" x14ac:dyDescent="0.2">
      <c r="B9" s="34"/>
      <c r="C9" s="35"/>
      <c r="D9" s="758"/>
      <c r="E9" s="758"/>
      <c r="F9" s="751"/>
      <c r="G9" s="758"/>
      <c r="H9" s="758"/>
      <c r="I9" s="758"/>
      <c r="J9" s="758"/>
      <c r="K9" s="751"/>
      <c r="L9" s="758"/>
      <c r="M9" s="758"/>
      <c r="N9" s="758"/>
      <c r="O9" s="758"/>
      <c r="P9" s="751"/>
      <c r="Q9" s="758"/>
      <c r="R9" s="751"/>
      <c r="S9" s="35"/>
      <c r="T9" s="37"/>
    </row>
    <row r="10" spans="2:35" ht="12.75" customHeight="1" x14ac:dyDescent="0.2">
      <c r="B10" s="34"/>
      <c r="C10" s="86"/>
      <c r="D10" s="144"/>
      <c r="E10" s="144"/>
      <c r="F10" s="87"/>
      <c r="G10" s="144"/>
      <c r="H10" s="144"/>
      <c r="I10" s="144"/>
      <c r="J10" s="144"/>
      <c r="K10" s="87"/>
      <c r="L10" s="144"/>
      <c r="M10" s="144"/>
      <c r="N10" s="144"/>
      <c r="O10" s="144"/>
      <c r="P10" s="87"/>
      <c r="Q10" s="144"/>
      <c r="R10" s="87"/>
      <c r="S10" s="128"/>
      <c r="T10" s="37"/>
    </row>
    <row r="11" spans="2:35" ht="12.75" customHeight="1" x14ac:dyDescent="0.2">
      <c r="B11" s="34"/>
      <c r="C11" s="91"/>
      <c r="D11" s="192" t="str">
        <f>IF('form t'!D11="","",'form t'!D11)</f>
        <v/>
      </c>
      <c r="E11" s="192" t="str">
        <f>IF('form t'!E11="","",'form t'!E11)</f>
        <v/>
      </c>
      <c r="F11" s="192" t="str">
        <f>IF('form t'!F11="","",'form t'!F11)</f>
        <v/>
      </c>
      <c r="G11" s="155" t="str">
        <f>IF('form t'!G11="","",'form t'!G11)</f>
        <v>LA</v>
      </c>
      <c r="H11" s="336">
        <f>IF('form t'!H11="","",'form t'!H11)</f>
        <v>1</v>
      </c>
      <c r="I11" s="337"/>
      <c r="J11" s="337"/>
      <c r="K11" s="115"/>
      <c r="L11" s="958">
        <f t="shared" ref="L11:L42" si="0">IF(I11=0,$L$8,I11)</f>
        <v>42948</v>
      </c>
      <c r="M11" s="958">
        <f t="shared" ref="M11:M42" si="1">IF(J11=0,$M$8,J11)</f>
        <v>43312</v>
      </c>
      <c r="N11" s="928">
        <f>M11-L11+1</f>
        <v>365</v>
      </c>
      <c r="O11" s="823">
        <f>IF(H11="",0,(H11*N11/$N$8))</f>
        <v>1</v>
      </c>
      <c r="P11" s="115"/>
      <c r="Q11" s="828">
        <f>IF(O11=0,"",(VLOOKUP(G11,FPE_LA,2,FALSE))*O11)</f>
        <v>1</v>
      </c>
      <c r="R11" s="829">
        <f>IF(O11=0,"",(IF(Q11=0,0,Q11*geg!$H$42)))</f>
        <v>61000</v>
      </c>
      <c r="S11" s="98"/>
      <c r="T11" s="37"/>
    </row>
    <row r="12" spans="2:35" ht="12.75" customHeight="1" x14ac:dyDescent="0.2">
      <c r="B12" s="34"/>
      <c r="C12" s="91"/>
      <c r="D12" s="192" t="str">
        <f>IF('form t'!D12="","",'form t'!D12)</f>
        <v/>
      </c>
      <c r="E12" s="192" t="str">
        <f>IF('form t'!E12="","",'form t'!E12)</f>
        <v/>
      </c>
      <c r="F12" s="155" t="str">
        <f>IF('form t'!F12="","",'form t'!F12)</f>
        <v/>
      </c>
      <c r="G12" s="155" t="str">
        <f>IF('form t'!G12="","",'form t'!G12)</f>
        <v/>
      </c>
      <c r="H12" s="336" t="str">
        <f>IF('form t'!H12="","",'form t'!H12)</f>
        <v/>
      </c>
      <c r="I12" s="337"/>
      <c r="J12" s="337"/>
      <c r="K12" s="92"/>
      <c r="L12" s="958">
        <f t="shared" si="0"/>
        <v>42948</v>
      </c>
      <c r="M12" s="958">
        <f t="shared" si="1"/>
        <v>43312</v>
      </c>
      <c r="N12" s="928">
        <f t="shared" ref="N12:N71" si="2">M12-L12+1</f>
        <v>365</v>
      </c>
      <c r="O12" s="823">
        <f t="shared" ref="O12:O42" si="3">IF(H12="",0,(H12*N12/$N$8))</f>
        <v>0</v>
      </c>
      <c r="P12" s="92"/>
      <c r="Q12" s="828" t="str">
        <f>IF(O12=0,"",(VLOOKUP(G12,tab!$D$52:$E$94,2,FALSE))*O12)</f>
        <v/>
      </c>
      <c r="R12" s="829" t="str">
        <f>IF(O12=0,"",(IF(Q12=0,0,Q12*geg!$H$42)))</f>
        <v/>
      </c>
      <c r="S12" s="98"/>
      <c r="T12" s="37"/>
    </row>
    <row r="13" spans="2:35" ht="12.75" customHeight="1" x14ac:dyDescent="0.2">
      <c r="B13" s="34"/>
      <c r="C13" s="91"/>
      <c r="D13" s="192" t="str">
        <f>IF('form t'!D13="","",'form t'!D13)</f>
        <v/>
      </c>
      <c r="E13" s="192" t="str">
        <f>IF('form t'!E13="","",'form t'!E13)</f>
        <v/>
      </c>
      <c r="F13" s="155" t="str">
        <f>IF('form t'!F13="","",'form t'!F13)</f>
        <v/>
      </c>
      <c r="G13" s="155" t="str">
        <f>IF('form t'!G13="","",'form t'!G13)</f>
        <v/>
      </c>
      <c r="H13" s="336" t="str">
        <f>IF('form t'!H13="","",'form t'!H13)</f>
        <v/>
      </c>
      <c r="I13" s="337"/>
      <c r="J13" s="337"/>
      <c r="K13" s="92"/>
      <c r="L13" s="958">
        <f t="shared" si="0"/>
        <v>42948</v>
      </c>
      <c r="M13" s="958">
        <f t="shared" si="1"/>
        <v>43312</v>
      </c>
      <c r="N13" s="928">
        <f t="shared" si="2"/>
        <v>365</v>
      </c>
      <c r="O13" s="823">
        <f t="shared" si="3"/>
        <v>0</v>
      </c>
      <c r="P13" s="92"/>
      <c r="Q13" s="828" t="str">
        <f>IF(O13=0,"",(VLOOKUP(G13,tab!$D$52:$E$94,2,FALSE))*O13)</f>
        <v/>
      </c>
      <c r="R13" s="829" t="str">
        <f>IF(O13=0,"",(IF(Q13=0,0,Q13*geg!$H$42)))</f>
        <v/>
      </c>
      <c r="S13" s="98"/>
      <c r="T13" s="37"/>
    </row>
    <row r="14" spans="2:35" ht="12.75" customHeight="1" x14ac:dyDescent="0.2">
      <c r="B14" s="34"/>
      <c r="C14" s="91"/>
      <c r="D14" s="192" t="str">
        <f>IF('form t'!D14="","",'form t'!D14)</f>
        <v/>
      </c>
      <c r="E14" s="192" t="str">
        <f>IF('form t'!E14="","",'form t'!E14)</f>
        <v/>
      </c>
      <c r="F14" s="155" t="str">
        <f>IF('form t'!F14="","",'form t'!F14)</f>
        <v/>
      </c>
      <c r="G14" s="155" t="str">
        <f>IF('form t'!G14="","",'form t'!G14)</f>
        <v/>
      </c>
      <c r="H14" s="336" t="str">
        <f>IF('form t'!H14="","",'form t'!H14)</f>
        <v/>
      </c>
      <c r="I14" s="337"/>
      <c r="J14" s="337"/>
      <c r="K14" s="92"/>
      <c r="L14" s="958">
        <f t="shared" si="0"/>
        <v>42948</v>
      </c>
      <c r="M14" s="958">
        <f t="shared" si="1"/>
        <v>43312</v>
      </c>
      <c r="N14" s="928">
        <f t="shared" si="2"/>
        <v>365</v>
      </c>
      <c r="O14" s="823">
        <f t="shared" si="3"/>
        <v>0</v>
      </c>
      <c r="P14" s="92"/>
      <c r="Q14" s="828" t="str">
        <f>IF(O14=0,"",(VLOOKUP(G14,tab!$D$52:$E$94,2,FALSE))*O14)</f>
        <v/>
      </c>
      <c r="R14" s="829" t="str">
        <f>IF(O14=0,"",(IF(Q14=0,0,Q14*geg!$H$42)))</f>
        <v/>
      </c>
      <c r="S14" s="98"/>
      <c r="T14" s="37"/>
    </row>
    <row r="15" spans="2:35" ht="12.75" customHeight="1" x14ac:dyDescent="0.2">
      <c r="B15" s="34"/>
      <c r="C15" s="91"/>
      <c r="D15" s="192" t="str">
        <f>IF('form t'!D15="","",'form t'!D15)</f>
        <v/>
      </c>
      <c r="E15" s="192" t="str">
        <f>IF('form t'!E15="","",'form t'!E15)</f>
        <v/>
      </c>
      <c r="F15" s="155" t="str">
        <f>IF('form t'!F15="","",'form t'!F15)</f>
        <v/>
      </c>
      <c r="G15" s="155" t="str">
        <f>IF('form t'!G15="","",'form t'!G15)</f>
        <v/>
      </c>
      <c r="H15" s="336" t="str">
        <f>IF('form t'!H15="","",'form t'!H15)</f>
        <v/>
      </c>
      <c r="I15" s="337"/>
      <c r="J15" s="337"/>
      <c r="K15" s="92"/>
      <c r="L15" s="958">
        <f t="shared" si="0"/>
        <v>42948</v>
      </c>
      <c r="M15" s="958">
        <f t="shared" si="1"/>
        <v>43312</v>
      </c>
      <c r="N15" s="928">
        <f t="shared" si="2"/>
        <v>365</v>
      </c>
      <c r="O15" s="823">
        <f t="shared" si="3"/>
        <v>0</v>
      </c>
      <c r="P15" s="92"/>
      <c r="Q15" s="828" t="str">
        <f>IF(O15=0,"",(VLOOKUP(G15,tab!$D$52:$E$94,2,FALSE))*O15)</f>
        <v/>
      </c>
      <c r="R15" s="829" t="str">
        <f>IF(O15=0,"",(IF(Q15=0,0,Q15*geg!$H$42)))</f>
        <v/>
      </c>
      <c r="S15" s="98"/>
      <c r="T15" s="37"/>
    </row>
    <row r="16" spans="2:35" ht="12.75" customHeight="1" x14ac:dyDescent="0.2">
      <c r="B16" s="34"/>
      <c r="C16" s="91"/>
      <c r="D16" s="192" t="str">
        <f>IF('form t'!D16="","",'form t'!D16)</f>
        <v/>
      </c>
      <c r="E16" s="192" t="str">
        <f>IF('form t'!E16="","",'form t'!E16)</f>
        <v/>
      </c>
      <c r="F16" s="155" t="str">
        <f>IF('form t'!F16="","",'form t'!F16)</f>
        <v/>
      </c>
      <c r="G16" s="155" t="str">
        <f>IF('form t'!G16="","",'form t'!G16)</f>
        <v/>
      </c>
      <c r="H16" s="336" t="str">
        <f>IF('form t'!H16="","",'form t'!H16)</f>
        <v/>
      </c>
      <c r="I16" s="337"/>
      <c r="J16" s="337"/>
      <c r="K16" s="92"/>
      <c r="L16" s="958">
        <f t="shared" si="0"/>
        <v>42948</v>
      </c>
      <c r="M16" s="958">
        <f t="shared" si="1"/>
        <v>43312</v>
      </c>
      <c r="N16" s="928">
        <f t="shared" si="2"/>
        <v>365</v>
      </c>
      <c r="O16" s="823">
        <f t="shared" si="3"/>
        <v>0</v>
      </c>
      <c r="P16" s="92"/>
      <c r="Q16" s="828" t="str">
        <f>IF(O16=0,"",(VLOOKUP(G16,tab!$D$52:$E$94,2,FALSE))*O16)</f>
        <v/>
      </c>
      <c r="R16" s="829" t="str">
        <f>IF(O16=0,"",(IF(Q16=0,0,Q16*geg!$H$42)))</f>
        <v/>
      </c>
      <c r="S16" s="98"/>
      <c r="T16" s="37"/>
    </row>
    <row r="17" spans="2:20" ht="12.75" customHeight="1" x14ac:dyDescent="0.2">
      <c r="B17" s="34"/>
      <c r="C17" s="91"/>
      <c r="D17" s="192" t="str">
        <f>IF('form t'!D17="","",'form t'!D17)</f>
        <v/>
      </c>
      <c r="E17" s="192" t="str">
        <f>IF('form t'!E17="","",'form t'!E17)</f>
        <v/>
      </c>
      <c r="F17" s="155" t="str">
        <f>IF('form t'!F17="","",'form t'!F17)</f>
        <v/>
      </c>
      <c r="G17" s="155" t="str">
        <f>IF('form t'!G17="","",'form t'!G17)</f>
        <v/>
      </c>
      <c r="H17" s="336" t="str">
        <f>IF('form t'!H17="","",'form t'!H17)</f>
        <v/>
      </c>
      <c r="I17" s="337"/>
      <c r="J17" s="337"/>
      <c r="K17" s="92"/>
      <c r="L17" s="958">
        <f t="shared" si="0"/>
        <v>42948</v>
      </c>
      <c r="M17" s="958">
        <f t="shared" si="1"/>
        <v>43312</v>
      </c>
      <c r="N17" s="928">
        <f t="shared" si="2"/>
        <v>365</v>
      </c>
      <c r="O17" s="823">
        <f t="shared" si="3"/>
        <v>0</v>
      </c>
      <c r="P17" s="92"/>
      <c r="Q17" s="828" t="str">
        <f>IF(O17=0,"",(VLOOKUP(G17,tab!$D$52:$E$94,2,FALSE))*O17)</f>
        <v/>
      </c>
      <c r="R17" s="829" t="str">
        <f>IF(O17=0,"",(IF(Q17=0,0,Q17*geg!$H$42)))</f>
        <v/>
      </c>
      <c r="S17" s="98"/>
      <c r="T17" s="37"/>
    </row>
    <row r="18" spans="2:20" ht="12.75" customHeight="1" x14ac:dyDescent="0.2">
      <c r="B18" s="34"/>
      <c r="C18" s="91"/>
      <c r="D18" s="192" t="str">
        <f>IF('form t'!D18="","",'form t'!D18)</f>
        <v/>
      </c>
      <c r="E18" s="192" t="str">
        <f>IF('form t'!E18="","",'form t'!E18)</f>
        <v/>
      </c>
      <c r="F18" s="155" t="str">
        <f>IF('form t'!F18="","",'form t'!F18)</f>
        <v/>
      </c>
      <c r="G18" s="155" t="str">
        <f>IF('form t'!G18="","",'form t'!G18)</f>
        <v/>
      </c>
      <c r="H18" s="336" t="str">
        <f>IF('form t'!H18="","",'form t'!H18)</f>
        <v/>
      </c>
      <c r="I18" s="337"/>
      <c r="J18" s="337"/>
      <c r="K18" s="92"/>
      <c r="L18" s="958">
        <f t="shared" si="0"/>
        <v>42948</v>
      </c>
      <c r="M18" s="958">
        <f t="shared" si="1"/>
        <v>43312</v>
      </c>
      <c r="N18" s="928">
        <f t="shared" si="2"/>
        <v>365</v>
      </c>
      <c r="O18" s="823">
        <f t="shared" si="3"/>
        <v>0</v>
      </c>
      <c r="P18" s="92"/>
      <c r="Q18" s="828" t="str">
        <f>IF(O18=0,"",(VLOOKUP(G18,tab!$D$52:$E$94,2,FALSE))*O18)</f>
        <v/>
      </c>
      <c r="R18" s="829" t="str">
        <f>IF(O18=0,"",(IF(Q18=0,0,Q18*geg!$H$42)))</f>
        <v/>
      </c>
      <c r="S18" s="98"/>
      <c r="T18" s="37"/>
    </row>
    <row r="19" spans="2:20" ht="12.75" customHeight="1" x14ac:dyDescent="0.2">
      <c r="B19" s="34"/>
      <c r="C19" s="91"/>
      <c r="D19" s="192" t="str">
        <f>IF('form t'!D19="","",'form t'!D19)</f>
        <v/>
      </c>
      <c r="E19" s="192" t="str">
        <f>IF('form t'!E19="","",'form t'!E19)</f>
        <v/>
      </c>
      <c r="F19" s="155" t="str">
        <f>IF('form t'!F19="","",'form t'!F19)</f>
        <v/>
      </c>
      <c r="G19" s="155" t="str">
        <f>IF('form t'!G19="","",'form t'!G19)</f>
        <v/>
      </c>
      <c r="H19" s="336" t="str">
        <f>IF('form t'!H19="","",'form t'!H19)</f>
        <v/>
      </c>
      <c r="I19" s="337"/>
      <c r="J19" s="337"/>
      <c r="K19" s="92"/>
      <c r="L19" s="958">
        <f t="shared" si="0"/>
        <v>42948</v>
      </c>
      <c r="M19" s="958">
        <f t="shared" si="1"/>
        <v>43312</v>
      </c>
      <c r="N19" s="928">
        <f t="shared" si="2"/>
        <v>365</v>
      </c>
      <c r="O19" s="823">
        <f t="shared" si="3"/>
        <v>0</v>
      </c>
      <c r="P19" s="92"/>
      <c r="Q19" s="828" t="str">
        <f>IF(O19=0,"",(VLOOKUP(G19,tab!$D$52:$E$94,2,FALSE))*O19)</f>
        <v/>
      </c>
      <c r="R19" s="829" t="str">
        <f>IF(O19=0,"",(IF(Q19=0,0,Q19*geg!$H$42)))</f>
        <v/>
      </c>
      <c r="S19" s="98"/>
      <c r="T19" s="37"/>
    </row>
    <row r="20" spans="2:20" ht="12.75" customHeight="1" x14ac:dyDescent="0.2">
      <c r="B20" s="34"/>
      <c r="C20" s="91"/>
      <c r="D20" s="192" t="str">
        <f>IF('form t'!D20="","",'form t'!D20)</f>
        <v/>
      </c>
      <c r="E20" s="192" t="str">
        <f>IF('form t'!E20="","",'form t'!E20)</f>
        <v/>
      </c>
      <c r="F20" s="155" t="str">
        <f>IF('form t'!F20="","",'form t'!F20)</f>
        <v/>
      </c>
      <c r="G20" s="155" t="str">
        <f>IF('form t'!G20="","",'form t'!G20)</f>
        <v/>
      </c>
      <c r="H20" s="336" t="str">
        <f>IF('form t'!H20="","",'form t'!H20)</f>
        <v/>
      </c>
      <c r="I20" s="337"/>
      <c r="J20" s="337"/>
      <c r="K20" s="92"/>
      <c r="L20" s="958">
        <f t="shared" si="0"/>
        <v>42948</v>
      </c>
      <c r="M20" s="958">
        <f t="shared" si="1"/>
        <v>43312</v>
      </c>
      <c r="N20" s="928">
        <f t="shared" si="2"/>
        <v>365</v>
      </c>
      <c r="O20" s="823">
        <f t="shared" si="3"/>
        <v>0</v>
      </c>
      <c r="P20" s="92"/>
      <c r="Q20" s="828" t="str">
        <f>IF(O20=0,"",(VLOOKUP(G20,tab!$D$52:$E$94,2,FALSE))*O20)</f>
        <v/>
      </c>
      <c r="R20" s="829" t="str">
        <f>IF(O20=0,"",(IF(Q20=0,0,Q20*geg!$H$42)))</f>
        <v/>
      </c>
      <c r="S20" s="98"/>
      <c r="T20" s="37"/>
    </row>
    <row r="21" spans="2:20" ht="12.75" customHeight="1" x14ac:dyDescent="0.2">
      <c r="B21" s="34"/>
      <c r="C21" s="91"/>
      <c r="D21" s="192" t="str">
        <f>IF('form t'!D21="","",'form t'!D21)</f>
        <v/>
      </c>
      <c r="E21" s="192" t="str">
        <f>IF('form t'!E21="","",'form t'!E21)</f>
        <v/>
      </c>
      <c r="F21" s="155" t="str">
        <f>IF('form t'!F21="","",'form t'!F21)</f>
        <v/>
      </c>
      <c r="G21" s="155" t="str">
        <f>IF('form t'!G21="","",'form t'!G21)</f>
        <v/>
      </c>
      <c r="H21" s="336" t="str">
        <f>IF('form t'!H21="","",'form t'!H21)</f>
        <v/>
      </c>
      <c r="I21" s="337"/>
      <c r="J21" s="337"/>
      <c r="K21" s="92"/>
      <c r="L21" s="958">
        <f t="shared" si="0"/>
        <v>42948</v>
      </c>
      <c r="M21" s="958">
        <f t="shared" si="1"/>
        <v>43312</v>
      </c>
      <c r="N21" s="928">
        <f t="shared" si="2"/>
        <v>365</v>
      </c>
      <c r="O21" s="823">
        <f t="shared" si="3"/>
        <v>0</v>
      </c>
      <c r="P21" s="92"/>
      <c r="Q21" s="828" t="str">
        <f>IF(O21=0,"",(VLOOKUP(G21,tab!$D$52:$E$94,2,FALSE))*O21)</f>
        <v/>
      </c>
      <c r="R21" s="829" t="str">
        <f>IF(O21=0,"",(IF(Q21=0,0,Q21*geg!$H$42)))</f>
        <v/>
      </c>
      <c r="S21" s="98"/>
      <c r="T21" s="37"/>
    </row>
    <row r="22" spans="2:20" ht="12.75" customHeight="1" x14ac:dyDescent="0.2">
      <c r="B22" s="34"/>
      <c r="C22" s="91"/>
      <c r="D22" s="192" t="str">
        <f>IF('form t'!D22="","",'form t'!D22)</f>
        <v/>
      </c>
      <c r="E22" s="192" t="str">
        <f>IF('form t'!E22="","",'form t'!E22)</f>
        <v/>
      </c>
      <c r="F22" s="155" t="str">
        <f>IF('form t'!F22="","",'form t'!F22)</f>
        <v/>
      </c>
      <c r="G22" s="155" t="str">
        <f>IF('form t'!G22="","",'form t'!G22)</f>
        <v/>
      </c>
      <c r="H22" s="336" t="str">
        <f>IF('form t'!H22="","",'form t'!H22)</f>
        <v/>
      </c>
      <c r="I22" s="337"/>
      <c r="J22" s="337"/>
      <c r="K22" s="92"/>
      <c r="L22" s="958">
        <f t="shared" si="0"/>
        <v>42948</v>
      </c>
      <c r="M22" s="958">
        <f t="shared" si="1"/>
        <v>43312</v>
      </c>
      <c r="N22" s="928">
        <f t="shared" si="2"/>
        <v>365</v>
      </c>
      <c r="O22" s="823">
        <f t="shared" si="3"/>
        <v>0</v>
      </c>
      <c r="P22" s="92"/>
      <c r="Q22" s="828" t="str">
        <f>IF(O22=0,"",(VLOOKUP(G22,tab!$D$52:$E$94,2,FALSE))*O22)</f>
        <v/>
      </c>
      <c r="R22" s="829" t="str">
        <f>IF(O22=0,"",(IF(Q22=0,0,Q22*geg!$H$42)))</f>
        <v/>
      </c>
      <c r="S22" s="98"/>
      <c r="T22" s="37"/>
    </row>
    <row r="23" spans="2:20" ht="12.75" customHeight="1" x14ac:dyDescent="0.2">
      <c r="B23" s="34"/>
      <c r="C23" s="91"/>
      <c r="D23" s="192" t="str">
        <f>IF('form t'!D23="","",'form t'!D23)</f>
        <v/>
      </c>
      <c r="E23" s="192" t="str">
        <f>IF('form t'!E23="","",'form t'!E23)</f>
        <v/>
      </c>
      <c r="F23" s="155" t="str">
        <f>IF('form t'!F23="","",'form t'!F23)</f>
        <v/>
      </c>
      <c r="G23" s="155" t="str">
        <f>IF('form t'!G23="","",'form t'!G23)</f>
        <v/>
      </c>
      <c r="H23" s="336" t="str">
        <f>IF('form t'!H23="","",'form t'!H23)</f>
        <v/>
      </c>
      <c r="I23" s="337"/>
      <c r="J23" s="337"/>
      <c r="K23" s="92"/>
      <c r="L23" s="958">
        <f t="shared" si="0"/>
        <v>42948</v>
      </c>
      <c r="M23" s="958">
        <f t="shared" si="1"/>
        <v>43312</v>
      </c>
      <c r="N23" s="928">
        <f t="shared" si="2"/>
        <v>365</v>
      </c>
      <c r="O23" s="823">
        <f t="shared" si="3"/>
        <v>0</v>
      </c>
      <c r="P23" s="92"/>
      <c r="Q23" s="828" t="str">
        <f>IF(O23=0,"",(VLOOKUP(G23,tab!$D$52:$E$94,2,FALSE))*O23)</f>
        <v/>
      </c>
      <c r="R23" s="829" t="str">
        <f>IF(O23=0,"",(IF(Q23=0,0,Q23*geg!$H$42)))</f>
        <v/>
      </c>
      <c r="S23" s="98"/>
      <c r="T23" s="37"/>
    </row>
    <row r="24" spans="2:20" ht="12.75" customHeight="1" x14ac:dyDescent="0.2">
      <c r="B24" s="34"/>
      <c r="C24" s="91"/>
      <c r="D24" s="192" t="str">
        <f>IF('form t'!D24="","",'form t'!D24)</f>
        <v/>
      </c>
      <c r="E24" s="192" t="str">
        <f>IF('form t'!E24="","",'form t'!E24)</f>
        <v/>
      </c>
      <c r="F24" s="155" t="str">
        <f>IF('form t'!F24="","",'form t'!F24)</f>
        <v/>
      </c>
      <c r="G24" s="155" t="str">
        <f>IF('form t'!G24="","",'form t'!G24)</f>
        <v/>
      </c>
      <c r="H24" s="336" t="str">
        <f>IF('form t'!H24="","",'form t'!H24)</f>
        <v/>
      </c>
      <c r="I24" s="337"/>
      <c r="J24" s="337"/>
      <c r="K24" s="92"/>
      <c r="L24" s="958">
        <f t="shared" si="0"/>
        <v>42948</v>
      </c>
      <c r="M24" s="958">
        <f t="shared" si="1"/>
        <v>43312</v>
      </c>
      <c r="N24" s="928">
        <f t="shared" si="2"/>
        <v>365</v>
      </c>
      <c r="O24" s="823">
        <f t="shared" si="3"/>
        <v>0</v>
      </c>
      <c r="P24" s="92"/>
      <c r="Q24" s="828" t="str">
        <f>IF(O24=0,"",(VLOOKUP(G24,tab!$D$52:$E$94,2,FALSE))*O24)</f>
        <v/>
      </c>
      <c r="R24" s="829" t="str">
        <f>IF(O24=0,"",(IF(Q24=0,0,Q24*geg!$H$42)))</f>
        <v/>
      </c>
      <c r="S24" s="98"/>
      <c r="T24" s="37"/>
    </row>
    <row r="25" spans="2:20" ht="12.75" customHeight="1" x14ac:dyDescent="0.2">
      <c r="B25" s="34"/>
      <c r="C25" s="91"/>
      <c r="D25" s="192" t="str">
        <f>IF('form t'!D25="","",'form t'!D25)</f>
        <v/>
      </c>
      <c r="E25" s="192" t="str">
        <f>IF('form t'!E25="","",'form t'!E25)</f>
        <v/>
      </c>
      <c r="F25" s="155" t="str">
        <f>IF('form t'!F25="","",'form t'!F25)</f>
        <v/>
      </c>
      <c r="G25" s="155" t="str">
        <f>IF('form t'!G25="","",'form t'!G25)</f>
        <v/>
      </c>
      <c r="H25" s="336" t="str">
        <f>IF('form t'!H25="","",'form t'!H25)</f>
        <v/>
      </c>
      <c r="I25" s="337"/>
      <c r="J25" s="337"/>
      <c r="K25" s="92"/>
      <c r="L25" s="958">
        <f t="shared" si="0"/>
        <v>42948</v>
      </c>
      <c r="M25" s="958">
        <f t="shared" si="1"/>
        <v>43312</v>
      </c>
      <c r="N25" s="928">
        <f t="shared" si="2"/>
        <v>365</v>
      </c>
      <c r="O25" s="823">
        <f t="shared" si="3"/>
        <v>0</v>
      </c>
      <c r="P25" s="92"/>
      <c r="Q25" s="828" t="str">
        <f>IF(O25=0,"",(VLOOKUP(G25,tab!$D$52:$E$94,2,FALSE))*O25)</f>
        <v/>
      </c>
      <c r="R25" s="829" t="str">
        <f>IF(O25=0,"",(IF(Q25=0,0,Q25*geg!$H$42)))</f>
        <v/>
      </c>
      <c r="S25" s="98"/>
      <c r="T25" s="37"/>
    </row>
    <row r="26" spans="2:20" ht="12.75" customHeight="1" x14ac:dyDescent="0.2">
      <c r="B26" s="34"/>
      <c r="C26" s="91"/>
      <c r="D26" s="192" t="str">
        <f>IF('form t'!D26="","",'form t'!D26)</f>
        <v/>
      </c>
      <c r="E26" s="192" t="str">
        <f>IF('form t'!E26="","",'form t'!E26)</f>
        <v/>
      </c>
      <c r="F26" s="155" t="str">
        <f>IF('form t'!F26="","",'form t'!F26)</f>
        <v/>
      </c>
      <c r="G26" s="155" t="str">
        <f>IF('form t'!G26="","",'form t'!G26)</f>
        <v/>
      </c>
      <c r="H26" s="336" t="str">
        <f>IF('form t'!H26="","",'form t'!H26)</f>
        <v/>
      </c>
      <c r="I26" s="337"/>
      <c r="J26" s="337"/>
      <c r="K26" s="92"/>
      <c r="L26" s="958">
        <f t="shared" si="0"/>
        <v>42948</v>
      </c>
      <c r="M26" s="958">
        <f t="shared" si="1"/>
        <v>43312</v>
      </c>
      <c r="N26" s="928">
        <f t="shared" si="2"/>
        <v>365</v>
      </c>
      <c r="O26" s="823">
        <f t="shared" si="3"/>
        <v>0</v>
      </c>
      <c r="P26" s="92"/>
      <c r="Q26" s="828" t="str">
        <f>IF(O26=0,"",(VLOOKUP(G26,tab!$D$52:$E$94,2,FALSE))*O26)</f>
        <v/>
      </c>
      <c r="R26" s="829" t="str">
        <f>IF(O26=0,"",(IF(Q26=0,0,Q26*geg!$H$42)))</f>
        <v/>
      </c>
      <c r="S26" s="98"/>
      <c r="T26" s="37"/>
    </row>
    <row r="27" spans="2:20" ht="12.75" customHeight="1" x14ac:dyDescent="0.2">
      <c r="B27" s="34"/>
      <c r="C27" s="91"/>
      <c r="D27" s="192" t="str">
        <f>IF('form t'!D27="","",'form t'!D27)</f>
        <v/>
      </c>
      <c r="E27" s="192" t="str">
        <f>IF('form t'!E27="","",'form t'!E27)</f>
        <v/>
      </c>
      <c r="F27" s="155" t="str">
        <f>IF('form t'!F27="","",'form t'!F27)</f>
        <v/>
      </c>
      <c r="G27" s="155" t="str">
        <f>IF('form t'!G27="","",'form t'!G27)</f>
        <v/>
      </c>
      <c r="H27" s="336" t="str">
        <f>IF('form t'!H27="","",'form t'!H27)</f>
        <v/>
      </c>
      <c r="I27" s="337"/>
      <c r="J27" s="337"/>
      <c r="K27" s="92"/>
      <c r="L27" s="958">
        <f t="shared" si="0"/>
        <v>42948</v>
      </c>
      <c r="M27" s="958">
        <f t="shared" si="1"/>
        <v>43312</v>
      </c>
      <c r="N27" s="928">
        <f t="shared" si="2"/>
        <v>365</v>
      </c>
      <c r="O27" s="823">
        <f t="shared" si="3"/>
        <v>0</v>
      </c>
      <c r="P27" s="92"/>
      <c r="Q27" s="828" t="str">
        <f>IF(O27=0,"",(VLOOKUP(G27,tab!$D$52:$E$94,2,FALSE))*O27)</f>
        <v/>
      </c>
      <c r="R27" s="829" t="str">
        <f>IF(O27=0,"",(IF(Q27=0,0,Q27*geg!$H$42)))</f>
        <v/>
      </c>
      <c r="S27" s="98"/>
      <c r="T27" s="37"/>
    </row>
    <row r="28" spans="2:20" ht="12.75" customHeight="1" x14ac:dyDescent="0.2">
      <c r="B28" s="34"/>
      <c r="C28" s="91"/>
      <c r="D28" s="192" t="str">
        <f>IF('form t'!D28="","",'form t'!D28)</f>
        <v/>
      </c>
      <c r="E28" s="192" t="str">
        <f>IF('form t'!E28="","",'form t'!E28)</f>
        <v/>
      </c>
      <c r="F28" s="155" t="str">
        <f>IF('form t'!F28="","",'form t'!F28)</f>
        <v/>
      </c>
      <c r="G28" s="155" t="str">
        <f>IF('form t'!G28="","",'form t'!G28)</f>
        <v/>
      </c>
      <c r="H28" s="336" t="str">
        <f>IF('form t'!H28="","",'form t'!H28)</f>
        <v/>
      </c>
      <c r="I28" s="337"/>
      <c r="J28" s="337"/>
      <c r="K28" s="92"/>
      <c r="L28" s="958">
        <f t="shared" si="0"/>
        <v>42948</v>
      </c>
      <c r="M28" s="958">
        <f t="shared" si="1"/>
        <v>43312</v>
      </c>
      <c r="N28" s="928">
        <f t="shared" si="2"/>
        <v>365</v>
      </c>
      <c r="O28" s="823">
        <f t="shared" si="3"/>
        <v>0</v>
      </c>
      <c r="P28" s="92"/>
      <c r="Q28" s="828" t="str">
        <f>IF(O28=0,"",(VLOOKUP(G28,tab!$D$52:$E$94,2,FALSE))*O28)</f>
        <v/>
      </c>
      <c r="R28" s="829" t="str">
        <f>IF(O28=0,"",(IF(Q28=0,0,Q28*geg!$H$42)))</f>
        <v/>
      </c>
      <c r="S28" s="98"/>
      <c r="T28" s="37"/>
    </row>
    <row r="29" spans="2:20" ht="12.75" customHeight="1" x14ac:dyDescent="0.2">
      <c r="B29" s="34"/>
      <c r="C29" s="91"/>
      <c r="D29" s="192" t="str">
        <f>IF('form t'!D29="","",'form t'!D29)</f>
        <v/>
      </c>
      <c r="E29" s="192" t="str">
        <f>IF('form t'!E29="","",'form t'!E29)</f>
        <v/>
      </c>
      <c r="F29" s="155" t="str">
        <f>IF('form t'!F29="","",'form t'!F29)</f>
        <v/>
      </c>
      <c r="G29" s="155" t="str">
        <f>IF('form t'!G29="","",'form t'!G29)</f>
        <v/>
      </c>
      <c r="H29" s="336" t="str">
        <f>IF('form t'!H29="","",'form t'!H29)</f>
        <v/>
      </c>
      <c r="I29" s="337"/>
      <c r="J29" s="337"/>
      <c r="K29" s="92"/>
      <c r="L29" s="958">
        <f t="shared" si="0"/>
        <v>42948</v>
      </c>
      <c r="M29" s="958">
        <f t="shared" si="1"/>
        <v>43312</v>
      </c>
      <c r="N29" s="928">
        <f t="shared" si="2"/>
        <v>365</v>
      </c>
      <c r="O29" s="823">
        <f t="shared" si="3"/>
        <v>0</v>
      </c>
      <c r="P29" s="92"/>
      <c r="Q29" s="828" t="str">
        <f>IF(O29=0,"",(VLOOKUP(G29,tab!$D$52:$E$94,2,FALSE))*O29)</f>
        <v/>
      </c>
      <c r="R29" s="829" t="str">
        <f>IF(O29=0,"",(IF(Q29=0,0,Q29*geg!$H$42)))</f>
        <v/>
      </c>
      <c r="S29" s="98"/>
      <c r="T29" s="37"/>
    </row>
    <row r="30" spans="2:20" ht="12.75" customHeight="1" x14ac:dyDescent="0.2">
      <c r="B30" s="34"/>
      <c r="C30" s="91"/>
      <c r="D30" s="192" t="str">
        <f>IF('form t'!D30="","",'form t'!D30)</f>
        <v/>
      </c>
      <c r="E30" s="192" t="str">
        <f>IF('form t'!E30="","",'form t'!E30)</f>
        <v/>
      </c>
      <c r="F30" s="155" t="str">
        <f>IF('form t'!F30="","",'form t'!F30)</f>
        <v/>
      </c>
      <c r="G30" s="155" t="str">
        <f>IF('form t'!G30="","",'form t'!G30)</f>
        <v/>
      </c>
      <c r="H30" s="336" t="str">
        <f>IF('form t'!H30="","",'form t'!H30)</f>
        <v/>
      </c>
      <c r="I30" s="337"/>
      <c r="J30" s="337"/>
      <c r="K30" s="92"/>
      <c r="L30" s="958">
        <f t="shared" si="0"/>
        <v>42948</v>
      </c>
      <c r="M30" s="958">
        <f t="shared" si="1"/>
        <v>43312</v>
      </c>
      <c r="N30" s="928">
        <f t="shared" si="2"/>
        <v>365</v>
      </c>
      <c r="O30" s="823">
        <f t="shared" si="3"/>
        <v>0</v>
      </c>
      <c r="P30" s="92"/>
      <c r="Q30" s="828" t="str">
        <f>IF(O30=0,"",(VLOOKUP(G30,tab!$D$52:$E$94,2,FALSE))*O30)</f>
        <v/>
      </c>
      <c r="R30" s="829" t="str">
        <f>IF(O30=0,"",(IF(Q30=0,0,Q30*geg!$H$42)))</f>
        <v/>
      </c>
      <c r="S30" s="98"/>
      <c r="T30" s="37"/>
    </row>
    <row r="31" spans="2:20" ht="12.75" customHeight="1" x14ac:dyDescent="0.2">
      <c r="B31" s="34"/>
      <c r="C31" s="91"/>
      <c r="D31" s="192" t="str">
        <f>IF('form t'!D31="","",'form t'!D31)</f>
        <v/>
      </c>
      <c r="E31" s="192" t="str">
        <f>IF('form t'!E31="","",'form t'!E31)</f>
        <v/>
      </c>
      <c r="F31" s="155" t="str">
        <f>IF('form t'!F31="","",'form t'!F31)</f>
        <v/>
      </c>
      <c r="G31" s="155" t="str">
        <f>IF('form t'!G31="","",'form t'!G31)</f>
        <v/>
      </c>
      <c r="H31" s="336" t="str">
        <f>IF('form t'!H31="","",'form t'!H31)</f>
        <v/>
      </c>
      <c r="I31" s="337"/>
      <c r="J31" s="337"/>
      <c r="K31" s="92"/>
      <c r="L31" s="958">
        <f t="shared" si="0"/>
        <v>42948</v>
      </c>
      <c r="M31" s="958">
        <f t="shared" si="1"/>
        <v>43312</v>
      </c>
      <c r="N31" s="928">
        <f t="shared" si="2"/>
        <v>365</v>
      </c>
      <c r="O31" s="823">
        <f t="shared" si="3"/>
        <v>0</v>
      </c>
      <c r="P31" s="92"/>
      <c r="Q31" s="828" t="str">
        <f>IF(O31=0,"",(VLOOKUP(G31,tab!$D$52:$E$94,2,FALSE))*O31)</f>
        <v/>
      </c>
      <c r="R31" s="829" t="str">
        <f>IF(O31=0,"",(IF(Q31=0,0,Q31*geg!$H$42)))</f>
        <v/>
      </c>
      <c r="S31" s="98"/>
      <c r="T31" s="37"/>
    </row>
    <row r="32" spans="2:20" ht="12.75" customHeight="1" x14ac:dyDescent="0.2">
      <c r="B32" s="34"/>
      <c r="C32" s="91"/>
      <c r="D32" s="192" t="str">
        <f>IF('form t'!D32="","",'form t'!D32)</f>
        <v/>
      </c>
      <c r="E32" s="192" t="str">
        <f>IF('form t'!E32="","",'form t'!E32)</f>
        <v/>
      </c>
      <c r="F32" s="155" t="str">
        <f>IF('form t'!F32="","",'form t'!F32)</f>
        <v/>
      </c>
      <c r="G32" s="155" t="str">
        <f>IF('form t'!G32="","",'form t'!G32)</f>
        <v/>
      </c>
      <c r="H32" s="336" t="str">
        <f>IF('form t'!H32="","",'form t'!H32)</f>
        <v/>
      </c>
      <c r="I32" s="337"/>
      <c r="J32" s="337"/>
      <c r="K32" s="92"/>
      <c r="L32" s="958">
        <f t="shared" si="0"/>
        <v>42948</v>
      </c>
      <c r="M32" s="958">
        <f t="shared" si="1"/>
        <v>43312</v>
      </c>
      <c r="N32" s="928">
        <f t="shared" si="2"/>
        <v>365</v>
      </c>
      <c r="O32" s="823">
        <f t="shared" si="3"/>
        <v>0</v>
      </c>
      <c r="P32" s="92"/>
      <c r="Q32" s="828" t="str">
        <f>IF(O32=0,"",(VLOOKUP(G32,tab!$D$52:$E$94,2,FALSE))*O32)</f>
        <v/>
      </c>
      <c r="R32" s="829" t="str">
        <f>IF(O32=0,"",(IF(Q32=0,0,Q32*geg!$H$42)))</f>
        <v/>
      </c>
      <c r="S32" s="98"/>
      <c r="T32" s="37"/>
    </row>
    <row r="33" spans="2:20" ht="12.75" customHeight="1" x14ac:dyDescent="0.2">
      <c r="B33" s="34"/>
      <c r="C33" s="91"/>
      <c r="D33" s="192" t="str">
        <f>IF('form t'!D33="","",'form t'!D33)</f>
        <v/>
      </c>
      <c r="E33" s="192" t="str">
        <f>IF('form t'!E33="","",'form t'!E33)</f>
        <v/>
      </c>
      <c r="F33" s="155" t="str">
        <f>IF('form t'!F33="","",'form t'!F33)</f>
        <v/>
      </c>
      <c r="G33" s="155" t="str">
        <f>IF('form t'!G33="","",'form t'!G33)</f>
        <v/>
      </c>
      <c r="H33" s="336" t="str">
        <f>IF('form t'!H33="","",'form t'!H33)</f>
        <v/>
      </c>
      <c r="I33" s="337"/>
      <c r="J33" s="337"/>
      <c r="K33" s="92"/>
      <c r="L33" s="958">
        <f t="shared" si="0"/>
        <v>42948</v>
      </c>
      <c r="M33" s="958">
        <f t="shared" si="1"/>
        <v>43312</v>
      </c>
      <c r="N33" s="928">
        <f t="shared" si="2"/>
        <v>365</v>
      </c>
      <c r="O33" s="823">
        <f t="shared" si="3"/>
        <v>0</v>
      </c>
      <c r="P33" s="92"/>
      <c r="Q33" s="828" t="str">
        <f>IF(O33=0,"",(VLOOKUP(G33,tab!$D$52:$E$94,2,FALSE))*O33)</f>
        <v/>
      </c>
      <c r="R33" s="829" t="str">
        <f>IF(O33=0,"",(IF(Q33=0,0,Q33*geg!$H$42)))</f>
        <v/>
      </c>
      <c r="S33" s="98"/>
      <c r="T33" s="37"/>
    </row>
    <row r="34" spans="2:20" ht="12.75" customHeight="1" x14ac:dyDescent="0.2">
      <c r="B34" s="34"/>
      <c r="C34" s="91"/>
      <c r="D34" s="192" t="str">
        <f>IF('form t'!D34="","",'form t'!D34)</f>
        <v/>
      </c>
      <c r="E34" s="192" t="str">
        <f>IF('form t'!E34="","",'form t'!E34)</f>
        <v/>
      </c>
      <c r="F34" s="155" t="str">
        <f>IF('form t'!F34="","",'form t'!F34)</f>
        <v/>
      </c>
      <c r="G34" s="155" t="str">
        <f>IF('form t'!G34="","",'form t'!G34)</f>
        <v/>
      </c>
      <c r="H34" s="336" t="str">
        <f>IF('form t'!H34="","",'form t'!H34)</f>
        <v/>
      </c>
      <c r="I34" s="337"/>
      <c r="J34" s="337"/>
      <c r="K34" s="92"/>
      <c r="L34" s="958">
        <f t="shared" si="0"/>
        <v>42948</v>
      </c>
      <c r="M34" s="958">
        <f t="shared" si="1"/>
        <v>43312</v>
      </c>
      <c r="N34" s="928">
        <f t="shared" si="2"/>
        <v>365</v>
      </c>
      <c r="O34" s="823">
        <f t="shared" si="3"/>
        <v>0</v>
      </c>
      <c r="P34" s="92"/>
      <c r="Q34" s="828" t="str">
        <f>IF(O34=0,"",(VLOOKUP(G34,tab!$D$52:$E$94,2,FALSE))*O34)</f>
        <v/>
      </c>
      <c r="R34" s="829" t="str">
        <f>IF(O34=0,"",(IF(Q34=0,0,Q34*geg!$H$42)))</f>
        <v/>
      </c>
      <c r="S34" s="98"/>
      <c r="T34" s="37"/>
    </row>
    <row r="35" spans="2:20" ht="12.75" customHeight="1" x14ac:dyDescent="0.2">
      <c r="B35" s="34"/>
      <c r="C35" s="91"/>
      <c r="D35" s="192" t="str">
        <f>IF('form t'!D35="","",'form t'!D35)</f>
        <v/>
      </c>
      <c r="E35" s="192" t="str">
        <f>IF('form t'!E35="","",'form t'!E35)</f>
        <v/>
      </c>
      <c r="F35" s="155" t="str">
        <f>IF('form t'!F35="","",'form t'!F35)</f>
        <v/>
      </c>
      <c r="G35" s="155" t="str">
        <f>IF('form t'!G35="","",'form t'!G35)</f>
        <v/>
      </c>
      <c r="H35" s="336" t="str">
        <f>IF('form t'!H35="","",'form t'!H35)</f>
        <v/>
      </c>
      <c r="I35" s="337"/>
      <c r="J35" s="337"/>
      <c r="K35" s="92"/>
      <c r="L35" s="958">
        <f t="shared" si="0"/>
        <v>42948</v>
      </c>
      <c r="M35" s="958">
        <f t="shared" si="1"/>
        <v>43312</v>
      </c>
      <c r="N35" s="928">
        <f t="shared" si="2"/>
        <v>365</v>
      </c>
      <c r="O35" s="823">
        <f t="shared" si="3"/>
        <v>0</v>
      </c>
      <c r="P35" s="92"/>
      <c r="Q35" s="828" t="str">
        <f>IF(O35=0,"",(VLOOKUP(G35,tab!$D$52:$E$94,2,FALSE))*O35)</f>
        <v/>
      </c>
      <c r="R35" s="829" t="str">
        <f>IF(O35=0,"",(IF(Q35=0,0,Q35*geg!$H$42)))</f>
        <v/>
      </c>
      <c r="S35" s="98"/>
      <c r="T35" s="37"/>
    </row>
    <row r="36" spans="2:20" ht="12.75" customHeight="1" x14ac:dyDescent="0.2">
      <c r="B36" s="34"/>
      <c r="C36" s="91"/>
      <c r="D36" s="192" t="str">
        <f>IF('form t'!D36="","",'form t'!D36)</f>
        <v/>
      </c>
      <c r="E36" s="192" t="str">
        <f>IF('form t'!E36="","",'form t'!E36)</f>
        <v/>
      </c>
      <c r="F36" s="155" t="str">
        <f>IF('form t'!F36="","",'form t'!F36)</f>
        <v/>
      </c>
      <c r="G36" s="155" t="str">
        <f>IF('form t'!G36="","",'form t'!G36)</f>
        <v/>
      </c>
      <c r="H36" s="336" t="str">
        <f>IF('form t'!H36="","",'form t'!H36)</f>
        <v/>
      </c>
      <c r="I36" s="337"/>
      <c r="J36" s="337"/>
      <c r="K36" s="92"/>
      <c r="L36" s="958">
        <f t="shared" si="0"/>
        <v>42948</v>
      </c>
      <c r="M36" s="958">
        <f t="shared" si="1"/>
        <v>43312</v>
      </c>
      <c r="N36" s="928">
        <f t="shared" si="2"/>
        <v>365</v>
      </c>
      <c r="O36" s="823">
        <f t="shared" si="3"/>
        <v>0</v>
      </c>
      <c r="P36" s="92"/>
      <c r="Q36" s="828" t="str">
        <f>IF(O36=0,"",(VLOOKUP(G36,tab!$D$52:$E$94,2,FALSE))*O36)</f>
        <v/>
      </c>
      <c r="R36" s="829" t="str">
        <f>IF(O36=0,"",(IF(Q36=0,0,Q36*geg!$H$42)))</f>
        <v/>
      </c>
      <c r="S36" s="98"/>
      <c r="T36" s="37"/>
    </row>
    <row r="37" spans="2:20" ht="12.75" customHeight="1" x14ac:dyDescent="0.2">
      <c r="B37" s="34"/>
      <c r="C37" s="91"/>
      <c r="D37" s="192" t="str">
        <f>IF('form t'!D37="","",'form t'!D37)</f>
        <v/>
      </c>
      <c r="E37" s="192" t="str">
        <f>IF('form t'!E37="","",'form t'!E37)</f>
        <v/>
      </c>
      <c r="F37" s="155" t="str">
        <f>IF('form t'!F37="","",'form t'!F37)</f>
        <v/>
      </c>
      <c r="G37" s="155" t="str">
        <f>IF('form t'!G37="","",'form t'!G37)</f>
        <v/>
      </c>
      <c r="H37" s="336" t="str">
        <f>IF('form t'!H37="","",'form t'!H37)</f>
        <v/>
      </c>
      <c r="I37" s="337"/>
      <c r="J37" s="337"/>
      <c r="K37" s="92"/>
      <c r="L37" s="958">
        <f t="shared" si="0"/>
        <v>42948</v>
      </c>
      <c r="M37" s="958">
        <f t="shared" si="1"/>
        <v>43312</v>
      </c>
      <c r="N37" s="928">
        <f t="shared" si="2"/>
        <v>365</v>
      </c>
      <c r="O37" s="823">
        <f t="shared" si="3"/>
        <v>0</v>
      </c>
      <c r="P37" s="92"/>
      <c r="Q37" s="828" t="str">
        <f>IF(O37=0,"",(VLOOKUP(G37,tab!$D$52:$E$94,2,FALSE))*O37)</f>
        <v/>
      </c>
      <c r="R37" s="829" t="str">
        <f>IF(O37=0,"",(IF(Q37=0,0,Q37*geg!$H$42)))</f>
        <v/>
      </c>
      <c r="S37" s="98"/>
      <c r="T37" s="37"/>
    </row>
    <row r="38" spans="2:20" ht="12.75" customHeight="1" x14ac:dyDescent="0.2">
      <c r="B38" s="34"/>
      <c r="C38" s="91"/>
      <c r="D38" s="192" t="str">
        <f>IF('form t'!D38="","",'form t'!D38)</f>
        <v/>
      </c>
      <c r="E38" s="192" t="str">
        <f>IF('form t'!E38="","",'form t'!E38)</f>
        <v/>
      </c>
      <c r="F38" s="155" t="str">
        <f>IF('form t'!F38="","",'form t'!F38)</f>
        <v/>
      </c>
      <c r="G38" s="155" t="str">
        <f>IF('form t'!G38="","",'form t'!G38)</f>
        <v/>
      </c>
      <c r="H38" s="336" t="str">
        <f>IF('form t'!H38="","",'form t'!H38)</f>
        <v/>
      </c>
      <c r="I38" s="337"/>
      <c r="J38" s="337"/>
      <c r="K38" s="92"/>
      <c r="L38" s="958">
        <f t="shared" si="0"/>
        <v>42948</v>
      </c>
      <c r="M38" s="958">
        <f t="shared" si="1"/>
        <v>43312</v>
      </c>
      <c r="N38" s="928">
        <f t="shared" si="2"/>
        <v>365</v>
      </c>
      <c r="O38" s="823">
        <f t="shared" si="3"/>
        <v>0</v>
      </c>
      <c r="P38" s="92"/>
      <c r="Q38" s="828" t="str">
        <f>IF(O38=0,"",(VLOOKUP(G38,tab!$D$52:$E$94,2,FALSE))*O38)</f>
        <v/>
      </c>
      <c r="R38" s="829" t="str">
        <f>IF(O38=0,"",(IF(Q38=0,0,Q38*geg!$H$42)))</f>
        <v/>
      </c>
      <c r="S38" s="98"/>
      <c r="T38" s="37"/>
    </row>
    <row r="39" spans="2:20" ht="12.75" customHeight="1" x14ac:dyDescent="0.2">
      <c r="B39" s="34"/>
      <c r="C39" s="91"/>
      <c r="D39" s="192" t="str">
        <f>IF('form t'!D39="","",'form t'!D39)</f>
        <v/>
      </c>
      <c r="E39" s="192" t="str">
        <f>IF('form t'!E39="","",'form t'!E39)</f>
        <v/>
      </c>
      <c r="F39" s="155" t="str">
        <f>IF('form t'!F39="","",'form t'!F39)</f>
        <v/>
      </c>
      <c r="G39" s="155" t="str">
        <f>IF('form t'!G39="","",'form t'!G39)</f>
        <v/>
      </c>
      <c r="H39" s="336" t="str">
        <f>IF('form t'!H39="","",'form t'!H39)</f>
        <v/>
      </c>
      <c r="I39" s="337"/>
      <c r="J39" s="337"/>
      <c r="K39" s="92"/>
      <c r="L39" s="958">
        <f t="shared" si="0"/>
        <v>42948</v>
      </c>
      <c r="M39" s="958">
        <f t="shared" si="1"/>
        <v>43312</v>
      </c>
      <c r="N39" s="928">
        <f t="shared" si="2"/>
        <v>365</v>
      </c>
      <c r="O39" s="823">
        <f t="shared" si="3"/>
        <v>0</v>
      </c>
      <c r="P39" s="92"/>
      <c r="Q39" s="828" t="str">
        <f>IF(O39=0,"",(VLOOKUP(G39,tab!$D$52:$E$94,2,FALSE))*O39)</f>
        <v/>
      </c>
      <c r="R39" s="829" t="str">
        <f>IF(O39=0,"",(IF(Q39=0,0,Q39*geg!$H$42)))</f>
        <v/>
      </c>
      <c r="S39" s="98"/>
      <c r="T39" s="37"/>
    </row>
    <row r="40" spans="2:20" ht="12.75" customHeight="1" x14ac:dyDescent="0.2">
      <c r="B40" s="34"/>
      <c r="C40" s="91"/>
      <c r="D40" s="192" t="str">
        <f>IF('form t'!D40="","",'form t'!D40)</f>
        <v/>
      </c>
      <c r="E40" s="192" t="str">
        <f>IF('form t'!E40="","",'form t'!E40)</f>
        <v/>
      </c>
      <c r="F40" s="155" t="str">
        <f>IF('form t'!F40="","",'form t'!F40)</f>
        <v/>
      </c>
      <c r="G40" s="155" t="str">
        <f>IF('form t'!G40="","",'form t'!G40)</f>
        <v/>
      </c>
      <c r="H40" s="336" t="str">
        <f>IF('form t'!H40="","",'form t'!H40)</f>
        <v/>
      </c>
      <c r="I40" s="337"/>
      <c r="J40" s="337"/>
      <c r="K40" s="92"/>
      <c r="L40" s="958">
        <f t="shared" si="0"/>
        <v>42948</v>
      </c>
      <c r="M40" s="958">
        <f t="shared" si="1"/>
        <v>43312</v>
      </c>
      <c r="N40" s="928">
        <f t="shared" si="2"/>
        <v>365</v>
      </c>
      <c r="O40" s="823">
        <f t="shared" si="3"/>
        <v>0</v>
      </c>
      <c r="P40" s="92"/>
      <c r="Q40" s="828" t="str">
        <f>IF(O40=0,"",(VLOOKUP(G40,tab!$D$52:$E$94,2,FALSE))*O40)</f>
        <v/>
      </c>
      <c r="R40" s="829" t="str">
        <f>IF(O40=0,"",(IF(Q40=0,0,Q40*geg!$H$42)))</f>
        <v/>
      </c>
      <c r="S40" s="98"/>
      <c r="T40" s="37"/>
    </row>
    <row r="41" spans="2:20" ht="12.75" customHeight="1" x14ac:dyDescent="0.2">
      <c r="B41" s="34"/>
      <c r="C41" s="91"/>
      <c r="D41" s="192" t="str">
        <f>IF('form t'!D41="","",'form t'!D41)</f>
        <v/>
      </c>
      <c r="E41" s="192" t="str">
        <f>IF('form t'!E41="","",'form t'!E41)</f>
        <v/>
      </c>
      <c r="F41" s="155" t="str">
        <f>IF('form t'!F41="","",'form t'!F41)</f>
        <v/>
      </c>
      <c r="G41" s="155" t="str">
        <f>IF('form t'!G41="","",'form t'!G41)</f>
        <v/>
      </c>
      <c r="H41" s="336" t="str">
        <f>IF('form t'!H41="","",'form t'!H41)</f>
        <v/>
      </c>
      <c r="I41" s="337"/>
      <c r="J41" s="337"/>
      <c r="K41" s="92"/>
      <c r="L41" s="958">
        <f t="shared" si="0"/>
        <v>42948</v>
      </c>
      <c r="M41" s="958">
        <f t="shared" si="1"/>
        <v>43312</v>
      </c>
      <c r="N41" s="928">
        <f t="shared" si="2"/>
        <v>365</v>
      </c>
      <c r="O41" s="823">
        <f t="shared" si="3"/>
        <v>0</v>
      </c>
      <c r="P41" s="92"/>
      <c r="Q41" s="828" t="str">
        <f>IF(O41=0,"",(VLOOKUP(G41,tab!$D$52:$E$94,2,FALSE))*O41)</f>
        <v/>
      </c>
      <c r="R41" s="829" t="str">
        <f>IF(O41=0,"",(IF(Q41=0,0,Q41*geg!$H$42)))</f>
        <v/>
      </c>
      <c r="S41" s="98"/>
      <c r="T41" s="37"/>
    </row>
    <row r="42" spans="2:20" ht="12.75" customHeight="1" x14ac:dyDescent="0.2">
      <c r="B42" s="34"/>
      <c r="C42" s="91"/>
      <c r="D42" s="192" t="str">
        <f>IF('form t'!D42="","",'form t'!D42)</f>
        <v/>
      </c>
      <c r="E42" s="192" t="str">
        <f>IF('form t'!E42="","",'form t'!E42)</f>
        <v/>
      </c>
      <c r="F42" s="155" t="str">
        <f>IF('form t'!F42="","",'form t'!F42)</f>
        <v/>
      </c>
      <c r="G42" s="155" t="str">
        <f>IF('form t'!G42="","",'form t'!G42)</f>
        <v/>
      </c>
      <c r="H42" s="336" t="str">
        <f>IF('form t'!H42="","",'form t'!H42)</f>
        <v/>
      </c>
      <c r="I42" s="337"/>
      <c r="J42" s="337"/>
      <c r="K42" s="92"/>
      <c r="L42" s="958">
        <f t="shared" si="0"/>
        <v>42948</v>
      </c>
      <c r="M42" s="958">
        <f t="shared" si="1"/>
        <v>43312</v>
      </c>
      <c r="N42" s="928">
        <f t="shared" si="2"/>
        <v>365</v>
      </c>
      <c r="O42" s="823">
        <f t="shared" si="3"/>
        <v>0</v>
      </c>
      <c r="P42" s="92"/>
      <c r="Q42" s="828" t="str">
        <f>IF(O42=0,"",(VLOOKUP(G42,tab!$D$52:$E$94,2,FALSE))*O42)</f>
        <v/>
      </c>
      <c r="R42" s="829" t="str">
        <f>IF(O42=0,"",(IF(Q42=0,0,Q42*geg!$H$42)))</f>
        <v/>
      </c>
      <c r="S42" s="98"/>
      <c r="T42" s="37"/>
    </row>
    <row r="43" spans="2:20" ht="12.75" customHeight="1" x14ac:dyDescent="0.2">
      <c r="B43" s="34"/>
      <c r="C43" s="91"/>
      <c r="D43" s="192" t="str">
        <f>IF('form t'!D43="","",'form t'!D43)</f>
        <v/>
      </c>
      <c r="E43" s="192" t="str">
        <f>IF('form t'!E43="","",'form t'!E43)</f>
        <v/>
      </c>
      <c r="F43" s="155" t="str">
        <f>IF('form t'!F43="","",'form t'!F43)</f>
        <v/>
      </c>
      <c r="G43" s="155" t="str">
        <f>IF('form t'!G43="","",'form t'!G43)</f>
        <v/>
      </c>
      <c r="H43" s="336" t="str">
        <f>IF('form t'!H43="","",'form t'!H43)</f>
        <v/>
      </c>
      <c r="I43" s="337"/>
      <c r="J43" s="337"/>
      <c r="K43" s="92"/>
      <c r="L43" s="958">
        <f t="shared" ref="L43:L74" si="4">IF(I43=0,$L$8,I43)</f>
        <v>42948</v>
      </c>
      <c r="M43" s="958">
        <f t="shared" ref="M43:M74" si="5">IF(J43=0,$M$8,J43)</f>
        <v>43312</v>
      </c>
      <c r="N43" s="928">
        <f t="shared" si="2"/>
        <v>365</v>
      </c>
      <c r="O43" s="823">
        <f t="shared" ref="O43:O74" si="6">IF(H43="",0,(H43*N43/$N$8))</f>
        <v>0</v>
      </c>
      <c r="P43" s="92"/>
      <c r="Q43" s="828" t="str">
        <f>IF(O43=0,"",(VLOOKUP(G43,tab!$D$52:$E$94,2,FALSE))*O43)</f>
        <v/>
      </c>
      <c r="R43" s="829" t="str">
        <f>IF(O43=0,"",(IF(Q43=0,0,Q43*geg!$H$42)))</f>
        <v/>
      </c>
      <c r="S43" s="98"/>
      <c r="T43" s="37"/>
    </row>
    <row r="44" spans="2:20" ht="12.75" customHeight="1" x14ac:dyDescent="0.2">
      <c r="B44" s="34"/>
      <c r="C44" s="91"/>
      <c r="D44" s="192" t="str">
        <f>IF('form t'!D44="","",'form t'!D44)</f>
        <v/>
      </c>
      <c r="E44" s="192" t="str">
        <f>IF('form t'!E44="","",'form t'!E44)</f>
        <v/>
      </c>
      <c r="F44" s="155" t="str">
        <f>IF('form t'!F44="","",'form t'!F44)</f>
        <v/>
      </c>
      <c r="G44" s="155" t="str">
        <f>IF('form t'!G44="","",'form t'!G44)</f>
        <v/>
      </c>
      <c r="H44" s="336" t="str">
        <f>IF('form t'!H44="","",'form t'!H44)</f>
        <v/>
      </c>
      <c r="I44" s="337"/>
      <c r="J44" s="337"/>
      <c r="K44" s="92"/>
      <c r="L44" s="958">
        <f t="shared" si="4"/>
        <v>42948</v>
      </c>
      <c r="M44" s="958">
        <f t="shared" si="5"/>
        <v>43312</v>
      </c>
      <c r="N44" s="928">
        <f t="shared" si="2"/>
        <v>365</v>
      </c>
      <c r="O44" s="823">
        <f t="shared" si="6"/>
        <v>0</v>
      </c>
      <c r="P44" s="92"/>
      <c r="Q44" s="828" t="str">
        <f>IF(O44=0,"",(VLOOKUP(G44,tab!$D$52:$E$94,2,FALSE))*O44)</f>
        <v/>
      </c>
      <c r="R44" s="829" t="str">
        <f>IF(O44=0,"",(IF(Q44=0,0,Q44*geg!$H$42)))</f>
        <v/>
      </c>
      <c r="S44" s="98"/>
      <c r="T44" s="37"/>
    </row>
    <row r="45" spans="2:20" ht="12.75" customHeight="1" x14ac:dyDescent="0.2">
      <c r="B45" s="34"/>
      <c r="C45" s="91"/>
      <c r="D45" s="192" t="str">
        <f>IF('form t'!D45="","",'form t'!D45)</f>
        <v/>
      </c>
      <c r="E45" s="192" t="str">
        <f>IF('form t'!E45="","",'form t'!E45)</f>
        <v/>
      </c>
      <c r="F45" s="155" t="str">
        <f>IF('form t'!F45="","",'form t'!F45)</f>
        <v/>
      </c>
      <c r="G45" s="155" t="str">
        <f>IF('form t'!G45="","",'form t'!G45)</f>
        <v/>
      </c>
      <c r="H45" s="336" t="str">
        <f>IF('form t'!H45="","",'form t'!H45)</f>
        <v/>
      </c>
      <c r="I45" s="337"/>
      <c r="J45" s="337"/>
      <c r="K45" s="92"/>
      <c r="L45" s="958">
        <f t="shared" si="4"/>
        <v>42948</v>
      </c>
      <c r="M45" s="958">
        <f t="shared" si="5"/>
        <v>43312</v>
      </c>
      <c r="N45" s="928">
        <f t="shared" si="2"/>
        <v>365</v>
      </c>
      <c r="O45" s="823">
        <f t="shared" si="6"/>
        <v>0</v>
      </c>
      <c r="P45" s="92"/>
      <c r="Q45" s="828" t="str">
        <f>IF(O45=0,"",(VLOOKUP(G45,tab!$D$52:$E$94,2,FALSE))*O45)</f>
        <v/>
      </c>
      <c r="R45" s="829" t="str">
        <f>IF(O45=0,"",(IF(Q45=0,0,Q45*geg!$H$42)))</f>
        <v/>
      </c>
      <c r="S45" s="98"/>
      <c r="T45" s="37"/>
    </row>
    <row r="46" spans="2:20" ht="12.75" customHeight="1" x14ac:dyDescent="0.2">
      <c r="B46" s="34"/>
      <c r="C46" s="91"/>
      <c r="D46" s="192" t="str">
        <f>IF('form t'!D46="","",'form t'!D46)</f>
        <v/>
      </c>
      <c r="E46" s="192" t="str">
        <f>IF('form t'!E46="","",'form t'!E46)</f>
        <v/>
      </c>
      <c r="F46" s="155" t="str">
        <f>IF('form t'!F46="","",'form t'!F46)</f>
        <v/>
      </c>
      <c r="G46" s="155" t="str">
        <f>IF('form t'!G46="","",'form t'!G46)</f>
        <v/>
      </c>
      <c r="H46" s="336" t="str">
        <f>IF('form t'!H46="","",'form t'!H46)</f>
        <v/>
      </c>
      <c r="I46" s="337"/>
      <c r="J46" s="337"/>
      <c r="K46" s="92"/>
      <c r="L46" s="958">
        <f t="shared" si="4"/>
        <v>42948</v>
      </c>
      <c r="M46" s="958">
        <f t="shared" si="5"/>
        <v>43312</v>
      </c>
      <c r="N46" s="928">
        <f t="shared" si="2"/>
        <v>365</v>
      </c>
      <c r="O46" s="823">
        <f t="shared" si="6"/>
        <v>0</v>
      </c>
      <c r="P46" s="92"/>
      <c r="Q46" s="828" t="str">
        <f>IF(O46=0,"",(VLOOKUP(G46,tab!$D$52:$E$94,2,FALSE))*O46)</f>
        <v/>
      </c>
      <c r="R46" s="829" t="str">
        <f>IF(O46=0,"",(IF(Q46=0,0,Q46*geg!$H$42)))</f>
        <v/>
      </c>
      <c r="S46" s="98"/>
      <c r="T46" s="37"/>
    </row>
    <row r="47" spans="2:20" ht="12.75" customHeight="1" x14ac:dyDescent="0.2">
      <c r="B47" s="34"/>
      <c r="C47" s="91"/>
      <c r="D47" s="192" t="str">
        <f>IF('form t'!D47="","",'form t'!D47)</f>
        <v/>
      </c>
      <c r="E47" s="192" t="str">
        <f>IF('form t'!E47="","",'form t'!E47)</f>
        <v/>
      </c>
      <c r="F47" s="155" t="str">
        <f>IF('form t'!F47="","",'form t'!F47)</f>
        <v/>
      </c>
      <c r="G47" s="155" t="str">
        <f>IF('form t'!G47="","",'form t'!G47)</f>
        <v/>
      </c>
      <c r="H47" s="336" t="str">
        <f>IF('form t'!H47="","",'form t'!H47)</f>
        <v/>
      </c>
      <c r="I47" s="337"/>
      <c r="J47" s="337"/>
      <c r="K47" s="92"/>
      <c r="L47" s="958">
        <f t="shared" si="4"/>
        <v>42948</v>
      </c>
      <c r="M47" s="958">
        <f t="shared" si="5"/>
        <v>43312</v>
      </c>
      <c r="N47" s="928">
        <f t="shared" si="2"/>
        <v>365</v>
      </c>
      <c r="O47" s="823">
        <f t="shared" si="6"/>
        <v>0</v>
      </c>
      <c r="P47" s="92"/>
      <c r="Q47" s="828" t="str">
        <f>IF(O47=0,"",(VLOOKUP(G47,tab!$D$52:$E$94,2,FALSE))*O47)</f>
        <v/>
      </c>
      <c r="R47" s="829" t="str">
        <f>IF(O47=0,"",(IF(Q47=0,0,Q47*geg!$H$42)))</f>
        <v/>
      </c>
      <c r="S47" s="98"/>
      <c r="T47" s="37"/>
    </row>
    <row r="48" spans="2:20" ht="12.75" customHeight="1" x14ac:dyDescent="0.2">
      <c r="B48" s="34"/>
      <c r="C48" s="91"/>
      <c r="D48" s="192" t="str">
        <f>IF('form t'!D48="","",'form t'!D48)</f>
        <v/>
      </c>
      <c r="E48" s="192" t="str">
        <f>IF('form t'!E48="","",'form t'!E48)</f>
        <v/>
      </c>
      <c r="F48" s="155" t="str">
        <f>IF('form t'!F48="","",'form t'!F48)</f>
        <v/>
      </c>
      <c r="G48" s="155" t="str">
        <f>IF('form t'!G48="","",'form t'!G48)</f>
        <v/>
      </c>
      <c r="H48" s="336" t="str">
        <f>IF('form t'!H48="","",'form t'!H48)</f>
        <v/>
      </c>
      <c r="I48" s="337"/>
      <c r="J48" s="337"/>
      <c r="K48" s="92"/>
      <c r="L48" s="958">
        <f t="shared" si="4"/>
        <v>42948</v>
      </c>
      <c r="M48" s="958">
        <f t="shared" si="5"/>
        <v>43312</v>
      </c>
      <c r="N48" s="928">
        <f t="shared" si="2"/>
        <v>365</v>
      </c>
      <c r="O48" s="823">
        <f t="shared" si="6"/>
        <v>0</v>
      </c>
      <c r="P48" s="92"/>
      <c r="Q48" s="828" t="str">
        <f>IF(O48=0,"",(VLOOKUP(G48,tab!$D$52:$E$94,2,FALSE))*O48)</f>
        <v/>
      </c>
      <c r="R48" s="829" t="str">
        <f>IF(O48=0,"",(IF(Q48=0,0,Q48*geg!$H$42)))</f>
        <v/>
      </c>
      <c r="S48" s="98"/>
      <c r="T48" s="37"/>
    </row>
    <row r="49" spans="2:20" ht="12.75" customHeight="1" x14ac:dyDescent="0.2">
      <c r="B49" s="34"/>
      <c r="C49" s="91"/>
      <c r="D49" s="192" t="str">
        <f>IF('form t'!D49="","",'form t'!D49)</f>
        <v/>
      </c>
      <c r="E49" s="192" t="str">
        <f>IF('form t'!E49="","",'form t'!E49)</f>
        <v/>
      </c>
      <c r="F49" s="155" t="str">
        <f>IF('form t'!F49="","",'form t'!F49)</f>
        <v/>
      </c>
      <c r="G49" s="155" t="str">
        <f>IF('form t'!G49="","",'form t'!G49)</f>
        <v/>
      </c>
      <c r="H49" s="336" t="str">
        <f>IF('form t'!H49="","",'form t'!H49)</f>
        <v/>
      </c>
      <c r="I49" s="337"/>
      <c r="J49" s="337"/>
      <c r="K49" s="92"/>
      <c r="L49" s="958">
        <f t="shared" si="4"/>
        <v>42948</v>
      </c>
      <c r="M49" s="958">
        <f t="shared" si="5"/>
        <v>43312</v>
      </c>
      <c r="N49" s="928">
        <f t="shared" si="2"/>
        <v>365</v>
      </c>
      <c r="O49" s="823">
        <f t="shared" si="6"/>
        <v>0</v>
      </c>
      <c r="P49" s="92"/>
      <c r="Q49" s="828" t="str">
        <f>IF(O49=0,"",(VLOOKUP(G49,tab!$D$52:$E$94,2,FALSE))*O49)</f>
        <v/>
      </c>
      <c r="R49" s="829" t="str">
        <f>IF(O49=0,"",(IF(Q49=0,0,Q49*geg!$H$42)))</f>
        <v/>
      </c>
      <c r="S49" s="98"/>
      <c r="T49" s="37"/>
    </row>
    <row r="50" spans="2:20" ht="12.75" customHeight="1" x14ac:dyDescent="0.2">
      <c r="B50" s="34"/>
      <c r="C50" s="91"/>
      <c r="D50" s="192" t="str">
        <f>IF('form t'!D50="","",'form t'!D50)</f>
        <v/>
      </c>
      <c r="E50" s="192" t="str">
        <f>IF('form t'!E50="","",'form t'!E50)</f>
        <v/>
      </c>
      <c r="F50" s="155" t="str">
        <f>IF('form t'!F50="","",'form t'!F50)</f>
        <v/>
      </c>
      <c r="G50" s="155" t="str">
        <f>IF('form t'!G50="","",'form t'!G50)</f>
        <v/>
      </c>
      <c r="H50" s="336" t="str">
        <f>IF('form t'!H50="","",'form t'!H50)</f>
        <v/>
      </c>
      <c r="I50" s="337"/>
      <c r="J50" s="337"/>
      <c r="K50" s="92"/>
      <c r="L50" s="958">
        <f t="shared" si="4"/>
        <v>42948</v>
      </c>
      <c r="M50" s="958">
        <f t="shared" si="5"/>
        <v>43312</v>
      </c>
      <c r="N50" s="928">
        <f t="shared" si="2"/>
        <v>365</v>
      </c>
      <c r="O50" s="823">
        <f t="shared" si="6"/>
        <v>0</v>
      </c>
      <c r="P50" s="92"/>
      <c r="Q50" s="828" t="str">
        <f>IF(O50=0,"",(VLOOKUP(G50,tab!$D$52:$E$94,2,FALSE))*O50)</f>
        <v/>
      </c>
      <c r="R50" s="829" t="str">
        <f>IF(O50=0,"",(IF(Q50=0,0,Q50*geg!$H$42)))</f>
        <v/>
      </c>
      <c r="S50" s="98"/>
      <c r="T50" s="37"/>
    </row>
    <row r="51" spans="2:20" ht="12.75" customHeight="1" x14ac:dyDescent="0.2">
      <c r="B51" s="34"/>
      <c r="C51" s="91"/>
      <c r="D51" s="192" t="str">
        <f>IF('form t'!D51="","",'form t'!D51)</f>
        <v/>
      </c>
      <c r="E51" s="192" t="str">
        <f>IF('form t'!E51="","",'form t'!E51)</f>
        <v/>
      </c>
      <c r="F51" s="155" t="str">
        <f>IF('form t'!F51="","",'form t'!F51)</f>
        <v/>
      </c>
      <c r="G51" s="155" t="str">
        <f>IF('form t'!G51="","",'form t'!G51)</f>
        <v/>
      </c>
      <c r="H51" s="336" t="str">
        <f>IF('form t'!H51="","",'form t'!H51)</f>
        <v/>
      </c>
      <c r="I51" s="337"/>
      <c r="J51" s="337"/>
      <c r="K51" s="92"/>
      <c r="L51" s="958">
        <f t="shared" si="4"/>
        <v>42948</v>
      </c>
      <c r="M51" s="958">
        <f t="shared" si="5"/>
        <v>43312</v>
      </c>
      <c r="N51" s="928">
        <f t="shared" si="2"/>
        <v>365</v>
      </c>
      <c r="O51" s="823">
        <f t="shared" si="6"/>
        <v>0</v>
      </c>
      <c r="P51" s="92"/>
      <c r="Q51" s="828" t="str">
        <f>IF(O51=0,"",(VLOOKUP(G51,tab!$D$52:$E$94,2,FALSE))*O51)</f>
        <v/>
      </c>
      <c r="R51" s="829" t="str">
        <f>IF(O51=0,"",(IF(Q51=0,0,Q51*geg!$H$42)))</f>
        <v/>
      </c>
      <c r="S51" s="98"/>
      <c r="T51" s="37"/>
    </row>
    <row r="52" spans="2:20" ht="12.75" customHeight="1" x14ac:dyDescent="0.2">
      <c r="B52" s="34"/>
      <c r="C52" s="91"/>
      <c r="D52" s="192" t="str">
        <f>IF('form t'!D52="","",'form t'!D52)</f>
        <v/>
      </c>
      <c r="E52" s="192" t="str">
        <f>IF('form t'!E52="","",'form t'!E52)</f>
        <v/>
      </c>
      <c r="F52" s="155" t="str">
        <f>IF('form t'!F52="","",'form t'!F52)</f>
        <v/>
      </c>
      <c r="G52" s="155" t="str">
        <f>IF('form t'!G52="","",'form t'!G52)</f>
        <v/>
      </c>
      <c r="H52" s="336" t="str">
        <f>IF('form t'!H52="","",'form t'!H52)</f>
        <v/>
      </c>
      <c r="I52" s="337"/>
      <c r="J52" s="337"/>
      <c r="K52" s="92"/>
      <c r="L52" s="958">
        <f t="shared" si="4"/>
        <v>42948</v>
      </c>
      <c r="M52" s="958">
        <f t="shared" si="5"/>
        <v>43312</v>
      </c>
      <c r="N52" s="928">
        <f t="shared" si="2"/>
        <v>365</v>
      </c>
      <c r="O52" s="823">
        <f t="shared" si="6"/>
        <v>0</v>
      </c>
      <c r="P52" s="92"/>
      <c r="Q52" s="828" t="str">
        <f>IF(O52=0,"",(VLOOKUP(G52,tab!$D$52:$E$94,2,FALSE))*O52)</f>
        <v/>
      </c>
      <c r="R52" s="829" t="str">
        <f>IF(O52=0,"",(IF(Q52=0,0,Q52*geg!$H$42)))</f>
        <v/>
      </c>
      <c r="S52" s="98"/>
      <c r="T52" s="37"/>
    </row>
    <row r="53" spans="2:20" ht="12.75" customHeight="1" x14ac:dyDescent="0.2">
      <c r="B53" s="34"/>
      <c r="C53" s="91"/>
      <c r="D53" s="192" t="str">
        <f>IF('form t'!D53="","",'form t'!D53)</f>
        <v/>
      </c>
      <c r="E53" s="192" t="str">
        <f>IF('form t'!E53="","",'form t'!E53)</f>
        <v/>
      </c>
      <c r="F53" s="155" t="str">
        <f>IF('form t'!F53="","",'form t'!F53)</f>
        <v/>
      </c>
      <c r="G53" s="155" t="str">
        <f>IF('form t'!G53="","",'form t'!G53)</f>
        <v/>
      </c>
      <c r="H53" s="336" t="str">
        <f>IF('form t'!H53="","",'form t'!H53)</f>
        <v/>
      </c>
      <c r="I53" s="337"/>
      <c r="J53" s="337"/>
      <c r="K53" s="92"/>
      <c r="L53" s="958">
        <f t="shared" si="4"/>
        <v>42948</v>
      </c>
      <c r="M53" s="958">
        <f t="shared" si="5"/>
        <v>43312</v>
      </c>
      <c r="N53" s="928">
        <f>M53-L53+1</f>
        <v>365</v>
      </c>
      <c r="O53" s="823">
        <f t="shared" si="6"/>
        <v>0</v>
      </c>
      <c r="P53" s="92"/>
      <c r="Q53" s="828" t="str">
        <f>IF(O53=0,"",(VLOOKUP(G53,tab!$D$52:$E$94,2,FALSE))*O53)</f>
        <v/>
      </c>
      <c r="R53" s="829" t="str">
        <f>IF(O53=0,"",(IF(Q53=0,0,Q53*geg!$H$42)))</f>
        <v/>
      </c>
      <c r="S53" s="98"/>
      <c r="T53" s="37"/>
    </row>
    <row r="54" spans="2:20" ht="12.75" customHeight="1" x14ac:dyDescent="0.2">
      <c r="B54" s="34"/>
      <c r="C54" s="91"/>
      <c r="D54" s="192" t="str">
        <f>IF('form t'!D54="","",'form t'!D54)</f>
        <v/>
      </c>
      <c r="E54" s="192" t="str">
        <f>IF('form t'!E54="","",'form t'!E54)</f>
        <v/>
      </c>
      <c r="F54" s="155" t="str">
        <f>IF('form t'!F54="","",'form t'!F54)</f>
        <v/>
      </c>
      <c r="G54" s="155" t="str">
        <f>IF('form t'!G54="","",'form t'!G54)</f>
        <v/>
      </c>
      <c r="H54" s="336" t="str">
        <f>IF('form t'!H54="","",'form t'!H54)</f>
        <v/>
      </c>
      <c r="I54" s="337"/>
      <c r="J54" s="337"/>
      <c r="K54" s="92"/>
      <c r="L54" s="958">
        <f t="shared" si="4"/>
        <v>42948</v>
      </c>
      <c r="M54" s="958">
        <f t="shared" si="5"/>
        <v>43312</v>
      </c>
      <c r="N54" s="928">
        <f>M54-L54+1</f>
        <v>365</v>
      </c>
      <c r="O54" s="823">
        <f t="shared" si="6"/>
        <v>0</v>
      </c>
      <c r="P54" s="92"/>
      <c r="Q54" s="828" t="str">
        <f>IF(O54=0,"",(VLOOKUP(G54,tab!$D$52:$E$94,2,FALSE))*O54)</f>
        <v/>
      </c>
      <c r="R54" s="829" t="str">
        <f>IF(O54=0,"",(IF(Q54=0,0,Q54*geg!$H$42)))</f>
        <v/>
      </c>
      <c r="S54" s="98"/>
      <c r="T54" s="37"/>
    </row>
    <row r="55" spans="2:20" ht="12.75" customHeight="1" x14ac:dyDescent="0.2">
      <c r="B55" s="34"/>
      <c r="C55" s="91"/>
      <c r="D55" s="192" t="str">
        <f>IF('form t'!D55="","",'form t'!D55)</f>
        <v/>
      </c>
      <c r="E55" s="192" t="str">
        <f>IF('form t'!E55="","",'form t'!E55)</f>
        <v/>
      </c>
      <c r="F55" s="155" t="str">
        <f>IF('form t'!F55="","",'form t'!F55)</f>
        <v/>
      </c>
      <c r="G55" s="155" t="str">
        <f>IF('form t'!G55="","",'form t'!G55)</f>
        <v/>
      </c>
      <c r="H55" s="336" t="str">
        <f>IF('form t'!H55="","",'form t'!H55)</f>
        <v/>
      </c>
      <c r="I55" s="337"/>
      <c r="J55" s="337"/>
      <c r="K55" s="92"/>
      <c r="L55" s="958">
        <f t="shared" si="4"/>
        <v>42948</v>
      </c>
      <c r="M55" s="958">
        <f t="shared" si="5"/>
        <v>43312</v>
      </c>
      <c r="N55" s="928">
        <f t="shared" si="2"/>
        <v>365</v>
      </c>
      <c r="O55" s="823">
        <f t="shared" si="6"/>
        <v>0</v>
      </c>
      <c r="P55" s="92"/>
      <c r="Q55" s="828" t="str">
        <f>IF(O55=0,"",(VLOOKUP(G55,tab!$D$52:$E$94,2,FALSE))*O55)</f>
        <v/>
      </c>
      <c r="R55" s="829" t="str">
        <f>IF(O55=0,"",(IF(Q55=0,0,Q55*geg!$H$42)))</f>
        <v/>
      </c>
      <c r="S55" s="98"/>
      <c r="T55" s="37"/>
    </row>
    <row r="56" spans="2:20" ht="12.75" customHeight="1" x14ac:dyDescent="0.2">
      <c r="B56" s="34"/>
      <c r="C56" s="91"/>
      <c r="D56" s="192" t="str">
        <f>IF('form t'!D56="","",'form t'!D56)</f>
        <v/>
      </c>
      <c r="E56" s="192" t="str">
        <f>IF('form t'!E56="","",'form t'!E56)</f>
        <v/>
      </c>
      <c r="F56" s="155" t="str">
        <f>IF('form t'!F56="","",'form t'!F56)</f>
        <v/>
      </c>
      <c r="G56" s="155" t="str">
        <f>IF('form t'!G56="","",'form t'!G56)</f>
        <v/>
      </c>
      <c r="H56" s="336" t="str">
        <f>IF('form t'!H56="","",'form t'!H56)</f>
        <v/>
      </c>
      <c r="I56" s="337"/>
      <c r="J56" s="337"/>
      <c r="K56" s="92"/>
      <c r="L56" s="958">
        <f t="shared" si="4"/>
        <v>42948</v>
      </c>
      <c r="M56" s="958">
        <f t="shared" si="5"/>
        <v>43312</v>
      </c>
      <c r="N56" s="928">
        <f t="shared" si="2"/>
        <v>365</v>
      </c>
      <c r="O56" s="823">
        <f t="shared" si="6"/>
        <v>0</v>
      </c>
      <c r="P56" s="92"/>
      <c r="Q56" s="828" t="str">
        <f>IF(O56=0,"",(VLOOKUP(G56,tab!$D$52:$E$94,2,FALSE))*O56)</f>
        <v/>
      </c>
      <c r="R56" s="829" t="str">
        <f>IF(O56=0,"",(IF(Q56=0,0,Q56*geg!$H$42)))</f>
        <v/>
      </c>
      <c r="S56" s="98"/>
      <c r="T56" s="37"/>
    </row>
    <row r="57" spans="2:20" ht="12.75" customHeight="1" x14ac:dyDescent="0.2">
      <c r="B57" s="34"/>
      <c r="C57" s="91"/>
      <c r="D57" s="192" t="str">
        <f>IF('form t'!D57="","",'form t'!D57)</f>
        <v/>
      </c>
      <c r="E57" s="192" t="str">
        <f>IF('form t'!E57="","",'form t'!E57)</f>
        <v/>
      </c>
      <c r="F57" s="155" t="str">
        <f>IF('form t'!F57="","",'form t'!F57)</f>
        <v/>
      </c>
      <c r="G57" s="155" t="str">
        <f>IF('form t'!G57="","",'form t'!G57)</f>
        <v/>
      </c>
      <c r="H57" s="336" t="str">
        <f>IF('form t'!H57="","",'form t'!H57)</f>
        <v/>
      </c>
      <c r="I57" s="337"/>
      <c r="J57" s="337"/>
      <c r="K57" s="92"/>
      <c r="L57" s="958">
        <f t="shared" si="4"/>
        <v>42948</v>
      </c>
      <c r="M57" s="958">
        <f t="shared" si="5"/>
        <v>43312</v>
      </c>
      <c r="N57" s="928">
        <f t="shared" si="2"/>
        <v>365</v>
      </c>
      <c r="O57" s="823">
        <f t="shared" si="6"/>
        <v>0</v>
      </c>
      <c r="P57" s="92"/>
      <c r="Q57" s="828" t="str">
        <f>IF(O57=0,"",(VLOOKUP(G57,tab!$D$52:$E$94,2,FALSE))*O57)</f>
        <v/>
      </c>
      <c r="R57" s="829" t="str">
        <f>IF(O57=0,"",(IF(Q57=0,0,Q57*geg!$H$42)))</f>
        <v/>
      </c>
      <c r="S57" s="98"/>
      <c r="T57" s="37"/>
    </row>
    <row r="58" spans="2:20" ht="12.75" customHeight="1" x14ac:dyDescent="0.2">
      <c r="B58" s="34"/>
      <c r="C58" s="91"/>
      <c r="D58" s="192" t="str">
        <f>IF('form t'!D58="","",'form t'!D58)</f>
        <v/>
      </c>
      <c r="E58" s="192" t="str">
        <f>IF('form t'!E58="","",'form t'!E58)</f>
        <v/>
      </c>
      <c r="F58" s="155" t="str">
        <f>IF('form t'!F58="","",'form t'!F58)</f>
        <v/>
      </c>
      <c r="G58" s="155" t="str">
        <f>IF('form t'!G58="","",'form t'!G58)</f>
        <v/>
      </c>
      <c r="H58" s="336" t="str">
        <f>IF('form t'!H58="","",'form t'!H58)</f>
        <v/>
      </c>
      <c r="I58" s="337"/>
      <c r="J58" s="337"/>
      <c r="K58" s="92"/>
      <c r="L58" s="958">
        <f t="shared" si="4"/>
        <v>42948</v>
      </c>
      <c r="M58" s="958">
        <f t="shared" si="5"/>
        <v>43312</v>
      </c>
      <c r="N58" s="928">
        <f t="shared" si="2"/>
        <v>365</v>
      </c>
      <c r="O58" s="823">
        <f t="shared" si="6"/>
        <v>0</v>
      </c>
      <c r="P58" s="92"/>
      <c r="Q58" s="828" t="str">
        <f>IF(O58=0,"",(VLOOKUP(G58,tab!$D$52:$E$94,2,FALSE))*O58)</f>
        <v/>
      </c>
      <c r="R58" s="829" t="str">
        <f>IF(O58=0,"",(IF(Q58=0,0,Q58*geg!$H$42)))</f>
        <v/>
      </c>
      <c r="S58" s="98"/>
      <c r="T58" s="37"/>
    </row>
    <row r="59" spans="2:20" ht="12.75" customHeight="1" x14ac:dyDescent="0.2">
      <c r="B59" s="34"/>
      <c r="C59" s="91"/>
      <c r="D59" s="192" t="str">
        <f>IF('form t'!D59="","",'form t'!D59)</f>
        <v/>
      </c>
      <c r="E59" s="192" t="str">
        <f>IF('form t'!E59="","",'form t'!E59)</f>
        <v/>
      </c>
      <c r="F59" s="155" t="str">
        <f>IF('form t'!F59="","",'form t'!F59)</f>
        <v/>
      </c>
      <c r="G59" s="155" t="str">
        <f>IF('form t'!G59="","",'form t'!G59)</f>
        <v/>
      </c>
      <c r="H59" s="336" t="str">
        <f>IF('form t'!H59="","",'form t'!H59)</f>
        <v/>
      </c>
      <c r="I59" s="337"/>
      <c r="J59" s="337"/>
      <c r="K59" s="92"/>
      <c r="L59" s="958">
        <f t="shared" si="4"/>
        <v>42948</v>
      </c>
      <c r="M59" s="958">
        <f t="shared" si="5"/>
        <v>43312</v>
      </c>
      <c r="N59" s="928">
        <f t="shared" si="2"/>
        <v>365</v>
      </c>
      <c r="O59" s="823">
        <f t="shared" si="6"/>
        <v>0</v>
      </c>
      <c r="P59" s="92"/>
      <c r="Q59" s="828" t="str">
        <f>IF(O59=0,"",(VLOOKUP(G59,tab!$D$52:$E$94,2,FALSE))*O59)</f>
        <v/>
      </c>
      <c r="R59" s="829" t="str">
        <f>IF(O59=0,"",(IF(Q59=0,0,Q59*geg!$H$42)))</f>
        <v/>
      </c>
      <c r="S59" s="98"/>
      <c r="T59" s="37"/>
    </row>
    <row r="60" spans="2:20" ht="12.75" customHeight="1" x14ac:dyDescent="0.2">
      <c r="B60" s="34"/>
      <c r="C60" s="91"/>
      <c r="D60" s="192" t="str">
        <f>IF('form t'!D60="","",'form t'!D60)</f>
        <v/>
      </c>
      <c r="E60" s="192" t="str">
        <f>IF('form t'!E60="","",'form t'!E60)</f>
        <v/>
      </c>
      <c r="F60" s="155" t="str">
        <f>IF('form t'!F60="","",'form t'!F60)</f>
        <v/>
      </c>
      <c r="G60" s="155" t="str">
        <f>IF('form t'!G60="","",'form t'!G60)</f>
        <v/>
      </c>
      <c r="H60" s="336" t="str">
        <f>IF('form t'!H60="","",'form t'!H60)</f>
        <v/>
      </c>
      <c r="I60" s="337"/>
      <c r="J60" s="337"/>
      <c r="K60" s="92"/>
      <c r="L60" s="958">
        <f t="shared" si="4"/>
        <v>42948</v>
      </c>
      <c r="M60" s="958">
        <f t="shared" si="5"/>
        <v>43312</v>
      </c>
      <c r="N60" s="928">
        <f t="shared" si="2"/>
        <v>365</v>
      </c>
      <c r="O60" s="823">
        <f t="shared" si="6"/>
        <v>0</v>
      </c>
      <c r="P60" s="92"/>
      <c r="Q60" s="828" t="str">
        <f>IF(O60=0,"",(VLOOKUP(G60,tab!$D$52:$E$94,2,FALSE))*O60)</f>
        <v/>
      </c>
      <c r="R60" s="829" t="str">
        <f>IF(O60=0,"",(IF(Q60=0,0,Q60*geg!$H$42)))</f>
        <v/>
      </c>
      <c r="S60" s="98"/>
      <c r="T60" s="37"/>
    </row>
    <row r="61" spans="2:20" ht="12.75" customHeight="1" x14ac:dyDescent="0.2">
      <c r="B61" s="34"/>
      <c r="C61" s="91"/>
      <c r="D61" s="192" t="str">
        <f>IF('form t'!D61="","",'form t'!D61)</f>
        <v/>
      </c>
      <c r="E61" s="192" t="str">
        <f>IF('form t'!E61="","",'form t'!E61)</f>
        <v/>
      </c>
      <c r="F61" s="155" t="str">
        <f>IF('form t'!F61="","",'form t'!F61)</f>
        <v/>
      </c>
      <c r="G61" s="155" t="str">
        <f>IF('form t'!G61="","",'form t'!G61)</f>
        <v/>
      </c>
      <c r="H61" s="336" t="str">
        <f>IF('form t'!H61="","",'form t'!H61)</f>
        <v/>
      </c>
      <c r="I61" s="337"/>
      <c r="J61" s="337"/>
      <c r="K61" s="92"/>
      <c r="L61" s="958">
        <f t="shared" si="4"/>
        <v>42948</v>
      </c>
      <c r="M61" s="958">
        <f t="shared" si="5"/>
        <v>43312</v>
      </c>
      <c r="N61" s="928">
        <f t="shared" si="2"/>
        <v>365</v>
      </c>
      <c r="O61" s="823">
        <f t="shared" si="6"/>
        <v>0</v>
      </c>
      <c r="P61" s="92"/>
      <c r="Q61" s="828" t="str">
        <f>IF(O61=0,"",(VLOOKUP(G61,tab!$D$52:$E$94,2,FALSE))*O61)</f>
        <v/>
      </c>
      <c r="R61" s="829" t="str">
        <f>IF(O61=0,"",(IF(Q61=0,0,Q61*geg!$H$42)))</f>
        <v/>
      </c>
      <c r="S61" s="98"/>
      <c r="T61" s="37"/>
    </row>
    <row r="62" spans="2:20" ht="12.75" customHeight="1" x14ac:dyDescent="0.2">
      <c r="B62" s="34"/>
      <c r="C62" s="91"/>
      <c r="D62" s="192" t="str">
        <f>IF('form t'!D62="","",'form t'!D62)</f>
        <v/>
      </c>
      <c r="E62" s="192" t="str">
        <f>IF('form t'!E62="","",'form t'!E62)</f>
        <v/>
      </c>
      <c r="F62" s="155" t="str">
        <f>IF('form t'!F62="","",'form t'!F62)</f>
        <v/>
      </c>
      <c r="G62" s="155" t="str">
        <f>IF('form t'!G62="","",'form t'!G62)</f>
        <v/>
      </c>
      <c r="H62" s="336" t="str">
        <f>IF('form t'!H62="","",'form t'!H62)</f>
        <v/>
      </c>
      <c r="I62" s="337"/>
      <c r="J62" s="337"/>
      <c r="K62" s="92"/>
      <c r="L62" s="958">
        <f t="shared" si="4"/>
        <v>42948</v>
      </c>
      <c r="M62" s="958">
        <f t="shared" si="5"/>
        <v>43312</v>
      </c>
      <c r="N62" s="928">
        <f t="shared" si="2"/>
        <v>365</v>
      </c>
      <c r="O62" s="823">
        <f t="shared" si="6"/>
        <v>0</v>
      </c>
      <c r="P62" s="92"/>
      <c r="Q62" s="828" t="str">
        <f>IF(O62=0,"",(VLOOKUP(G62,tab!$D$52:$E$94,2,FALSE))*O62)</f>
        <v/>
      </c>
      <c r="R62" s="829" t="str">
        <f>IF(O62=0,"",(IF(Q62=0,0,Q62*geg!$H$42)))</f>
        <v/>
      </c>
      <c r="S62" s="98"/>
      <c r="T62" s="37"/>
    </row>
    <row r="63" spans="2:20" ht="12.75" customHeight="1" x14ac:dyDescent="0.2">
      <c r="B63" s="34"/>
      <c r="C63" s="91"/>
      <c r="D63" s="192" t="str">
        <f>IF('form t'!D63="","",'form t'!D63)</f>
        <v/>
      </c>
      <c r="E63" s="192" t="str">
        <f>IF('form t'!E63="","",'form t'!E63)</f>
        <v/>
      </c>
      <c r="F63" s="155" t="str">
        <f>IF('form t'!F63="","",'form t'!F63)</f>
        <v/>
      </c>
      <c r="G63" s="155" t="str">
        <f>IF('form t'!G63="","",'form t'!G63)</f>
        <v/>
      </c>
      <c r="H63" s="336" t="str">
        <f>IF('form t'!H63="","",'form t'!H63)</f>
        <v/>
      </c>
      <c r="I63" s="337"/>
      <c r="J63" s="337"/>
      <c r="K63" s="92"/>
      <c r="L63" s="958">
        <f t="shared" si="4"/>
        <v>42948</v>
      </c>
      <c r="M63" s="958">
        <f t="shared" si="5"/>
        <v>43312</v>
      </c>
      <c r="N63" s="928">
        <f t="shared" si="2"/>
        <v>365</v>
      </c>
      <c r="O63" s="823">
        <f t="shared" si="6"/>
        <v>0</v>
      </c>
      <c r="P63" s="92"/>
      <c r="Q63" s="828" t="str">
        <f>IF(O63=0,"",(VLOOKUP(G63,tab!$D$52:$E$94,2,FALSE))*O63)</f>
        <v/>
      </c>
      <c r="R63" s="829" t="str">
        <f>IF(O63=0,"",(IF(Q63=0,0,Q63*geg!$H$42)))</f>
        <v/>
      </c>
      <c r="S63" s="98"/>
      <c r="T63" s="37"/>
    </row>
    <row r="64" spans="2:20" ht="12.75" customHeight="1" x14ac:dyDescent="0.2">
      <c r="B64" s="34"/>
      <c r="C64" s="91"/>
      <c r="D64" s="192" t="str">
        <f>IF('form t'!D64="","",'form t'!D64)</f>
        <v/>
      </c>
      <c r="E64" s="192" t="str">
        <f>IF('form t'!E64="","",'form t'!E64)</f>
        <v/>
      </c>
      <c r="F64" s="155" t="str">
        <f>IF('form t'!F64="","",'form t'!F64)</f>
        <v/>
      </c>
      <c r="G64" s="155" t="str">
        <f>IF('form t'!G64="","",'form t'!G64)</f>
        <v/>
      </c>
      <c r="H64" s="336" t="str">
        <f>IF('form t'!H64="","",'form t'!H64)</f>
        <v/>
      </c>
      <c r="I64" s="337"/>
      <c r="J64" s="337"/>
      <c r="K64" s="92"/>
      <c r="L64" s="958">
        <f t="shared" si="4"/>
        <v>42948</v>
      </c>
      <c r="M64" s="958">
        <f t="shared" si="5"/>
        <v>43312</v>
      </c>
      <c r="N64" s="928">
        <f t="shared" si="2"/>
        <v>365</v>
      </c>
      <c r="O64" s="823">
        <f t="shared" si="6"/>
        <v>0</v>
      </c>
      <c r="P64" s="92"/>
      <c r="Q64" s="828" t="str">
        <f>IF(O64=0,"",(VLOOKUP(G64,tab!$D$52:$E$94,2,FALSE))*O64)</f>
        <v/>
      </c>
      <c r="R64" s="829" t="str">
        <f>IF(O64=0,"",(IF(Q64=0,0,Q64*geg!$H$42)))</f>
        <v/>
      </c>
      <c r="S64" s="98"/>
      <c r="T64" s="37"/>
    </row>
    <row r="65" spans="2:20" ht="12.75" customHeight="1" x14ac:dyDescent="0.2">
      <c r="B65" s="34"/>
      <c r="C65" s="91"/>
      <c r="D65" s="192" t="str">
        <f>IF('form t'!D65="","",'form t'!D65)</f>
        <v/>
      </c>
      <c r="E65" s="192" t="str">
        <f>IF('form t'!E65="","",'form t'!E65)</f>
        <v/>
      </c>
      <c r="F65" s="155" t="str">
        <f>IF('form t'!F65="","",'form t'!F65)</f>
        <v/>
      </c>
      <c r="G65" s="155" t="str">
        <f>IF('form t'!G65="","",'form t'!G65)</f>
        <v/>
      </c>
      <c r="H65" s="336" t="str">
        <f>IF('form t'!H65="","",'form t'!H65)</f>
        <v/>
      </c>
      <c r="I65" s="337"/>
      <c r="J65" s="337"/>
      <c r="K65" s="92"/>
      <c r="L65" s="958">
        <f t="shared" si="4"/>
        <v>42948</v>
      </c>
      <c r="M65" s="958">
        <f t="shared" si="5"/>
        <v>43312</v>
      </c>
      <c r="N65" s="928">
        <f t="shared" si="2"/>
        <v>365</v>
      </c>
      <c r="O65" s="823">
        <f t="shared" si="6"/>
        <v>0</v>
      </c>
      <c r="P65" s="92"/>
      <c r="Q65" s="828" t="str">
        <f>IF(O65=0,"",(VLOOKUP(G65,tab!$D$52:$E$94,2,FALSE))*O65)</f>
        <v/>
      </c>
      <c r="R65" s="829" t="str">
        <f>IF(O65=0,"",(IF(Q65=0,0,Q65*geg!$H$42)))</f>
        <v/>
      </c>
      <c r="S65" s="98"/>
      <c r="T65" s="37"/>
    </row>
    <row r="66" spans="2:20" ht="12.75" customHeight="1" x14ac:dyDescent="0.2">
      <c r="B66" s="34"/>
      <c r="C66" s="91"/>
      <c r="D66" s="192" t="str">
        <f>IF('form t'!D66="","",'form t'!D66)</f>
        <v/>
      </c>
      <c r="E66" s="192" t="str">
        <f>IF('form t'!E66="","",'form t'!E66)</f>
        <v/>
      </c>
      <c r="F66" s="155" t="str">
        <f>IF('form t'!F66="","",'form t'!F66)</f>
        <v/>
      </c>
      <c r="G66" s="155" t="str">
        <f>IF('form t'!G66="","",'form t'!G66)</f>
        <v/>
      </c>
      <c r="H66" s="336" t="str">
        <f>IF('form t'!H66="","",'form t'!H66)</f>
        <v/>
      </c>
      <c r="I66" s="337"/>
      <c r="J66" s="337"/>
      <c r="K66" s="92"/>
      <c r="L66" s="958">
        <f t="shared" si="4"/>
        <v>42948</v>
      </c>
      <c r="M66" s="958">
        <f t="shared" si="5"/>
        <v>43312</v>
      </c>
      <c r="N66" s="928">
        <f t="shared" si="2"/>
        <v>365</v>
      </c>
      <c r="O66" s="823">
        <f t="shared" si="6"/>
        <v>0</v>
      </c>
      <c r="P66" s="92"/>
      <c r="Q66" s="828" t="str">
        <f>IF(O66=0,"",(VLOOKUP(G66,tab!$D$52:$E$94,2,FALSE))*O66)</f>
        <v/>
      </c>
      <c r="R66" s="829" t="str">
        <f>IF(O66=0,"",(IF(Q66=0,0,Q66*geg!$H$42)))</f>
        <v/>
      </c>
      <c r="S66" s="98"/>
      <c r="T66" s="37"/>
    </row>
    <row r="67" spans="2:20" ht="12.75" customHeight="1" x14ac:dyDescent="0.2">
      <c r="B67" s="34"/>
      <c r="C67" s="91"/>
      <c r="D67" s="192" t="str">
        <f>IF('form t'!D67="","",'form t'!D67)</f>
        <v/>
      </c>
      <c r="E67" s="192" t="str">
        <f>IF('form t'!E67="","",'form t'!E67)</f>
        <v/>
      </c>
      <c r="F67" s="155" t="str">
        <f>IF('form t'!F67="","",'form t'!F67)</f>
        <v/>
      </c>
      <c r="G67" s="155" t="str">
        <f>IF('form t'!G67="","",'form t'!G67)</f>
        <v/>
      </c>
      <c r="H67" s="336" t="str">
        <f>IF('form t'!H67="","",'form t'!H67)</f>
        <v/>
      </c>
      <c r="I67" s="337"/>
      <c r="J67" s="337"/>
      <c r="K67" s="92"/>
      <c r="L67" s="958">
        <f t="shared" si="4"/>
        <v>42948</v>
      </c>
      <c r="M67" s="958">
        <f t="shared" si="5"/>
        <v>43312</v>
      </c>
      <c r="N67" s="928">
        <f t="shared" si="2"/>
        <v>365</v>
      </c>
      <c r="O67" s="823">
        <f t="shared" si="6"/>
        <v>0</v>
      </c>
      <c r="P67" s="92"/>
      <c r="Q67" s="828" t="str">
        <f>IF(O67=0,"",(VLOOKUP(G67,tab!$D$52:$E$94,2,FALSE))*O67)</f>
        <v/>
      </c>
      <c r="R67" s="829" t="str">
        <f>IF(O67=0,"",(IF(Q67=0,0,Q67*geg!$H$42)))</f>
        <v/>
      </c>
      <c r="S67" s="98"/>
      <c r="T67" s="37"/>
    </row>
    <row r="68" spans="2:20" ht="12.75" customHeight="1" x14ac:dyDescent="0.2">
      <c r="B68" s="34"/>
      <c r="C68" s="91"/>
      <c r="D68" s="192" t="str">
        <f>IF('form t'!D68="","",'form t'!D68)</f>
        <v/>
      </c>
      <c r="E68" s="192" t="str">
        <f>IF('form t'!E68="","",'form t'!E68)</f>
        <v/>
      </c>
      <c r="F68" s="155" t="str">
        <f>IF('form t'!F68="","",'form t'!F68)</f>
        <v/>
      </c>
      <c r="G68" s="155" t="str">
        <f>IF('form t'!G68="","",'form t'!G68)</f>
        <v/>
      </c>
      <c r="H68" s="336" t="str">
        <f>IF('form t'!H68="","",'form t'!H68)</f>
        <v/>
      </c>
      <c r="I68" s="337"/>
      <c r="J68" s="337"/>
      <c r="K68" s="92"/>
      <c r="L68" s="958">
        <f t="shared" si="4"/>
        <v>42948</v>
      </c>
      <c r="M68" s="958">
        <f t="shared" si="5"/>
        <v>43312</v>
      </c>
      <c r="N68" s="928">
        <f t="shared" si="2"/>
        <v>365</v>
      </c>
      <c r="O68" s="823">
        <f t="shared" si="6"/>
        <v>0</v>
      </c>
      <c r="P68" s="92"/>
      <c r="Q68" s="828" t="str">
        <f>IF(O68=0,"",(VLOOKUP(G68,tab!$D$52:$E$94,2,FALSE))*O68)</f>
        <v/>
      </c>
      <c r="R68" s="829" t="str">
        <f>IF(O68=0,"",(IF(Q68=0,0,Q68*geg!$H$42)))</f>
        <v/>
      </c>
      <c r="S68" s="98"/>
      <c r="T68" s="37"/>
    </row>
    <row r="69" spans="2:20" ht="12.75" customHeight="1" x14ac:dyDescent="0.2">
      <c r="B69" s="34"/>
      <c r="C69" s="91"/>
      <c r="D69" s="192" t="str">
        <f>IF('form t'!D69="","",'form t'!D69)</f>
        <v/>
      </c>
      <c r="E69" s="192" t="str">
        <f>IF('form t'!E69="","",'form t'!E69)</f>
        <v/>
      </c>
      <c r="F69" s="155" t="str">
        <f>IF('form t'!F69="","",'form t'!F69)</f>
        <v/>
      </c>
      <c r="G69" s="155" t="str">
        <f>IF('form t'!G69="","",'form t'!G69)</f>
        <v/>
      </c>
      <c r="H69" s="336" t="str">
        <f>IF('form t'!H69="","",'form t'!H69)</f>
        <v/>
      </c>
      <c r="I69" s="337"/>
      <c r="J69" s="337"/>
      <c r="K69" s="92"/>
      <c r="L69" s="958">
        <f t="shared" si="4"/>
        <v>42948</v>
      </c>
      <c r="M69" s="958">
        <f t="shared" si="5"/>
        <v>43312</v>
      </c>
      <c r="N69" s="928">
        <f t="shared" si="2"/>
        <v>365</v>
      </c>
      <c r="O69" s="823">
        <f t="shared" si="6"/>
        <v>0</v>
      </c>
      <c r="P69" s="92"/>
      <c r="Q69" s="828" t="str">
        <f>IF(O69=0,"",(VLOOKUP(G69,tab!$D$52:$E$94,2,FALSE))*O69)</f>
        <v/>
      </c>
      <c r="R69" s="829" t="str">
        <f>IF(O69=0,"",(IF(Q69=0,0,Q69*geg!$H$42)))</f>
        <v/>
      </c>
      <c r="S69" s="98"/>
      <c r="T69" s="37"/>
    </row>
    <row r="70" spans="2:20" ht="12.75" customHeight="1" x14ac:dyDescent="0.2">
      <c r="B70" s="34"/>
      <c r="C70" s="91"/>
      <c r="D70" s="192" t="str">
        <f>IF('form t'!D70="","",'form t'!D70)</f>
        <v/>
      </c>
      <c r="E70" s="192" t="str">
        <f>IF('form t'!E70="","",'form t'!E70)</f>
        <v/>
      </c>
      <c r="F70" s="155" t="str">
        <f>IF('form t'!F70="","",'form t'!F70)</f>
        <v/>
      </c>
      <c r="G70" s="155" t="str">
        <f>IF('form t'!G70="","",'form t'!G70)</f>
        <v/>
      </c>
      <c r="H70" s="336" t="str">
        <f>IF('form t'!H70="","",'form t'!H70)</f>
        <v/>
      </c>
      <c r="I70" s="337"/>
      <c r="J70" s="337"/>
      <c r="K70" s="92"/>
      <c r="L70" s="958">
        <f t="shared" si="4"/>
        <v>42948</v>
      </c>
      <c r="M70" s="958">
        <f t="shared" si="5"/>
        <v>43312</v>
      </c>
      <c r="N70" s="928">
        <f t="shared" si="2"/>
        <v>365</v>
      </c>
      <c r="O70" s="823">
        <f t="shared" si="6"/>
        <v>0</v>
      </c>
      <c r="P70" s="92"/>
      <c r="Q70" s="828" t="str">
        <f>IF(O70=0,"",(VLOOKUP(G70,tab!$D$52:$E$94,2,FALSE))*O70)</f>
        <v/>
      </c>
      <c r="R70" s="829" t="str">
        <f>IF(O70=0,"",(IF(Q70=0,0,Q70*geg!$H$42)))</f>
        <v/>
      </c>
      <c r="S70" s="98"/>
      <c r="T70" s="37"/>
    </row>
    <row r="71" spans="2:20" ht="12.75" customHeight="1" x14ac:dyDescent="0.2">
      <c r="B71" s="34"/>
      <c r="C71" s="91"/>
      <c r="D71" s="192" t="str">
        <f>IF('form t'!D71="","",'form t'!D71)</f>
        <v/>
      </c>
      <c r="E71" s="192" t="str">
        <f>IF('form t'!E71="","",'form t'!E71)</f>
        <v/>
      </c>
      <c r="F71" s="155" t="str">
        <f>IF('form t'!F71="","",'form t'!F71)</f>
        <v/>
      </c>
      <c r="G71" s="155" t="str">
        <f>IF('form t'!G71="","",'form t'!G71)</f>
        <v/>
      </c>
      <c r="H71" s="336" t="str">
        <f>IF('form t'!H71="","",'form t'!H71)</f>
        <v/>
      </c>
      <c r="I71" s="337"/>
      <c r="J71" s="337"/>
      <c r="K71" s="92"/>
      <c r="L71" s="958">
        <f t="shared" si="4"/>
        <v>42948</v>
      </c>
      <c r="M71" s="958">
        <f t="shared" si="5"/>
        <v>43312</v>
      </c>
      <c r="N71" s="928">
        <f t="shared" si="2"/>
        <v>365</v>
      </c>
      <c r="O71" s="823">
        <f t="shared" si="6"/>
        <v>0</v>
      </c>
      <c r="P71" s="92"/>
      <c r="Q71" s="828" t="str">
        <f>IF(O71=0,"",(VLOOKUP(G71,tab!$D$52:$E$94,2,FALSE))*O71)</f>
        <v/>
      </c>
      <c r="R71" s="829" t="str">
        <f>IF(O71=0,"",(IF(Q71=0,0,Q71*geg!$H$42)))</f>
        <v/>
      </c>
      <c r="S71" s="98"/>
      <c r="T71" s="37"/>
    </row>
    <row r="72" spans="2:20" ht="12.75" customHeight="1" x14ac:dyDescent="0.2">
      <c r="B72" s="34"/>
      <c r="C72" s="91"/>
      <c r="D72" s="192" t="str">
        <f>IF('form t'!D72="","",'form t'!D72)</f>
        <v/>
      </c>
      <c r="E72" s="192" t="str">
        <f>IF('form t'!E72="","",'form t'!E72)</f>
        <v/>
      </c>
      <c r="F72" s="155" t="str">
        <f>IF('form t'!F72="","",'form t'!F72)</f>
        <v/>
      </c>
      <c r="G72" s="155" t="str">
        <f>IF('form t'!G72="","",'form t'!G72)</f>
        <v/>
      </c>
      <c r="H72" s="336" t="str">
        <f>IF('form t'!H72="","",'form t'!H72)</f>
        <v/>
      </c>
      <c r="I72" s="337"/>
      <c r="J72" s="337"/>
      <c r="K72" s="92"/>
      <c r="L72" s="958">
        <f t="shared" si="4"/>
        <v>42948</v>
      </c>
      <c r="M72" s="958">
        <f t="shared" si="5"/>
        <v>43312</v>
      </c>
      <c r="N72" s="928">
        <f t="shared" ref="N72:N107" si="7">M72-L72+1</f>
        <v>365</v>
      </c>
      <c r="O72" s="823">
        <f t="shared" si="6"/>
        <v>0</v>
      </c>
      <c r="P72" s="92"/>
      <c r="Q72" s="828" t="str">
        <f>IF(O72=0,"",(VLOOKUP(G72,tab!$D$52:$E$94,2,FALSE))*O72)</f>
        <v/>
      </c>
      <c r="R72" s="829" t="str">
        <f>IF(O72=0,"",(IF(Q72=0,0,Q72*geg!$H$42)))</f>
        <v/>
      </c>
      <c r="S72" s="98"/>
      <c r="T72" s="37"/>
    </row>
    <row r="73" spans="2:20" ht="12.75" customHeight="1" x14ac:dyDescent="0.2">
      <c r="B73" s="34"/>
      <c r="C73" s="91"/>
      <c r="D73" s="192" t="str">
        <f>IF('form t'!D73="","",'form t'!D73)</f>
        <v/>
      </c>
      <c r="E73" s="192" t="str">
        <f>IF('form t'!E73="","",'form t'!E73)</f>
        <v/>
      </c>
      <c r="F73" s="155" t="str">
        <f>IF('form t'!F73="","",'form t'!F73)</f>
        <v/>
      </c>
      <c r="G73" s="155" t="str">
        <f>IF('form t'!G73="","",'form t'!G73)</f>
        <v/>
      </c>
      <c r="H73" s="336" t="str">
        <f>IF('form t'!H73="","",'form t'!H73)</f>
        <v/>
      </c>
      <c r="I73" s="337"/>
      <c r="J73" s="337"/>
      <c r="K73" s="92"/>
      <c r="L73" s="958">
        <f t="shared" si="4"/>
        <v>42948</v>
      </c>
      <c r="M73" s="958">
        <f t="shared" si="5"/>
        <v>43312</v>
      </c>
      <c r="N73" s="928">
        <f t="shared" si="7"/>
        <v>365</v>
      </c>
      <c r="O73" s="823">
        <f t="shared" si="6"/>
        <v>0</v>
      </c>
      <c r="P73" s="92"/>
      <c r="Q73" s="828" t="str">
        <f>IF(O73=0,"",(VLOOKUP(G73,tab!$D$52:$E$94,2,FALSE))*O73)</f>
        <v/>
      </c>
      <c r="R73" s="829" t="str">
        <f>IF(O73=0,"",(IF(Q73=0,0,Q73*geg!$H$42)))</f>
        <v/>
      </c>
      <c r="S73" s="98"/>
      <c r="T73" s="37"/>
    </row>
    <row r="74" spans="2:20" ht="12.75" customHeight="1" x14ac:dyDescent="0.2">
      <c r="B74" s="34"/>
      <c r="C74" s="91"/>
      <c r="D74" s="192" t="str">
        <f>IF('form t'!D74="","",'form t'!D74)</f>
        <v/>
      </c>
      <c r="E74" s="192" t="str">
        <f>IF('form t'!E74="","",'form t'!E74)</f>
        <v/>
      </c>
      <c r="F74" s="155" t="str">
        <f>IF('form t'!F74="","",'form t'!F74)</f>
        <v/>
      </c>
      <c r="G74" s="155" t="str">
        <f>IF('form t'!G74="","",'form t'!G74)</f>
        <v/>
      </c>
      <c r="H74" s="336" t="str">
        <f>IF('form t'!H74="","",'form t'!H74)</f>
        <v/>
      </c>
      <c r="I74" s="337"/>
      <c r="J74" s="337"/>
      <c r="K74" s="92"/>
      <c r="L74" s="958">
        <f t="shared" si="4"/>
        <v>42948</v>
      </c>
      <c r="M74" s="958">
        <f t="shared" si="5"/>
        <v>43312</v>
      </c>
      <c r="N74" s="928">
        <f t="shared" si="7"/>
        <v>365</v>
      </c>
      <c r="O74" s="823">
        <f t="shared" si="6"/>
        <v>0</v>
      </c>
      <c r="P74" s="92"/>
      <c r="Q74" s="828" t="str">
        <f>IF(O74=0,"",(VLOOKUP(G74,tab!$D$52:$E$94,2,FALSE))*O74)</f>
        <v/>
      </c>
      <c r="R74" s="829" t="str">
        <f>IF(O74=0,"",(IF(Q74=0,0,Q74*geg!$H$42)))</f>
        <v/>
      </c>
      <c r="S74" s="98"/>
      <c r="T74" s="37"/>
    </row>
    <row r="75" spans="2:20" ht="12.75" customHeight="1" x14ac:dyDescent="0.2">
      <c r="B75" s="34"/>
      <c r="C75" s="91"/>
      <c r="D75" s="192" t="str">
        <f>IF('form t'!D75="","",'form t'!D75)</f>
        <v/>
      </c>
      <c r="E75" s="192" t="str">
        <f>IF('form t'!E75="","",'form t'!E75)</f>
        <v/>
      </c>
      <c r="F75" s="155" t="str">
        <f>IF('form t'!F75="","",'form t'!F75)</f>
        <v/>
      </c>
      <c r="G75" s="155" t="str">
        <f>IF('form t'!G75="","",'form t'!G75)</f>
        <v/>
      </c>
      <c r="H75" s="336" t="str">
        <f>IF('form t'!H75="","",'form t'!H75)</f>
        <v/>
      </c>
      <c r="I75" s="337"/>
      <c r="J75" s="337"/>
      <c r="K75" s="92"/>
      <c r="L75" s="958">
        <f t="shared" ref="L75:L110" si="8">IF(I75=0,$L$8,I75)</f>
        <v>42948</v>
      </c>
      <c r="M75" s="958">
        <f t="shared" ref="M75:M110" si="9">IF(J75=0,$M$8,J75)</f>
        <v>43312</v>
      </c>
      <c r="N75" s="928">
        <f t="shared" si="7"/>
        <v>365</v>
      </c>
      <c r="O75" s="823">
        <f t="shared" ref="O75:O106" si="10">IF(H75="",0,(H75*N75/$N$8))</f>
        <v>0</v>
      </c>
      <c r="P75" s="92"/>
      <c r="Q75" s="828" t="str">
        <f>IF(O75=0,"",(VLOOKUP(G75,tab!$D$52:$E$94,2,FALSE))*O75)</f>
        <v/>
      </c>
      <c r="R75" s="829" t="str">
        <f>IF(O75=0,"",(IF(Q75=0,0,Q75*geg!$H$42)))</f>
        <v/>
      </c>
      <c r="S75" s="98"/>
      <c r="T75" s="37"/>
    </row>
    <row r="76" spans="2:20" ht="12.75" customHeight="1" x14ac:dyDescent="0.2">
      <c r="B76" s="34"/>
      <c r="C76" s="91"/>
      <c r="D76" s="192" t="str">
        <f>IF('form t'!D76="","",'form t'!D76)</f>
        <v/>
      </c>
      <c r="E76" s="192" t="str">
        <f>IF('form t'!E76="","",'form t'!E76)</f>
        <v/>
      </c>
      <c r="F76" s="155" t="str">
        <f>IF('form t'!F76="","",'form t'!F76)</f>
        <v/>
      </c>
      <c r="G76" s="155" t="str">
        <f>IF('form t'!G76="","",'form t'!G76)</f>
        <v/>
      </c>
      <c r="H76" s="336" t="str">
        <f>IF('form t'!H76="","",'form t'!H76)</f>
        <v/>
      </c>
      <c r="I76" s="337"/>
      <c r="J76" s="337"/>
      <c r="K76" s="92"/>
      <c r="L76" s="958">
        <f t="shared" si="8"/>
        <v>42948</v>
      </c>
      <c r="M76" s="958">
        <f t="shared" si="9"/>
        <v>43312</v>
      </c>
      <c r="N76" s="928">
        <f t="shared" si="7"/>
        <v>365</v>
      </c>
      <c r="O76" s="823">
        <f t="shared" si="10"/>
        <v>0</v>
      </c>
      <c r="P76" s="92"/>
      <c r="Q76" s="828" t="str">
        <f>IF(O76=0,"",(VLOOKUP(G76,tab!$D$52:$E$94,2,FALSE))*O76)</f>
        <v/>
      </c>
      <c r="R76" s="829" t="str">
        <f>IF(O76=0,"",(IF(Q76=0,0,Q76*geg!$H$42)))</f>
        <v/>
      </c>
      <c r="S76" s="98"/>
      <c r="T76" s="37"/>
    </row>
    <row r="77" spans="2:20" ht="12.75" customHeight="1" x14ac:dyDescent="0.2">
      <c r="B77" s="34"/>
      <c r="C77" s="91"/>
      <c r="D77" s="192" t="str">
        <f>IF('form t'!D77="","",'form t'!D77)</f>
        <v/>
      </c>
      <c r="E77" s="192" t="str">
        <f>IF('form t'!E77="","",'form t'!E77)</f>
        <v/>
      </c>
      <c r="F77" s="155" t="str">
        <f>IF('form t'!F77="","",'form t'!F77)</f>
        <v/>
      </c>
      <c r="G77" s="155" t="str">
        <f>IF('form t'!G77="","",'form t'!G77)</f>
        <v/>
      </c>
      <c r="H77" s="336" t="str">
        <f>IF('form t'!H77="","",'form t'!H77)</f>
        <v/>
      </c>
      <c r="I77" s="337"/>
      <c r="J77" s="337"/>
      <c r="K77" s="92"/>
      <c r="L77" s="958">
        <f t="shared" si="8"/>
        <v>42948</v>
      </c>
      <c r="M77" s="958">
        <f t="shared" si="9"/>
        <v>43312</v>
      </c>
      <c r="N77" s="928">
        <f t="shared" si="7"/>
        <v>365</v>
      </c>
      <c r="O77" s="823">
        <f t="shared" si="10"/>
        <v>0</v>
      </c>
      <c r="P77" s="92"/>
      <c r="Q77" s="828" t="str">
        <f>IF(O77=0,"",(VLOOKUP(G77,tab!$D$52:$E$94,2,FALSE))*O77)</f>
        <v/>
      </c>
      <c r="R77" s="829" t="str">
        <f>IF(O77=0,"",(IF(Q77=0,0,Q77*geg!$H$42)))</f>
        <v/>
      </c>
      <c r="S77" s="98"/>
      <c r="T77" s="37"/>
    </row>
    <row r="78" spans="2:20" ht="12.75" customHeight="1" x14ac:dyDescent="0.2">
      <c r="B78" s="34"/>
      <c r="C78" s="91"/>
      <c r="D78" s="192" t="str">
        <f>IF('form t'!D78="","",'form t'!D78)</f>
        <v/>
      </c>
      <c r="E78" s="192" t="str">
        <f>IF('form t'!E78="","",'form t'!E78)</f>
        <v/>
      </c>
      <c r="F78" s="155" t="str">
        <f>IF('form t'!F78="","",'form t'!F78)</f>
        <v/>
      </c>
      <c r="G78" s="155" t="str">
        <f>IF('form t'!G78="","",'form t'!G78)</f>
        <v/>
      </c>
      <c r="H78" s="336" t="str">
        <f>IF('form t'!H78="","",'form t'!H78)</f>
        <v/>
      </c>
      <c r="I78" s="337"/>
      <c r="J78" s="337"/>
      <c r="K78" s="92"/>
      <c r="L78" s="958">
        <f t="shared" si="8"/>
        <v>42948</v>
      </c>
      <c r="M78" s="958">
        <f t="shared" si="9"/>
        <v>43312</v>
      </c>
      <c r="N78" s="928">
        <f t="shared" si="7"/>
        <v>365</v>
      </c>
      <c r="O78" s="823">
        <f t="shared" si="10"/>
        <v>0</v>
      </c>
      <c r="P78" s="92"/>
      <c r="Q78" s="828" t="str">
        <f>IF(O78=0,"",(VLOOKUP(G78,tab!$D$52:$E$94,2,FALSE))*O78)</f>
        <v/>
      </c>
      <c r="R78" s="829" t="str">
        <f>IF(O78=0,"",(IF(Q78=0,0,Q78*geg!$H$42)))</f>
        <v/>
      </c>
      <c r="S78" s="98"/>
      <c r="T78" s="37"/>
    </row>
    <row r="79" spans="2:20" ht="12.75" customHeight="1" x14ac:dyDescent="0.2">
      <c r="B79" s="34"/>
      <c r="C79" s="91"/>
      <c r="D79" s="192" t="str">
        <f>IF('form t'!D79="","",'form t'!D79)</f>
        <v/>
      </c>
      <c r="E79" s="192" t="str">
        <f>IF('form t'!E79="","",'form t'!E79)</f>
        <v/>
      </c>
      <c r="F79" s="155" t="str">
        <f>IF('form t'!F79="","",'form t'!F79)</f>
        <v/>
      </c>
      <c r="G79" s="155" t="str">
        <f>IF('form t'!G79="","",'form t'!G79)</f>
        <v/>
      </c>
      <c r="H79" s="336" t="str">
        <f>IF('form t'!H79="","",'form t'!H79)</f>
        <v/>
      </c>
      <c r="I79" s="337"/>
      <c r="J79" s="337"/>
      <c r="K79" s="92"/>
      <c r="L79" s="958">
        <f t="shared" si="8"/>
        <v>42948</v>
      </c>
      <c r="M79" s="958">
        <f t="shared" si="9"/>
        <v>43312</v>
      </c>
      <c r="N79" s="928">
        <f t="shared" si="7"/>
        <v>365</v>
      </c>
      <c r="O79" s="823">
        <f t="shared" si="10"/>
        <v>0</v>
      </c>
      <c r="P79" s="92"/>
      <c r="Q79" s="828" t="str">
        <f>IF(O79=0,"",(VLOOKUP(G79,tab!$D$52:$E$94,2,FALSE))*O79)</f>
        <v/>
      </c>
      <c r="R79" s="829" t="str">
        <f>IF(O79=0,"",(IF(Q79=0,0,Q79*geg!$H$42)))</f>
        <v/>
      </c>
      <c r="S79" s="98"/>
      <c r="T79" s="37"/>
    </row>
    <row r="80" spans="2:20" ht="12.75" customHeight="1" x14ac:dyDescent="0.2">
      <c r="B80" s="34"/>
      <c r="C80" s="91"/>
      <c r="D80" s="192" t="str">
        <f>IF('form t'!D80="","",'form t'!D80)</f>
        <v/>
      </c>
      <c r="E80" s="192" t="str">
        <f>IF('form t'!E80="","",'form t'!E80)</f>
        <v/>
      </c>
      <c r="F80" s="155" t="str">
        <f>IF('form t'!F80="","",'form t'!F80)</f>
        <v/>
      </c>
      <c r="G80" s="155" t="str">
        <f>IF('form t'!G80="","",'form t'!G80)</f>
        <v/>
      </c>
      <c r="H80" s="336" t="str">
        <f>IF('form t'!H80="","",'form t'!H80)</f>
        <v/>
      </c>
      <c r="I80" s="337"/>
      <c r="J80" s="337"/>
      <c r="K80" s="92"/>
      <c r="L80" s="958">
        <f t="shared" si="8"/>
        <v>42948</v>
      </c>
      <c r="M80" s="958">
        <f t="shared" si="9"/>
        <v>43312</v>
      </c>
      <c r="N80" s="928">
        <f t="shared" si="7"/>
        <v>365</v>
      </c>
      <c r="O80" s="823">
        <f t="shared" si="10"/>
        <v>0</v>
      </c>
      <c r="P80" s="92"/>
      <c r="Q80" s="828" t="str">
        <f>IF(O80=0,"",(VLOOKUP(G80,tab!$D$52:$E$94,2,FALSE))*O80)</f>
        <v/>
      </c>
      <c r="R80" s="829" t="str">
        <f>IF(O80=0,"",(IF(Q80=0,0,Q80*geg!$H$42)))</f>
        <v/>
      </c>
      <c r="S80" s="98"/>
      <c r="T80" s="37"/>
    </row>
    <row r="81" spans="2:20" ht="12.75" customHeight="1" x14ac:dyDescent="0.2">
      <c r="B81" s="34"/>
      <c r="C81" s="91"/>
      <c r="D81" s="192" t="str">
        <f>IF('form t'!D81="","",'form t'!D81)</f>
        <v/>
      </c>
      <c r="E81" s="192" t="str">
        <f>IF('form t'!E81="","",'form t'!E81)</f>
        <v/>
      </c>
      <c r="F81" s="155" t="str">
        <f>IF('form t'!F81="","",'form t'!F81)</f>
        <v/>
      </c>
      <c r="G81" s="155" t="str">
        <f>IF('form t'!G81="","",'form t'!G81)</f>
        <v/>
      </c>
      <c r="H81" s="336" t="str">
        <f>IF('form t'!H81="","",'form t'!H81)</f>
        <v/>
      </c>
      <c r="I81" s="337"/>
      <c r="J81" s="337"/>
      <c r="K81" s="92"/>
      <c r="L81" s="958">
        <f t="shared" si="8"/>
        <v>42948</v>
      </c>
      <c r="M81" s="958">
        <f t="shared" si="9"/>
        <v>43312</v>
      </c>
      <c r="N81" s="928">
        <f t="shared" si="7"/>
        <v>365</v>
      </c>
      <c r="O81" s="823">
        <f t="shared" si="10"/>
        <v>0</v>
      </c>
      <c r="P81" s="92"/>
      <c r="Q81" s="828" t="str">
        <f>IF(O81=0,"",(VLOOKUP(G81,tab!$D$52:$E$94,2,FALSE))*O81)</f>
        <v/>
      </c>
      <c r="R81" s="829" t="str">
        <f>IF(O81=0,"",(IF(Q81=0,0,Q81*geg!$H$42)))</f>
        <v/>
      </c>
      <c r="S81" s="98"/>
      <c r="T81" s="37"/>
    </row>
    <row r="82" spans="2:20" ht="12.75" customHeight="1" x14ac:dyDescent="0.2">
      <c r="B82" s="34"/>
      <c r="C82" s="91"/>
      <c r="D82" s="192" t="str">
        <f>IF('form t'!D82="","",'form t'!D82)</f>
        <v/>
      </c>
      <c r="E82" s="192" t="str">
        <f>IF('form t'!E82="","",'form t'!E82)</f>
        <v/>
      </c>
      <c r="F82" s="155" t="str">
        <f>IF('form t'!F82="","",'form t'!F82)</f>
        <v/>
      </c>
      <c r="G82" s="155" t="str">
        <f>IF('form t'!G82="","",'form t'!G82)</f>
        <v/>
      </c>
      <c r="H82" s="336" t="str">
        <f>IF('form t'!H82="","",'form t'!H82)</f>
        <v/>
      </c>
      <c r="I82" s="337"/>
      <c r="J82" s="337"/>
      <c r="K82" s="92"/>
      <c r="L82" s="958">
        <f t="shared" si="8"/>
        <v>42948</v>
      </c>
      <c r="M82" s="958">
        <f t="shared" si="9"/>
        <v>43312</v>
      </c>
      <c r="N82" s="928">
        <f t="shared" si="7"/>
        <v>365</v>
      </c>
      <c r="O82" s="823">
        <f t="shared" si="10"/>
        <v>0</v>
      </c>
      <c r="P82" s="92"/>
      <c r="Q82" s="828" t="str">
        <f>IF(O82=0,"",(VLOOKUP(G82,tab!$D$52:$E$94,2,FALSE))*O82)</f>
        <v/>
      </c>
      <c r="R82" s="829" t="str">
        <f>IF(O82=0,"",(IF(Q82=0,0,Q82*geg!$H$42)))</f>
        <v/>
      </c>
      <c r="S82" s="98"/>
      <c r="T82" s="37"/>
    </row>
    <row r="83" spans="2:20" ht="12.75" customHeight="1" x14ac:dyDescent="0.2">
      <c r="B83" s="34"/>
      <c r="C83" s="91"/>
      <c r="D83" s="192" t="str">
        <f>IF('form t'!D83="","",'form t'!D83)</f>
        <v/>
      </c>
      <c r="E83" s="192" t="str">
        <f>IF('form t'!E83="","",'form t'!E83)</f>
        <v/>
      </c>
      <c r="F83" s="155" t="str">
        <f>IF('form t'!F83="","",'form t'!F83)</f>
        <v/>
      </c>
      <c r="G83" s="155" t="str">
        <f>IF('form t'!G83="","",'form t'!G83)</f>
        <v/>
      </c>
      <c r="H83" s="336" t="str">
        <f>IF('form t'!H83="","",'form t'!H83)</f>
        <v/>
      </c>
      <c r="I83" s="337"/>
      <c r="J83" s="337"/>
      <c r="K83" s="92"/>
      <c r="L83" s="958">
        <f t="shared" si="8"/>
        <v>42948</v>
      </c>
      <c r="M83" s="958">
        <f t="shared" si="9"/>
        <v>43312</v>
      </c>
      <c r="N83" s="928">
        <f t="shared" si="7"/>
        <v>365</v>
      </c>
      <c r="O83" s="823">
        <f t="shared" si="10"/>
        <v>0</v>
      </c>
      <c r="P83" s="92"/>
      <c r="Q83" s="828" t="str">
        <f>IF(O83=0,"",(VLOOKUP(G83,tab!$D$52:$E$94,2,FALSE))*O83)</f>
        <v/>
      </c>
      <c r="R83" s="829" t="str">
        <f>IF(O83=0,"",(IF(Q83=0,0,Q83*geg!$H$42)))</f>
        <v/>
      </c>
      <c r="S83" s="98"/>
      <c r="T83" s="37"/>
    </row>
    <row r="84" spans="2:20" ht="12.75" customHeight="1" x14ac:dyDescent="0.2">
      <c r="B84" s="34"/>
      <c r="C84" s="91"/>
      <c r="D84" s="192" t="str">
        <f>IF('form t'!D84="","",'form t'!D84)</f>
        <v/>
      </c>
      <c r="E84" s="192" t="str">
        <f>IF('form t'!E84="","",'form t'!E84)</f>
        <v/>
      </c>
      <c r="F84" s="155" t="str">
        <f>IF('form t'!F84="","",'form t'!F84)</f>
        <v/>
      </c>
      <c r="G84" s="155" t="str">
        <f>IF('form t'!G84="","",'form t'!G84)</f>
        <v/>
      </c>
      <c r="H84" s="336" t="str">
        <f>IF('form t'!H84="","",'form t'!H84)</f>
        <v/>
      </c>
      <c r="I84" s="337"/>
      <c r="J84" s="337"/>
      <c r="K84" s="92"/>
      <c r="L84" s="958">
        <f t="shared" si="8"/>
        <v>42948</v>
      </c>
      <c r="M84" s="958">
        <f t="shared" si="9"/>
        <v>43312</v>
      </c>
      <c r="N84" s="928">
        <f t="shared" si="7"/>
        <v>365</v>
      </c>
      <c r="O84" s="823">
        <f t="shared" si="10"/>
        <v>0</v>
      </c>
      <c r="P84" s="92"/>
      <c r="Q84" s="828" t="str">
        <f>IF(O84=0,"",(VLOOKUP(G84,tab!$D$52:$E$94,2,FALSE))*O84)</f>
        <v/>
      </c>
      <c r="R84" s="829" t="str">
        <f>IF(O84=0,"",(IF(Q84=0,0,Q84*geg!$H$42)))</f>
        <v/>
      </c>
      <c r="S84" s="98"/>
      <c r="T84" s="37"/>
    </row>
    <row r="85" spans="2:20" ht="12.75" customHeight="1" x14ac:dyDescent="0.2">
      <c r="B85" s="34"/>
      <c r="C85" s="91"/>
      <c r="D85" s="192" t="str">
        <f>IF('form t'!D85="","",'form t'!D85)</f>
        <v/>
      </c>
      <c r="E85" s="192" t="str">
        <f>IF('form t'!E85="","",'form t'!E85)</f>
        <v/>
      </c>
      <c r="F85" s="155" t="str">
        <f>IF('form t'!F85="","",'form t'!F85)</f>
        <v/>
      </c>
      <c r="G85" s="155" t="str">
        <f>IF('form t'!G85="","",'form t'!G85)</f>
        <v/>
      </c>
      <c r="H85" s="336" t="str">
        <f>IF('form t'!H85="","",'form t'!H85)</f>
        <v/>
      </c>
      <c r="I85" s="337"/>
      <c r="J85" s="337"/>
      <c r="K85" s="92"/>
      <c r="L85" s="958">
        <f t="shared" si="8"/>
        <v>42948</v>
      </c>
      <c r="M85" s="958">
        <f t="shared" si="9"/>
        <v>43312</v>
      </c>
      <c r="N85" s="928">
        <f t="shared" si="7"/>
        <v>365</v>
      </c>
      <c r="O85" s="823">
        <f t="shared" si="10"/>
        <v>0</v>
      </c>
      <c r="P85" s="92"/>
      <c r="Q85" s="828" t="str">
        <f>IF(O85=0,"",(VLOOKUP(G85,tab!$D$52:$E$94,2,FALSE))*O85)</f>
        <v/>
      </c>
      <c r="R85" s="829" t="str">
        <f>IF(O85=0,"",(IF(Q85=0,0,Q85*geg!$H$42)))</f>
        <v/>
      </c>
      <c r="S85" s="98"/>
      <c r="T85" s="37"/>
    </row>
    <row r="86" spans="2:20" ht="12.75" customHeight="1" x14ac:dyDescent="0.2">
      <c r="B86" s="34"/>
      <c r="C86" s="91"/>
      <c r="D86" s="192" t="str">
        <f>IF('form t'!D86="","",'form t'!D86)</f>
        <v/>
      </c>
      <c r="E86" s="192" t="str">
        <f>IF('form t'!E86="","",'form t'!E86)</f>
        <v/>
      </c>
      <c r="F86" s="155" t="str">
        <f>IF('form t'!F86="","",'form t'!F86)</f>
        <v/>
      </c>
      <c r="G86" s="155" t="str">
        <f>IF('form t'!G86="","",'form t'!G86)</f>
        <v/>
      </c>
      <c r="H86" s="336" t="str">
        <f>IF('form t'!H86="","",'form t'!H86)</f>
        <v/>
      </c>
      <c r="I86" s="337"/>
      <c r="J86" s="337"/>
      <c r="K86" s="92"/>
      <c r="L86" s="958">
        <f t="shared" si="8"/>
        <v>42948</v>
      </c>
      <c r="M86" s="958">
        <f t="shared" si="9"/>
        <v>43312</v>
      </c>
      <c r="N86" s="928">
        <f t="shared" si="7"/>
        <v>365</v>
      </c>
      <c r="O86" s="823">
        <f t="shared" si="10"/>
        <v>0</v>
      </c>
      <c r="P86" s="92"/>
      <c r="Q86" s="828" t="str">
        <f>IF(O86=0,"",(VLOOKUP(G86,tab!$D$52:$E$94,2,FALSE))*O86)</f>
        <v/>
      </c>
      <c r="R86" s="829" t="str">
        <f>IF(O86=0,"",(IF(Q86=0,0,Q86*geg!$H$42)))</f>
        <v/>
      </c>
      <c r="S86" s="98"/>
      <c r="T86" s="37"/>
    </row>
    <row r="87" spans="2:20" ht="12.75" customHeight="1" x14ac:dyDescent="0.2">
      <c r="B87" s="34"/>
      <c r="C87" s="91"/>
      <c r="D87" s="192" t="str">
        <f>IF('form t'!D87="","",'form t'!D87)</f>
        <v/>
      </c>
      <c r="E87" s="192" t="str">
        <f>IF('form t'!E87="","",'form t'!E87)</f>
        <v/>
      </c>
      <c r="F87" s="155" t="str">
        <f>IF('form t'!F87="","",'form t'!F87)</f>
        <v/>
      </c>
      <c r="G87" s="155" t="str">
        <f>IF('form t'!G87="","",'form t'!G87)</f>
        <v/>
      </c>
      <c r="H87" s="336" t="str">
        <f>IF('form t'!H87="","",'form t'!H87)</f>
        <v/>
      </c>
      <c r="I87" s="337"/>
      <c r="J87" s="337"/>
      <c r="K87" s="92"/>
      <c r="L87" s="958">
        <f t="shared" si="8"/>
        <v>42948</v>
      </c>
      <c r="M87" s="958">
        <f t="shared" si="9"/>
        <v>43312</v>
      </c>
      <c r="N87" s="928">
        <f t="shared" si="7"/>
        <v>365</v>
      </c>
      <c r="O87" s="823">
        <f t="shared" si="10"/>
        <v>0</v>
      </c>
      <c r="P87" s="92"/>
      <c r="Q87" s="828" t="str">
        <f>IF(O87=0,"",(VLOOKUP(G87,tab!$D$52:$E$94,2,FALSE))*O87)</f>
        <v/>
      </c>
      <c r="R87" s="829" t="str">
        <f>IF(O87=0,"",(IF(Q87=0,0,Q87*geg!$H$42)))</f>
        <v/>
      </c>
      <c r="S87" s="98"/>
      <c r="T87" s="37"/>
    </row>
    <row r="88" spans="2:20" ht="12.75" customHeight="1" x14ac:dyDescent="0.2">
      <c r="B88" s="34"/>
      <c r="C88" s="91"/>
      <c r="D88" s="192" t="str">
        <f>IF('form t'!D88="","",'form t'!D88)</f>
        <v/>
      </c>
      <c r="E88" s="192" t="str">
        <f>IF('form t'!E88="","",'form t'!E88)</f>
        <v/>
      </c>
      <c r="F88" s="155" t="str">
        <f>IF('form t'!F88="","",'form t'!F88)</f>
        <v/>
      </c>
      <c r="G88" s="155" t="str">
        <f>IF('form t'!G88="","",'form t'!G88)</f>
        <v/>
      </c>
      <c r="H88" s="336" t="str">
        <f>IF('form t'!H88="","",'form t'!H88)</f>
        <v/>
      </c>
      <c r="I88" s="337"/>
      <c r="J88" s="337"/>
      <c r="K88" s="92"/>
      <c r="L88" s="958">
        <f t="shared" si="8"/>
        <v>42948</v>
      </c>
      <c r="M88" s="958">
        <f t="shared" si="9"/>
        <v>43312</v>
      </c>
      <c r="N88" s="928">
        <f t="shared" si="7"/>
        <v>365</v>
      </c>
      <c r="O88" s="823">
        <f t="shared" si="10"/>
        <v>0</v>
      </c>
      <c r="P88" s="92"/>
      <c r="Q88" s="828" t="str">
        <f>IF(O88=0,"",(VLOOKUP(G88,tab!$D$52:$E$94,2,FALSE))*O88)</f>
        <v/>
      </c>
      <c r="R88" s="829" t="str">
        <f>IF(O88=0,"",(IF(Q88=0,0,Q88*geg!$H$42)))</f>
        <v/>
      </c>
      <c r="S88" s="98"/>
      <c r="T88" s="37"/>
    </row>
    <row r="89" spans="2:20" ht="12.75" customHeight="1" x14ac:dyDescent="0.2">
      <c r="B89" s="34"/>
      <c r="C89" s="91"/>
      <c r="D89" s="192" t="str">
        <f>IF('form t'!D89="","",'form t'!D89)</f>
        <v/>
      </c>
      <c r="E89" s="192" t="str">
        <f>IF('form t'!E89="","",'form t'!E89)</f>
        <v/>
      </c>
      <c r="F89" s="155" t="str">
        <f>IF('form t'!F89="","",'form t'!F89)</f>
        <v/>
      </c>
      <c r="G89" s="155" t="str">
        <f>IF('form t'!G89="","",'form t'!G89)</f>
        <v/>
      </c>
      <c r="H89" s="336" t="str">
        <f>IF('form t'!H89="","",'form t'!H89)</f>
        <v/>
      </c>
      <c r="I89" s="337"/>
      <c r="J89" s="337"/>
      <c r="K89" s="92"/>
      <c r="L89" s="958">
        <f t="shared" si="8"/>
        <v>42948</v>
      </c>
      <c r="M89" s="958">
        <f t="shared" si="9"/>
        <v>43312</v>
      </c>
      <c r="N89" s="928">
        <f t="shared" si="7"/>
        <v>365</v>
      </c>
      <c r="O89" s="823">
        <f t="shared" si="10"/>
        <v>0</v>
      </c>
      <c r="P89" s="92"/>
      <c r="Q89" s="828" t="str">
        <f>IF(O89=0,"",(VLOOKUP(G89,tab!$D$52:$E$94,2,FALSE))*O89)</f>
        <v/>
      </c>
      <c r="R89" s="829" t="str">
        <f>IF(O89=0,"",(IF(Q89=0,0,Q89*geg!$H$42)))</f>
        <v/>
      </c>
      <c r="S89" s="98"/>
      <c r="T89" s="37"/>
    </row>
    <row r="90" spans="2:20" ht="12.75" customHeight="1" x14ac:dyDescent="0.2">
      <c r="B90" s="34"/>
      <c r="C90" s="91"/>
      <c r="D90" s="192" t="str">
        <f>IF('form t'!D90="","",'form t'!D90)</f>
        <v/>
      </c>
      <c r="E90" s="192" t="str">
        <f>IF('form t'!E90="","",'form t'!E90)</f>
        <v/>
      </c>
      <c r="F90" s="155" t="str">
        <f>IF('form t'!F90="","",'form t'!F90)</f>
        <v/>
      </c>
      <c r="G90" s="155" t="str">
        <f>IF('form t'!G90="","",'form t'!G90)</f>
        <v/>
      </c>
      <c r="H90" s="336" t="str">
        <f>IF('form t'!H90="","",'form t'!H90)</f>
        <v/>
      </c>
      <c r="I90" s="337"/>
      <c r="J90" s="337"/>
      <c r="K90" s="92"/>
      <c r="L90" s="958">
        <f t="shared" si="8"/>
        <v>42948</v>
      </c>
      <c r="M90" s="958">
        <f t="shared" si="9"/>
        <v>43312</v>
      </c>
      <c r="N90" s="928">
        <f t="shared" si="7"/>
        <v>365</v>
      </c>
      <c r="O90" s="823">
        <f t="shared" si="10"/>
        <v>0</v>
      </c>
      <c r="P90" s="92"/>
      <c r="Q90" s="828" t="str">
        <f>IF(O90=0,"",(VLOOKUP(G90,tab!$D$52:$E$94,2,FALSE))*O90)</f>
        <v/>
      </c>
      <c r="R90" s="829" t="str">
        <f>IF(O90=0,"",(IF(Q90=0,0,Q90*geg!$H$42)))</f>
        <v/>
      </c>
      <c r="S90" s="98"/>
      <c r="T90" s="37"/>
    </row>
    <row r="91" spans="2:20" ht="12.75" customHeight="1" x14ac:dyDescent="0.2">
      <c r="B91" s="34"/>
      <c r="C91" s="91"/>
      <c r="D91" s="192" t="str">
        <f>IF('form t'!D91="","",'form t'!D91)</f>
        <v/>
      </c>
      <c r="E91" s="192" t="str">
        <f>IF('form t'!E91="","",'form t'!E91)</f>
        <v/>
      </c>
      <c r="F91" s="155" t="str">
        <f>IF('form t'!F91="","",'form t'!F91)</f>
        <v/>
      </c>
      <c r="G91" s="155" t="str">
        <f>IF('form t'!G91="","",'form t'!G91)</f>
        <v/>
      </c>
      <c r="H91" s="336" t="str">
        <f>IF('form t'!H91="","",'form t'!H91)</f>
        <v/>
      </c>
      <c r="I91" s="337"/>
      <c r="J91" s="337"/>
      <c r="K91" s="92"/>
      <c r="L91" s="958">
        <f t="shared" si="8"/>
        <v>42948</v>
      </c>
      <c r="M91" s="958">
        <f t="shared" si="9"/>
        <v>43312</v>
      </c>
      <c r="N91" s="928">
        <f t="shared" si="7"/>
        <v>365</v>
      </c>
      <c r="O91" s="823">
        <f t="shared" si="10"/>
        <v>0</v>
      </c>
      <c r="P91" s="92"/>
      <c r="Q91" s="828" t="str">
        <f>IF(O91=0,"",(VLOOKUP(G91,tab!$D$52:$E$94,2,FALSE))*O91)</f>
        <v/>
      </c>
      <c r="R91" s="829" t="str">
        <f>IF(O91=0,"",(IF(Q91=0,0,Q91*geg!$H$42)))</f>
        <v/>
      </c>
      <c r="S91" s="98"/>
      <c r="T91" s="37"/>
    </row>
    <row r="92" spans="2:20" ht="12.75" customHeight="1" x14ac:dyDescent="0.2">
      <c r="B92" s="34"/>
      <c r="C92" s="91"/>
      <c r="D92" s="192" t="str">
        <f>IF('form t'!D92="","",'form t'!D92)</f>
        <v/>
      </c>
      <c r="E92" s="192" t="str">
        <f>IF('form t'!E92="","",'form t'!E92)</f>
        <v/>
      </c>
      <c r="F92" s="155" t="str">
        <f>IF('form t'!F92="","",'form t'!F92)</f>
        <v/>
      </c>
      <c r="G92" s="155" t="str">
        <f>IF('form t'!G92="","",'form t'!G92)</f>
        <v/>
      </c>
      <c r="H92" s="336" t="str">
        <f>IF('form t'!H92="","",'form t'!H92)</f>
        <v/>
      </c>
      <c r="I92" s="337"/>
      <c r="J92" s="337"/>
      <c r="K92" s="92"/>
      <c r="L92" s="958">
        <f t="shared" si="8"/>
        <v>42948</v>
      </c>
      <c r="M92" s="958">
        <f t="shared" si="9"/>
        <v>43312</v>
      </c>
      <c r="N92" s="928">
        <f t="shared" si="7"/>
        <v>365</v>
      </c>
      <c r="O92" s="823">
        <f t="shared" si="10"/>
        <v>0</v>
      </c>
      <c r="P92" s="92"/>
      <c r="Q92" s="828" t="str">
        <f>IF(O92=0,"",(VLOOKUP(G92,tab!$D$52:$E$94,2,FALSE))*O92)</f>
        <v/>
      </c>
      <c r="R92" s="829" t="str">
        <f>IF(O92=0,"",(IF(Q92=0,0,Q92*geg!$H$42)))</f>
        <v/>
      </c>
      <c r="S92" s="98"/>
      <c r="T92" s="37"/>
    </row>
    <row r="93" spans="2:20" ht="12.75" customHeight="1" x14ac:dyDescent="0.2">
      <c r="B93" s="34"/>
      <c r="C93" s="91"/>
      <c r="D93" s="192" t="str">
        <f>IF('form t'!D93="","",'form t'!D93)</f>
        <v/>
      </c>
      <c r="E93" s="192" t="str">
        <f>IF('form t'!E93="","",'form t'!E93)</f>
        <v/>
      </c>
      <c r="F93" s="155" t="str">
        <f>IF('form t'!F93="","",'form t'!F93)</f>
        <v/>
      </c>
      <c r="G93" s="155" t="str">
        <f>IF('form t'!G93="","",'form t'!G93)</f>
        <v/>
      </c>
      <c r="H93" s="336" t="str">
        <f>IF('form t'!H93="","",'form t'!H93)</f>
        <v/>
      </c>
      <c r="I93" s="337"/>
      <c r="J93" s="337"/>
      <c r="K93" s="92"/>
      <c r="L93" s="958">
        <f t="shared" si="8"/>
        <v>42948</v>
      </c>
      <c r="M93" s="958">
        <f t="shared" si="9"/>
        <v>43312</v>
      </c>
      <c r="N93" s="928">
        <f t="shared" si="7"/>
        <v>365</v>
      </c>
      <c r="O93" s="823">
        <f t="shared" si="10"/>
        <v>0</v>
      </c>
      <c r="P93" s="92"/>
      <c r="Q93" s="828" t="str">
        <f>IF(O93=0,"",(VLOOKUP(G93,tab!$D$52:$E$94,2,FALSE))*O93)</f>
        <v/>
      </c>
      <c r="R93" s="829" t="str">
        <f>IF(O93=0,"",(IF(Q93=0,0,Q93*geg!$H$42)))</f>
        <v/>
      </c>
      <c r="S93" s="98"/>
      <c r="T93" s="37"/>
    </row>
    <row r="94" spans="2:20" ht="12.75" customHeight="1" x14ac:dyDescent="0.2">
      <c r="B94" s="34"/>
      <c r="C94" s="91"/>
      <c r="D94" s="192" t="str">
        <f>IF('form t'!D94="","",'form t'!D94)</f>
        <v/>
      </c>
      <c r="E94" s="192" t="str">
        <f>IF('form t'!E94="","",'form t'!E94)</f>
        <v/>
      </c>
      <c r="F94" s="155" t="str">
        <f>IF('form t'!F94="","",'form t'!F94)</f>
        <v/>
      </c>
      <c r="G94" s="155" t="str">
        <f>IF('form t'!G94="","",'form t'!G94)</f>
        <v/>
      </c>
      <c r="H94" s="336" t="str">
        <f>IF('form t'!H94="","",'form t'!H94)</f>
        <v/>
      </c>
      <c r="I94" s="337"/>
      <c r="J94" s="337"/>
      <c r="K94" s="92"/>
      <c r="L94" s="958">
        <f t="shared" si="8"/>
        <v>42948</v>
      </c>
      <c r="M94" s="958">
        <f t="shared" si="9"/>
        <v>43312</v>
      </c>
      <c r="N94" s="928">
        <f t="shared" si="7"/>
        <v>365</v>
      </c>
      <c r="O94" s="823">
        <f t="shared" si="10"/>
        <v>0</v>
      </c>
      <c r="P94" s="92"/>
      <c r="Q94" s="828" t="str">
        <f>IF(O94=0,"",(VLOOKUP(G94,tab!$D$52:$E$94,2,FALSE))*O94)</f>
        <v/>
      </c>
      <c r="R94" s="829" t="str">
        <f>IF(O94=0,"",(IF(Q94=0,0,Q94*geg!$H$42)))</f>
        <v/>
      </c>
      <c r="S94" s="98"/>
      <c r="T94" s="37"/>
    </row>
    <row r="95" spans="2:20" ht="12.75" customHeight="1" x14ac:dyDescent="0.2">
      <c r="B95" s="34"/>
      <c r="C95" s="91"/>
      <c r="D95" s="192" t="str">
        <f>IF('form t'!D95="","",'form t'!D95)</f>
        <v/>
      </c>
      <c r="E95" s="192" t="str">
        <f>IF('form t'!E95="","",'form t'!E95)</f>
        <v/>
      </c>
      <c r="F95" s="155" t="str">
        <f>IF('form t'!F95="","",'form t'!F95)</f>
        <v/>
      </c>
      <c r="G95" s="155" t="str">
        <f>IF('form t'!G95="","",'form t'!G95)</f>
        <v/>
      </c>
      <c r="H95" s="336" t="str">
        <f>IF('form t'!H95="","",'form t'!H95)</f>
        <v/>
      </c>
      <c r="I95" s="337"/>
      <c r="J95" s="337"/>
      <c r="K95" s="92"/>
      <c r="L95" s="958">
        <f t="shared" si="8"/>
        <v>42948</v>
      </c>
      <c r="M95" s="958">
        <f t="shared" si="9"/>
        <v>43312</v>
      </c>
      <c r="N95" s="928">
        <f t="shared" si="7"/>
        <v>365</v>
      </c>
      <c r="O95" s="823">
        <f t="shared" si="10"/>
        <v>0</v>
      </c>
      <c r="P95" s="92"/>
      <c r="Q95" s="828" t="str">
        <f>IF(O95=0,"",(VLOOKUP(G95,tab!$D$52:$E$94,2,FALSE))*O95)</f>
        <v/>
      </c>
      <c r="R95" s="829" t="str">
        <f>IF(O95=0,"",(IF(Q95=0,0,Q95*geg!$H$42)))</f>
        <v/>
      </c>
      <c r="S95" s="98"/>
      <c r="T95" s="37"/>
    </row>
    <row r="96" spans="2:20" ht="12.75" customHeight="1" x14ac:dyDescent="0.2">
      <c r="B96" s="34"/>
      <c r="C96" s="91"/>
      <c r="D96" s="192" t="str">
        <f>IF('form t'!D96="","",'form t'!D96)</f>
        <v/>
      </c>
      <c r="E96" s="192" t="str">
        <f>IF('form t'!E96="","",'form t'!E96)</f>
        <v/>
      </c>
      <c r="F96" s="155" t="str">
        <f>IF('form t'!F96="","",'form t'!F96)</f>
        <v/>
      </c>
      <c r="G96" s="155" t="str">
        <f>IF('form t'!G96="","",'form t'!G96)</f>
        <v/>
      </c>
      <c r="H96" s="336" t="str">
        <f>IF('form t'!H96="","",'form t'!H96)</f>
        <v/>
      </c>
      <c r="I96" s="337"/>
      <c r="J96" s="337"/>
      <c r="K96" s="92"/>
      <c r="L96" s="958">
        <f t="shared" si="8"/>
        <v>42948</v>
      </c>
      <c r="M96" s="958">
        <f t="shared" si="9"/>
        <v>43312</v>
      </c>
      <c r="N96" s="928">
        <f t="shared" si="7"/>
        <v>365</v>
      </c>
      <c r="O96" s="823">
        <f t="shared" si="10"/>
        <v>0</v>
      </c>
      <c r="P96" s="92"/>
      <c r="Q96" s="828" t="str">
        <f>IF(O96=0,"",(VLOOKUP(G96,tab!$D$52:$E$94,2,FALSE))*O96)</f>
        <v/>
      </c>
      <c r="R96" s="829" t="str">
        <f>IF(O96=0,"",(IF(Q96=0,0,Q96*geg!$H$42)))</f>
        <v/>
      </c>
      <c r="S96" s="98"/>
      <c r="T96" s="37"/>
    </row>
    <row r="97" spans="2:35" ht="12.75" customHeight="1" x14ac:dyDescent="0.2">
      <c r="B97" s="34"/>
      <c r="C97" s="91"/>
      <c r="D97" s="192" t="str">
        <f>IF('form t'!D97="","",'form t'!D97)</f>
        <v/>
      </c>
      <c r="E97" s="192" t="str">
        <f>IF('form t'!E97="","",'form t'!E97)</f>
        <v/>
      </c>
      <c r="F97" s="155" t="str">
        <f>IF('form t'!F97="","",'form t'!F97)</f>
        <v/>
      </c>
      <c r="G97" s="155" t="str">
        <f>IF('form t'!G97="","",'form t'!G97)</f>
        <v/>
      </c>
      <c r="H97" s="336" t="str">
        <f>IF('form t'!H97="","",'form t'!H97)</f>
        <v/>
      </c>
      <c r="I97" s="337"/>
      <c r="J97" s="337"/>
      <c r="K97" s="92"/>
      <c r="L97" s="958">
        <f t="shared" si="8"/>
        <v>42948</v>
      </c>
      <c r="M97" s="958">
        <f t="shared" si="9"/>
        <v>43312</v>
      </c>
      <c r="N97" s="928">
        <f t="shared" si="7"/>
        <v>365</v>
      </c>
      <c r="O97" s="823">
        <f t="shared" si="10"/>
        <v>0</v>
      </c>
      <c r="P97" s="92"/>
      <c r="Q97" s="828" t="str">
        <f>IF(O97=0,"",(VLOOKUP(G97,tab!$D$52:$E$94,2,FALSE))*O97)</f>
        <v/>
      </c>
      <c r="R97" s="829" t="str">
        <f>IF(O97=0,"",(IF(Q97=0,0,Q97*geg!$H$42)))</f>
        <v/>
      </c>
      <c r="S97" s="98"/>
      <c r="T97" s="37"/>
    </row>
    <row r="98" spans="2:35" ht="12.75" customHeight="1" x14ac:dyDescent="0.2">
      <c r="B98" s="34"/>
      <c r="C98" s="91"/>
      <c r="D98" s="192" t="str">
        <f>IF('form t'!D98="","",'form t'!D98)</f>
        <v/>
      </c>
      <c r="E98" s="192" t="str">
        <f>IF('form t'!E98="","",'form t'!E98)</f>
        <v/>
      </c>
      <c r="F98" s="155" t="str">
        <f>IF('form t'!F98="","",'form t'!F98)</f>
        <v/>
      </c>
      <c r="G98" s="155" t="str">
        <f>IF('form t'!G98="","",'form t'!G98)</f>
        <v/>
      </c>
      <c r="H98" s="336" t="str">
        <f>IF('form t'!H98="","",'form t'!H98)</f>
        <v/>
      </c>
      <c r="I98" s="337"/>
      <c r="J98" s="337"/>
      <c r="K98" s="92"/>
      <c r="L98" s="958">
        <f t="shared" si="8"/>
        <v>42948</v>
      </c>
      <c r="M98" s="958">
        <f t="shared" si="9"/>
        <v>43312</v>
      </c>
      <c r="N98" s="928">
        <f t="shared" si="7"/>
        <v>365</v>
      </c>
      <c r="O98" s="823">
        <f t="shared" si="10"/>
        <v>0</v>
      </c>
      <c r="P98" s="92"/>
      <c r="Q98" s="828" t="str">
        <f>IF(O98=0,"",(VLOOKUP(G98,tab!$D$52:$E$94,2,FALSE))*O98)</f>
        <v/>
      </c>
      <c r="R98" s="829" t="str">
        <f>IF(O98=0,"",(IF(Q98=0,0,Q98*geg!$H$42)))</f>
        <v/>
      </c>
      <c r="S98" s="98"/>
      <c r="T98" s="37"/>
    </row>
    <row r="99" spans="2:35" ht="12.75" customHeight="1" x14ac:dyDescent="0.2">
      <c r="B99" s="34"/>
      <c r="C99" s="91"/>
      <c r="D99" s="192" t="str">
        <f>IF('form t'!D99="","",'form t'!D99)</f>
        <v/>
      </c>
      <c r="E99" s="192" t="str">
        <f>IF('form t'!E99="","",'form t'!E99)</f>
        <v/>
      </c>
      <c r="F99" s="155" t="str">
        <f>IF('form t'!F99="","",'form t'!F99)</f>
        <v/>
      </c>
      <c r="G99" s="155" t="str">
        <f>IF('form t'!G99="","",'form t'!G99)</f>
        <v/>
      </c>
      <c r="H99" s="336" t="str">
        <f>IF('form t'!H99="","",'form t'!H99)</f>
        <v/>
      </c>
      <c r="I99" s="337"/>
      <c r="J99" s="337"/>
      <c r="K99" s="92"/>
      <c r="L99" s="958">
        <f t="shared" si="8"/>
        <v>42948</v>
      </c>
      <c r="M99" s="958">
        <f t="shared" si="9"/>
        <v>43312</v>
      </c>
      <c r="N99" s="928">
        <f t="shared" si="7"/>
        <v>365</v>
      </c>
      <c r="O99" s="823">
        <f t="shared" si="10"/>
        <v>0</v>
      </c>
      <c r="P99" s="92"/>
      <c r="Q99" s="828" t="str">
        <f>IF(O99=0,"",(VLOOKUP(G99,tab!$D$52:$E$94,2,FALSE))*O99)</f>
        <v/>
      </c>
      <c r="R99" s="829" t="str">
        <f>IF(O99=0,"",(IF(Q99=0,0,Q99*geg!$H$42)))</f>
        <v/>
      </c>
      <c r="S99" s="98"/>
      <c r="T99" s="37"/>
    </row>
    <row r="100" spans="2:35" ht="12.75" customHeight="1" x14ac:dyDescent="0.2">
      <c r="B100" s="34"/>
      <c r="C100" s="91"/>
      <c r="D100" s="192" t="str">
        <f>IF('form t'!D100="","",'form t'!D100)</f>
        <v/>
      </c>
      <c r="E100" s="192" t="str">
        <f>IF('form t'!E100="","",'form t'!E100)</f>
        <v/>
      </c>
      <c r="F100" s="155" t="str">
        <f>IF('form t'!F100="","",'form t'!F100)</f>
        <v/>
      </c>
      <c r="G100" s="155" t="str">
        <f>IF('form t'!G100="","",'form t'!G100)</f>
        <v/>
      </c>
      <c r="H100" s="336" t="str">
        <f>IF('form t'!H100="","",'form t'!H100)</f>
        <v/>
      </c>
      <c r="I100" s="337"/>
      <c r="J100" s="337"/>
      <c r="K100" s="92"/>
      <c r="L100" s="958">
        <f t="shared" si="8"/>
        <v>42948</v>
      </c>
      <c r="M100" s="958">
        <f t="shared" si="9"/>
        <v>43312</v>
      </c>
      <c r="N100" s="928">
        <f t="shared" si="7"/>
        <v>365</v>
      </c>
      <c r="O100" s="823">
        <f t="shared" si="10"/>
        <v>0</v>
      </c>
      <c r="P100" s="92"/>
      <c r="Q100" s="828" t="str">
        <f>IF(O100=0,"",(VLOOKUP(G100,tab!$D$52:$E$94,2,FALSE))*O100)</f>
        <v/>
      </c>
      <c r="R100" s="829" t="str">
        <f>IF(O100=0,"",(IF(Q100=0,0,Q100*geg!$H$42)))</f>
        <v/>
      </c>
      <c r="S100" s="98"/>
      <c r="T100" s="37"/>
    </row>
    <row r="101" spans="2:35" ht="12.75" customHeight="1" x14ac:dyDescent="0.2">
      <c r="B101" s="34"/>
      <c r="C101" s="91"/>
      <c r="D101" s="192" t="str">
        <f>IF('form t'!D101="","",'form t'!D101)</f>
        <v/>
      </c>
      <c r="E101" s="192" t="str">
        <f>IF('form t'!E101="","",'form t'!E101)</f>
        <v/>
      </c>
      <c r="F101" s="155" t="str">
        <f>IF('form t'!F101="","",'form t'!F101)</f>
        <v/>
      </c>
      <c r="G101" s="155" t="str">
        <f>IF('form t'!G101="","",'form t'!G101)</f>
        <v/>
      </c>
      <c r="H101" s="336" t="str">
        <f>IF('form t'!H101="","",'form t'!H101)</f>
        <v/>
      </c>
      <c r="I101" s="337"/>
      <c r="J101" s="337"/>
      <c r="K101" s="92"/>
      <c r="L101" s="958">
        <f t="shared" si="8"/>
        <v>42948</v>
      </c>
      <c r="M101" s="958">
        <f t="shared" si="9"/>
        <v>43312</v>
      </c>
      <c r="N101" s="928">
        <f t="shared" si="7"/>
        <v>365</v>
      </c>
      <c r="O101" s="823">
        <f t="shared" si="10"/>
        <v>0</v>
      </c>
      <c r="P101" s="92"/>
      <c r="Q101" s="828" t="str">
        <f>IF(O101=0,"",(VLOOKUP(G101,tab!$D$52:$E$94,2,FALSE))*O101)</f>
        <v/>
      </c>
      <c r="R101" s="829" t="str">
        <f>IF(O101=0,"",(IF(Q101=0,0,Q101*geg!$H$42)))</f>
        <v/>
      </c>
      <c r="S101" s="98"/>
      <c r="T101" s="37"/>
    </row>
    <row r="102" spans="2:35" ht="12.75" customHeight="1" x14ac:dyDescent="0.2">
      <c r="B102" s="34"/>
      <c r="C102" s="91"/>
      <c r="D102" s="192" t="str">
        <f>IF('form t'!D102="","",'form t'!D102)</f>
        <v/>
      </c>
      <c r="E102" s="192" t="str">
        <f>IF('form t'!E102="","",'form t'!E102)</f>
        <v/>
      </c>
      <c r="F102" s="155" t="str">
        <f>IF('form t'!F102="","",'form t'!F102)</f>
        <v/>
      </c>
      <c r="G102" s="155" t="str">
        <f>IF('form t'!G102="","",'form t'!G102)</f>
        <v/>
      </c>
      <c r="H102" s="336" t="str">
        <f>IF('form t'!H102="","",'form t'!H102)</f>
        <v/>
      </c>
      <c r="I102" s="337"/>
      <c r="J102" s="337"/>
      <c r="K102" s="92"/>
      <c r="L102" s="958">
        <f t="shared" si="8"/>
        <v>42948</v>
      </c>
      <c r="M102" s="958">
        <f t="shared" si="9"/>
        <v>43312</v>
      </c>
      <c r="N102" s="928">
        <f t="shared" si="7"/>
        <v>365</v>
      </c>
      <c r="O102" s="823">
        <f t="shared" si="10"/>
        <v>0</v>
      </c>
      <c r="P102" s="92"/>
      <c r="Q102" s="828" t="str">
        <f>IF(O102=0,"",(VLOOKUP(G102,tab!$D$52:$E$94,2,FALSE))*O102)</f>
        <v/>
      </c>
      <c r="R102" s="829" t="str">
        <f>IF(O102=0,"",(IF(Q102=0,0,Q102*geg!$H$42)))</f>
        <v/>
      </c>
      <c r="S102" s="98"/>
      <c r="T102" s="37"/>
    </row>
    <row r="103" spans="2:35" ht="12.75" customHeight="1" x14ac:dyDescent="0.2">
      <c r="B103" s="34"/>
      <c r="C103" s="91"/>
      <c r="D103" s="192" t="str">
        <f>IF('form t'!D103="","",'form t'!D103)</f>
        <v/>
      </c>
      <c r="E103" s="192" t="str">
        <f>IF('form t'!E103="","",'form t'!E103)</f>
        <v/>
      </c>
      <c r="F103" s="155" t="str">
        <f>IF('form t'!F103="","",'form t'!F103)</f>
        <v/>
      </c>
      <c r="G103" s="155" t="str">
        <f>IF('form t'!G103="","",'form t'!G103)</f>
        <v/>
      </c>
      <c r="H103" s="336" t="str">
        <f>IF('form t'!H103="","",'form t'!H103)</f>
        <v/>
      </c>
      <c r="I103" s="337"/>
      <c r="J103" s="337"/>
      <c r="K103" s="92"/>
      <c r="L103" s="958">
        <f t="shared" si="8"/>
        <v>42948</v>
      </c>
      <c r="M103" s="958">
        <f t="shared" si="9"/>
        <v>43312</v>
      </c>
      <c r="N103" s="928">
        <f t="shared" si="7"/>
        <v>365</v>
      </c>
      <c r="O103" s="823">
        <f t="shared" si="10"/>
        <v>0</v>
      </c>
      <c r="P103" s="92"/>
      <c r="Q103" s="828" t="str">
        <f>IF(O103=0,"",(VLOOKUP(G103,tab!$D$52:$E$94,2,FALSE))*O103)</f>
        <v/>
      </c>
      <c r="R103" s="829" t="str">
        <f>IF(O103=0,"",(IF(Q103=0,0,Q103*geg!$H$42)))</f>
        <v/>
      </c>
      <c r="S103" s="98"/>
      <c r="T103" s="37"/>
    </row>
    <row r="104" spans="2:35" ht="12.75" customHeight="1" x14ac:dyDescent="0.2">
      <c r="B104" s="34"/>
      <c r="C104" s="91"/>
      <c r="D104" s="192" t="str">
        <f>IF('form t'!D104="","",'form t'!D104)</f>
        <v/>
      </c>
      <c r="E104" s="192" t="str">
        <f>IF('form t'!E104="","",'form t'!E104)</f>
        <v/>
      </c>
      <c r="F104" s="155" t="str">
        <f>IF('form t'!F104="","",'form t'!F104)</f>
        <v/>
      </c>
      <c r="G104" s="155" t="str">
        <f>IF('form t'!G104="","",'form t'!G104)</f>
        <v/>
      </c>
      <c r="H104" s="336" t="str">
        <f>IF('form t'!H104="","",'form t'!H104)</f>
        <v/>
      </c>
      <c r="I104" s="337"/>
      <c r="J104" s="337"/>
      <c r="K104" s="92"/>
      <c r="L104" s="958">
        <f t="shared" si="8"/>
        <v>42948</v>
      </c>
      <c r="M104" s="958">
        <f t="shared" si="9"/>
        <v>43312</v>
      </c>
      <c r="N104" s="928">
        <f t="shared" si="7"/>
        <v>365</v>
      </c>
      <c r="O104" s="823">
        <f t="shared" si="10"/>
        <v>0</v>
      </c>
      <c r="P104" s="92"/>
      <c r="Q104" s="828" t="str">
        <f>IF(O104=0,"",(VLOOKUP(G104,tab!$D$52:$E$94,2,FALSE))*O104)</f>
        <v/>
      </c>
      <c r="R104" s="829" t="str">
        <f>IF(O104=0,"",(IF(Q104=0,0,Q104*geg!$H$42)))</f>
        <v/>
      </c>
      <c r="S104" s="98"/>
      <c r="T104" s="37"/>
    </row>
    <row r="105" spans="2:35" ht="12.75" customHeight="1" x14ac:dyDescent="0.2">
      <c r="B105" s="34"/>
      <c r="C105" s="91"/>
      <c r="D105" s="192" t="str">
        <f>IF('form t'!D105="","",'form t'!D105)</f>
        <v/>
      </c>
      <c r="E105" s="192" t="str">
        <f>IF('form t'!E105="","",'form t'!E105)</f>
        <v/>
      </c>
      <c r="F105" s="155" t="str">
        <f>IF('form t'!F105="","",'form t'!F105)</f>
        <v/>
      </c>
      <c r="G105" s="155" t="str">
        <f>IF('form t'!G105="","",'form t'!G105)</f>
        <v/>
      </c>
      <c r="H105" s="336" t="str">
        <f>IF('form t'!H105="","",'form t'!H105)</f>
        <v/>
      </c>
      <c r="I105" s="337"/>
      <c r="J105" s="337"/>
      <c r="K105" s="92"/>
      <c r="L105" s="958">
        <f t="shared" si="8"/>
        <v>42948</v>
      </c>
      <c r="M105" s="958">
        <f t="shared" si="9"/>
        <v>43312</v>
      </c>
      <c r="N105" s="928">
        <f t="shared" si="7"/>
        <v>365</v>
      </c>
      <c r="O105" s="823">
        <f t="shared" si="10"/>
        <v>0</v>
      </c>
      <c r="P105" s="92"/>
      <c r="Q105" s="828" t="str">
        <f>IF(O105=0,"",(VLOOKUP(G105,tab!$D$52:$E$94,2,FALSE))*O105)</f>
        <v/>
      </c>
      <c r="R105" s="829" t="str">
        <f>IF(O105=0,"",(IF(Q105=0,0,Q105*geg!$H$42)))</f>
        <v/>
      </c>
      <c r="S105" s="98"/>
      <c r="T105" s="37"/>
    </row>
    <row r="106" spans="2:35" ht="12.75" customHeight="1" x14ac:dyDescent="0.2">
      <c r="B106" s="34"/>
      <c r="C106" s="91"/>
      <c r="D106" s="192" t="str">
        <f>IF('form t'!D106="","",'form t'!D106)</f>
        <v/>
      </c>
      <c r="E106" s="192" t="str">
        <f>IF('form t'!E106="","",'form t'!E106)</f>
        <v/>
      </c>
      <c r="F106" s="155" t="str">
        <f>IF('form t'!F106="","",'form t'!F106)</f>
        <v/>
      </c>
      <c r="G106" s="155" t="str">
        <f>IF('form t'!G106="","",'form t'!G106)</f>
        <v/>
      </c>
      <c r="H106" s="336" t="str">
        <f>IF('form t'!H106="","",'form t'!H106)</f>
        <v/>
      </c>
      <c r="I106" s="337"/>
      <c r="J106" s="337"/>
      <c r="K106" s="92"/>
      <c r="L106" s="958">
        <f t="shared" si="8"/>
        <v>42948</v>
      </c>
      <c r="M106" s="958">
        <f t="shared" si="9"/>
        <v>43312</v>
      </c>
      <c r="N106" s="928">
        <f t="shared" si="7"/>
        <v>365</v>
      </c>
      <c r="O106" s="823">
        <f t="shared" si="10"/>
        <v>0</v>
      </c>
      <c r="P106" s="92"/>
      <c r="Q106" s="828" t="str">
        <f>IF(O106=0,"",(VLOOKUP(G106,tab!$D$52:$E$94,2,FALSE))*O106)</f>
        <v/>
      </c>
      <c r="R106" s="829" t="str">
        <f>IF(O106=0,"",(IF(Q106=0,0,Q106*geg!$H$42)))</f>
        <v/>
      </c>
      <c r="S106" s="98"/>
      <c r="T106" s="37"/>
    </row>
    <row r="107" spans="2:35" ht="12.75" customHeight="1" x14ac:dyDescent="0.2">
      <c r="B107" s="34"/>
      <c r="C107" s="91"/>
      <c r="D107" s="192" t="str">
        <f>IF('form t'!D107="","",'form t'!D107)</f>
        <v/>
      </c>
      <c r="E107" s="192" t="str">
        <f>IF('form t'!E107="","",'form t'!E107)</f>
        <v/>
      </c>
      <c r="F107" s="155" t="str">
        <f>IF('form t'!F107="","",'form t'!F107)</f>
        <v/>
      </c>
      <c r="G107" s="155" t="str">
        <f>IF('form t'!G107="","",'form t'!G107)</f>
        <v/>
      </c>
      <c r="H107" s="336" t="str">
        <f>IF('form t'!H107="","",'form t'!H107)</f>
        <v/>
      </c>
      <c r="I107" s="337"/>
      <c r="J107" s="337"/>
      <c r="K107" s="92"/>
      <c r="L107" s="958">
        <f t="shared" si="8"/>
        <v>42948</v>
      </c>
      <c r="M107" s="958">
        <f t="shared" si="9"/>
        <v>43312</v>
      </c>
      <c r="N107" s="928">
        <f t="shared" si="7"/>
        <v>365</v>
      </c>
      <c r="O107" s="823">
        <f>IF(H107="",0,(H107*N107/$N$8))</f>
        <v>0</v>
      </c>
      <c r="P107" s="92"/>
      <c r="Q107" s="828" t="str">
        <f>IF(O107=0,"",(VLOOKUP(G107,tab!$D$52:$E$94,2,FALSE))*O107)</f>
        <v/>
      </c>
      <c r="R107" s="829" t="str">
        <f>IF(O107=0,"",(IF(Q107=0,0,Q107*geg!$H$42)))</f>
        <v/>
      </c>
      <c r="S107" s="98"/>
      <c r="T107" s="37"/>
    </row>
    <row r="108" spans="2:35" ht="12.75" customHeight="1" x14ac:dyDescent="0.2">
      <c r="B108" s="34"/>
      <c r="C108" s="91"/>
      <c r="D108" s="192" t="str">
        <f>IF('form t'!D108="","",'form t'!D108)</f>
        <v/>
      </c>
      <c r="E108" s="192" t="str">
        <f>IF('form t'!E108="","",'form t'!E108)</f>
        <v/>
      </c>
      <c r="F108" s="155" t="str">
        <f>IF('form t'!F108="","",'form t'!F108)</f>
        <v/>
      </c>
      <c r="G108" s="155" t="str">
        <f>IF('form t'!G108="","",'form t'!G108)</f>
        <v/>
      </c>
      <c r="H108" s="336" t="str">
        <f>IF('form t'!H108="","",'form t'!H108)</f>
        <v/>
      </c>
      <c r="I108" s="337"/>
      <c r="J108" s="337"/>
      <c r="K108" s="92"/>
      <c r="L108" s="958">
        <f>IF(I108=0,$L$8,I108)</f>
        <v>42948</v>
      </c>
      <c r="M108" s="958">
        <f>IF(J108=0,$M$8,J108)</f>
        <v>43312</v>
      </c>
      <c r="N108" s="928">
        <f>M108-L108+1</f>
        <v>365</v>
      </c>
      <c r="O108" s="823">
        <f>IF(H108="",0,(H108*N108/$N$8))</f>
        <v>0</v>
      </c>
      <c r="P108" s="92"/>
      <c r="Q108" s="828" t="str">
        <f>IF(O108=0,"",(VLOOKUP(G108,tab!$D$52:$E$94,2,FALSE))*O108)</f>
        <v/>
      </c>
      <c r="R108" s="829" t="str">
        <f>IF(O108=0,"",(IF(Q108=0,0,Q108*geg!$H$42)))</f>
        <v/>
      </c>
      <c r="S108" s="98"/>
      <c r="T108" s="37"/>
    </row>
    <row r="109" spans="2:35" ht="12.75" customHeight="1" x14ac:dyDescent="0.2">
      <c r="B109" s="34"/>
      <c r="C109" s="91"/>
      <c r="D109" s="192" t="str">
        <f>IF('form t'!D109="","",'form t'!D109)</f>
        <v/>
      </c>
      <c r="E109" s="192" t="str">
        <f>IF('form t'!E109="","",'form t'!E109)</f>
        <v/>
      </c>
      <c r="F109" s="155" t="str">
        <f>IF('form t'!F109="","",'form t'!F109)</f>
        <v/>
      </c>
      <c r="G109" s="155" t="str">
        <f>IF('form t'!G109="","",'form t'!G109)</f>
        <v/>
      </c>
      <c r="H109" s="336" t="str">
        <f>IF('form t'!H109="","",'form t'!H109)</f>
        <v/>
      </c>
      <c r="I109" s="337"/>
      <c r="J109" s="337"/>
      <c r="K109" s="92"/>
      <c r="L109" s="958">
        <f>IF(I109=0,$L$8,I109)</f>
        <v>42948</v>
      </c>
      <c r="M109" s="958">
        <f>IF(J109=0,$M$8,J109)</f>
        <v>43312</v>
      </c>
      <c r="N109" s="928">
        <f>M109-L109+1</f>
        <v>365</v>
      </c>
      <c r="O109" s="823">
        <f>IF(H109="",0,(H109*N109/$N$8))</f>
        <v>0</v>
      </c>
      <c r="P109" s="92"/>
      <c r="Q109" s="828" t="str">
        <f>IF(O109=0,"",(VLOOKUP(G109,tab!$D$52:$E$94,2,FALSE))*O109)</f>
        <v/>
      </c>
      <c r="R109" s="829" t="str">
        <f>IF(O109=0,"",(IF(Q109=0,0,Q109*geg!$H$42)))</f>
        <v/>
      </c>
      <c r="S109" s="98"/>
      <c r="T109" s="37"/>
    </row>
    <row r="110" spans="2:35" ht="12.75" customHeight="1" x14ac:dyDescent="0.2">
      <c r="B110" s="34"/>
      <c r="C110" s="91"/>
      <c r="D110" s="192" t="str">
        <f>IF('form t'!D110="","",'form t'!D110)</f>
        <v/>
      </c>
      <c r="E110" s="192" t="str">
        <f>IF('form t'!E110="","",'form t'!E110)</f>
        <v/>
      </c>
      <c r="F110" s="155" t="str">
        <f>IF('form t'!F110="","",'form t'!F110)</f>
        <v/>
      </c>
      <c r="G110" s="155" t="str">
        <f>IF('form t'!G110="","",'form t'!G110)</f>
        <v/>
      </c>
      <c r="H110" s="336" t="str">
        <f>IF('form t'!H110="","",'form t'!H110)</f>
        <v/>
      </c>
      <c r="I110" s="337"/>
      <c r="J110" s="337"/>
      <c r="K110" s="92"/>
      <c r="L110" s="958">
        <f t="shared" si="8"/>
        <v>42948</v>
      </c>
      <c r="M110" s="958">
        <f t="shared" si="9"/>
        <v>43312</v>
      </c>
      <c r="N110" s="928">
        <f>M110-L110+1</f>
        <v>365</v>
      </c>
      <c r="O110" s="823">
        <f>IF(H110="",0,(H110*N110/$N$8))</f>
        <v>0</v>
      </c>
      <c r="P110" s="92"/>
      <c r="Q110" s="828" t="str">
        <f>IF(O110=0,"",(VLOOKUP(G110,tab!$D$52:$E$94,2,FALSE))*O110)</f>
        <v/>
      </c>
      <c r="R110" s="829" t="str">
        <f>IF(O110=0,"",(IF(Q110=0,0,Q110*geg!$H$42)))</f>
        <v/>
      </c>
      <c r="S110" s="98"/>
      <c r="T110" s="37"/>
    </row>
    <row r="111" spans="2:35" ht="12.75" customHeight="1" x14ac:dyDescent="0.2">
      <c r="B111" s="34"/>
      <c r="C111" s="91"/>
      <c r="D111" s="334"/>
      <c r="E111" s="334"/>
      <c r="F111" s="334"/>
      <c r="G111" s="334"/>
      <c r="H111" s="334"/>
      <c r="I111" s="334"/>
      <c r="J111" s="334"/>
      <c r="K111" s="334"/>
      <c r="L111" s="334"/>
      <c r="M111" s="334"/>
      <c r="N111" s="334"/>
      <c r="O111" s="334"/>
      <c r="P111" s="334"/>
      <c r="Q111" s="334"/>
      <c r="R111" s="334"/>
      <c r="S111" s="98"/>
      <c r="T111" s="37"/>
    </row>
    <row r="112" spans="2:35" s="19" customFormat="1" ht="12.75" customHeight="1" x14ac:dyDescent="0.2">
      <c r="B112" s="58"/>
      <c r="C112" s="105"/>
      <c r="D112" s="220"/>
      <c r="E112" s="220"/>
      <c r="F112" s="116"/>
      <c r="G112" s="220"/>
      <c r="H112" s="268"/>
      <c r="I112" s="334"/>
      <c r="J112" s="334"/>
      <c r="K112" s="116"/>
      <c r="L112" s="334"/>
      <c r="M112" s="334"/>
      <c r="N112" s="335"/>
      <c r="O112" s="830">
        <f>SUM(O11:O110)</f>
        <v>1</v>
      </c>
      <c r="P112" s="116"/>
      <c r="Q112" s="831">
        <f>SUM(Q11:Q110)</f>
        <v>1</v>
      </c>
      <c r="R112" s="832">
        <f>SUM(R11:R110)</f>
        <v>61000</v>
      </c>
      <c r="S112" s="98"/>
      <c r="T112" s="178"/>
      <c r="AI112" s="5"/>
    </row>
    <row r="113" spans="2:20" ht="12.75" customHeight="1" x14ac:dyDescent="0.2">
      <c r="B113" s="34"/>
      <c r="C113" s="124"/>
      <c r="D113" s="223"/>
      <c r="E113" s="223"/>
      <c r="F113" s="125"/>
      <c r="G113" s="223"/>
      <c r="H113" s="223"/>
      <c r="I113" s="223"/>
      <c r="J113" s="280"/>
      <c r="K113" s="125"/>
      <c r="L113" s="223"/>
      <c r="M113" s="280"/>
      <c r="N113" s="280"/>
      <c r="O113" s="223"/>
      <c r="P113" s="125"/>
      <c r="Q113" s="223"/>
      <c r="R113" s="125"/>
      <c r="S113" s="126"/>
      <c r="T113" s="37"/>
    </row>
    <row r="114" spans="2:20" ht="12.75" customHeight="1" x14ac:dyDescent="0.2">
      <c r="B114" s="34"/>
      <c r="C114" s="35"/>
      <c r="D114" s="62"/>
      <c r="E114" s="62"/>
      <c r="F114" s="35"/>
      <c r="G114" s="62"/>
      <c r="H114" s="62"/>
      <c r="I114" s="62"/>
      <c r="J114" s="62"/>
      <c r="K114" s="35"/>
      <c r="L114" s="62"/>
      <c r="M114" s="62"/>
      <c r="N114" s="62"/>
      <c r="O114" s="62"/>
      <c r="P114" s="35"/>
      <c r="Q114" s="62"/>
      <c r="R114" s="35"/>
      <c r="S114" s="35"/>
      <c r="T114" s="37"/>
    </row>
    <row r="115" spans="2:20" ht="12.75" customHeight="1" x14ac:dyDescent="0.25">
      <c r="B115" s="329"/>
      <c r="C115" s="246"/>
      <c r="D115" s="246"/>
      <c r="E115" s="246"/>
      <c r="F115" s="246"/>
      <c r="G115" s="962"/>
      <c r="H115" s="246"/>
      <c r="I115" s="246"/>
      <c r="J115" s="246"/>
      <c r="K115" s="246"/>
      <c r="L115" s="246"/>
      <c r="M115" s="246"/>
      <c r="N115" s="246"/>
      <c r="O115" s="246"/>
      <c r="P115" s="246"/>
      <c r="Q115" s="246"/>
      <c r="R115" s="246"/>
      <c r="S115" s="330"/>
      <c r="T115" s="331"/>
    </row>
    <row r="116" spans="2:20" ht="12.75" customHeight="1" x14ac:dyDescent="0.2">
      <c r="D116" s="5"/>
      <c r="E116" s="5"/>
      <c r="H116" s="5"/>
      <c r="I116" s="5"/>
      <c r="J116" s="5"/>
      <c r="L116" s="5"/>
      <c r="M116" s="5"/>
      <c r="N116" s="5"/>
      <c r="O116" s="5"/>
      <c r="Q116" s="5"/>
    </row>
    <row r="117" spans="2:20" ht="12.75" customHeight="1" x14ac:dyDescent="0.2">
      <c r="D117" s="5"/>
      <c r="E117" s="5"/>
      <c r="H117" s="5"/>
      <c r="I117" s="5"/>
      <c r="J117" s="5"/>
      <c r="L117" s="5"/>
      <c r="M117" s="5"/>
      <c r="N117" s="5"/>
      <c r="O117" s="5"/>
      <c r="Q117" s="5"/>
    </row>
    <row r="118" spans="2:20" ht="12.75" customHeight="1" x14ac:dyDescent="0.2">
      <c r="D118" s="5"/>
      <c r="E118" s="5"/>
      <c r="H118" s="5"/>
      <c r="I118" s="5"/>
      <c r="J118" s="5"/>
      <c r="L118" s="5"/>
      <c r="M118" s="5"/>
      <c r="N118" s="5"/>
      <c r="O118" s="5"/>
      <c r="Q118" s="5"/>
    </row>
    <row r="119" spans="2:20" ht="12.75" customHeight="1" x14ac:dyDescent="0.2">
      <c r="D119" s="5"/>
      <c r="E119" s="5"/>
      <c r="H119" s="5"/>
      <c r="I119" s="5"/>
      <c r="J119" s="5"/>
      <c r="L119" s="5"/>
      <c r="M119" s="5"/>
      <c r="N119" s="5"/>
      <c r="O119" s="5"/>
      <c r="Q119" s="5"/>
    </row>
    <row r="120" spans="2:20" ht="12.75" customHeight="1" x14ac:dyDescent="0.2">
      <c r="D120" s="5"/>
      <c r="E120" s="5"/>
      <c r="H120" s="5"/>
      <c r="I120" s="5"/>
      <c r="J120" s="5"/>
      <c r="L120" s="5"/>
      <c r="M120" s="5"/>
      <c r="N120" s="5"/>
      <c r="O120" s="5"/>
      <c r="Q120" s="5"/>
    </row>
    <row r="121" spans="2:20" ht="12.75" customHeight="1" x14ac:dyDescent="0.2">
      <c r="D121" s="5"/>
      <c r="E121" s="5"/>
      <c r="H121" s="5"/>
      <c r="I121" s="5"/>
      <c r="J121" s="5"/>
      <c r="L121" s="5"/>
      <c r="M121" s="5"/>
      <c r="N121" s="5"/>
      <c r="O121" s="5"/>
      <c r="Q121" s="5"/>
    </row>
    <row r="122" spans="2:20" ht="12.75" customHeight="1" x14ac:dyDescent="0.2">
      <c r="D122" s="5"/>
      <c r="E122" s="5"/>
      <c r="H122" s="5"/>
      <c r="I122" s="5"/>
      <c r="J122" s="5"/>
      <c r="L122" s="5"/>
      <c r="M122" s="5"/>
      <c r="N122" s="5"/>
      <c r="O122" s="5"/>
      <c r="Q122" s="5"/>
    </row>
    <row r="123" spans="2:20" ht="12.75" customHeight="1" x14ac:dyDescent="0.2">
      <c r="D123" s="5"/>
      <c r="E123" s="5"/>
      <c r="H123" s="5"/>
      <c r="I123" s="5"/>
      <c r="J123" s="5"/>
      <c r="L123" s="5"/>
      <c r="M123" s="5"/>
      <c r="N123" s="5"/>
      <c r="O123" s="5"/>
      <c r="Q123" s="5"/>
    </row>
    <row r="124" spans="2:20" ht="12.75" customHeight="1" x14ac:dyDescent="0.2">
      <c r="D124" s="5"/>
      <c r="E124" s="5"/>
      <c r="H124" s="5"/>
      <c r="I124" s="5"/>
      <c r="J124" s="5"/>
      <c r="L124" s="5"/>
      <c r="M124" s="5"/>
      <c r="N124" s="5"/>
      <c r="O124" s="5"/>
      <c r="Q124" s="5"/>
    </row>
    <row r="125" spans="2:20" ht="12.75" customHeight="1" x14ac:dyDescent="0.2">
      <c r="D125" s="5"/>
      <c r="E125" s="5"/>
      <c r="H125" s="5"/>
      <c r="I125" s="5"/>
      <c r="J125" s="5"/>
      <c r="L125" s="5"/>
      <c r="M125" s="5"/>
      <c r="N125" s="5"/>
      <c r="O125" s="5"/>
      <c r="Q125" s="5"/>
    </row>
    <row r="126" spans="2:20" ht="12.75" customHeight="1" x14ac:dyDescent="0.2">
      <c r="D126" s="5"/>
      <c r="E126" s="5"/>
      <c r="H126" s="5"/>
      <c r="I126" s="5"/>
      <c r="J126" s="5"/>
      <c r="L126" s="5"/>
      <c r="M126" s="5"/>
      <c r="N126" s="5"/>
      <c r="O126" s="5"/>
      <c r="Q126" s="5"/>
    </row>
    <row r="127" spans="2:20" ht="12.75" customHeight="1" x14ac:dyDescent="0.2">
      <c r="D127" s="5"/>
      <c r="E127" s="5"/>
      <c r="H127" s="5"/>
      <c r="I127" s="5"/>
      <c r="J127" s="5"/>
      <c r="L127" s="5"/>
      <c r="M127" s="5"/>
      <c r="N127" s="5"/>
      <c r="O127" s="5"/>
      <c r="Q127" s="5"/>
    </row>
    <row r="128" spans="2:20" ht="12.75" customHeight="1" x14ac:dyDescent="0.2">
      <c r="D128" s="5"/>
      <c r="E128" s="5"/>
      <c r="H128" s="5"/>
      <c r="I128" s="5"/>
      <c r="J128" s="5"/>
      <c r="L128" s="5"/>
      <c r="M128" s="5"/>
      <c r="N128" s="5"/>
      <c r="O128" s="5"/>
      <c r="Q128" s="5"/>
    </row>
    <row r="129" spans="2:17" ht="12.75" customHeight="1" x14ac:dyDescent="0.2">
      <c r="D129" s="5"/>
      <c r="E129" s="5"/>
      <c r="H129" s="5"/>
      <c r="I129" s="5"/>
      <c r="J129" s="5"/>
      <c r="L129" s="5"/>
      <c r="M129" s="5"/>
      <c r="N129" s="5"/>
      <c r="O129" s="5"/>
      <c r="Q129" s="5"/>
    </row>
    <row r="130" spans="2:17" ht="12.75" customHeight="1" x14ac:dyDescent="0.2">
      <c r="D130" s="5"/>
      <c r="E130" s="5"/>
      <c r="H130" s="5"/>
      <c r="I130" s="5"/>
      <c r="J130" s="5"/>
      <c r="L130" s="5"/>
      <c r="M130" s="5"/>
      <c r="N130" s="5"/>
      <c r="O130" s="5"/>
      <c r="Q130" s="5"/>
    </row>
    <row r="131" spans="2:17" ht="12.75" customHeight="1" x14ac:dyDescent="0.2">
      <c r="B131" s="17"/>
      <c r="D131" s="5"/>
      <c r="E131" s="5"/>
      <c r="H131" s="5"/>
      <c r="I131" s="5"/>
      <c r="J131" s="5"/>
      <c r="L131" s="5"/>
      <c r="M131" s="5"/>
      <c r="N131" s="5"/>
      <c r="O131" s="5"/>
      <c r="Q131" s="5"/>
    </row>
    <row r="132" spans="2:17" ht="12.75" customHeight="1" x14ac:dyDescent="0.2">
      <c r="B132" s="17" t="s">
        <v>216</v>
      </c>
      <c r="D132" s="5"/>
      <c r="E132" s="5"/>
      <c r="H132" s="5"/>
      <c r="I132" s="5"/>
      <c r="J132" s="5"/>
      <c r="L132" s="5"/>
      <c r="M132" s="5"/>
      <c r="N132" s="5"/>
      <c r="O132" s="5"/>
      <c r="Q132" s="5"/>
    </row>
    <row r="133" spans="2:17" ht="12.75" customHeight="1" x14ac:dyDescent="0.2">
      <c r="B133" s="17" t="s">
        <v>218</v>
      </c>
      <c r="D133" s="5"/>
      <c r="E133" s="5"/>
      <c r="H133" s="5"/>
      <c r="I133" s="5"/>
      <c r="J133" s="5"/>
      <c r="L133" s="5"/>
      <c r="M133" s="5"/>
      <c r="N133" s="5"/>
      <c r="O133" s="5"/>
      <c r="Q133" s="5"/>
    </row>
    <row r="134" spans="2:17" ht="12.75" customHeight="1" x14ac:dyDescent="0.2">
      <c r="B134" s="17" t="s">
        <v>219</v>
      </c>
      <c r="D134" s="5"/>
      <c r="E134" s="5"/>
      <c r="H134" s="5"/>
      <c r="I134" s="5"/>
      <c r="J134" s="5"/>
      <c r="L134" s="5"/>
      <c r="M134" s="5"/>
      <c r="N134" s="5"/>
      <c r="O134" s="5"/>
      <c r="Q134" s="5"/>
    </row>
    <row r="135" spans="2:17" ht="12.75" customHeight="1" x14ac:dyDescent="0.2">
      <c r="B135" s="17" t="s">
        <v>220</v>
      </c>
      <c r="D135" s="5"/>
      <c r="E135" s="5"/>
      <c r="H135" s="5"/>
      <c r="I135" s="5"/>
      <c r="J135" s="5"/>
      <c r="L135" s="5"/>
      <c r="M135" s="5"/>
      <c r="N135" s="5"/>
      <c r="O135" s="5"/>
      <c r="Q135" s="5"/>
    </row>
    <row r="136" spans="2:17" ht="12.75" customHeight="1" x14ac:dyDescent="0.2">
      <c r="B136" s="17" t="s">
        <v>221</v>
      </c>
      <c r="D136" s="5"/>
      <c r="E136" s="5"/>
      <c r="H136" s="5"/>
      <c r="I136" s="5"/>
      <c r="J136" s="5"/>
      <c r="L136" s="5"/>
      <c r="M136" s="5"/>
      <c r="N136" s="5"/>
      <c r="O136" s="5"/>
      <c r="Q136" s="5"/>
    </row>
    <row r="137" spans="2:17" ht="12.75" customHeight="1" x14ac:dyDescent="0.2">
      <c r="B137" s="17" t="s">
        <v>222</v>
      </c>
      <c r="D137" s="5"/>
      <c r="E137" s="5"/>
      <c r="H137" s="5"/>
      <c r="I137" s="5"/>
      <c r="J137" s="5"/>
      <c r="L137" s="5"/>
      <c r="M137" s="5"/>
      <c r="N137" s="5"/>
      <c r="O137" s="5"/>
      <c r="Q137" s="5"/>
    </row>
    <row r="138" spans="2:17" ht="12.75" customHeight="1" x14ac:dyDescent="0.2">
      <c r="B138" s="17" t="s">
        <v>223</v>
      </c>
      <c r="D138" s="5"/>
      <c r="E138" s="5"/>
      <c r="H138" s="5"/>
      <c r="I138" s="5"/>
      <c r="J138" s="5"/>
      <c r="L138" s="5"/>
      <c r="M138" s="5"/>
      <c r="N138" s="5"/>
      <c r="O138" s="5"/>
      <c r="Q138" s="5"/>
    </row>
    <row r="139" spans="2:17" ht="12.75" customHeight="1" x14ac:dyDescent="0.2">
      <c r="B139" s="17" t="s">
        <v>224</v>
      </c>
      <c r="D139" s="5"/>
      <c r="E139" s="5"/>
      <c r="H139" s="5"/>
      <c r="I139" s="5"/>
      <c r="J139" s="5"/>
      <c r="L139" s="5"/>
      <c r="M139" s="5"/>
      <c r="N139" s="5"/>
      <c r="O139" s="5"/>
      <c r="Q139" s="5"/>
    </row>
    <row r="140" spans="2:17" ht="12.75" customHeight="1" x14ac:dyDescent="0.2">
      <c r="B140" s="17" t="s">
        <v>190</v>
      </c>
      <c r="D140" s="5"/>
      <c r="E140" s="5"/>
      <c r="H140" s="5"/>
      <c r="I140" s="5"/>
      <c r="J140" s="5"/>
      <c r="L140" s="5"/>
      <c r="M140" s="5"/>
      <c r="N140" s="5"/>
      <c r="O140" s="5"/>
      <c r="Q140" s="5"/>
    </row>
    <row r="141" spans="2:17" ht="12.75" customHeight="1" x14ac:dyDescent="0.2">
      <c r="B141" s="17" t="s">
        <v>191</v>
      </c>
      <c r="D141" s="5"/>
      <c r="E141" s="5"/>
      <c r="H141" s="5"/>
      <c r="I141" s="5"/>
      <c r="J141" s="5"/>
      <c r="L141" s="5"/>
      <c r="M141" s="5"/>
      <c r="N141" s="5"/>
      <c r="O141" s="5"/>
      <c r="Q141" s="5"/>
    </row>
    <row r="142" spans="2:17" ht="12.75" customHeight="1" x14ac:dyDescent="0.2">
      <c r="B142" s="17" t="s">
        <v>192</v>
      </c>
      <c r="D142" s="5"/>
      <c r="E142" s="5"/>
      <c r="H142" s="5"/>
      <c r="I142" s="5"/>
      <c r="J142" s="5"/>
      <c r="L142" s="5"/>
      <c r="M142" s="5"/>
      <c r="N142" s="5"/>
      <c r="O142" s="5"/>
      <c r="Q142" s="5"/>
    </row>
    <row r="143" spans="2:17" ht="12.75" customHeight="1" x14ac:dyDescent="0.2">
      <c r="B143" s="17" t="s">
        <v>193</v>
      </c>
      <c r="D143" s="5"/>
      <c r="E143" s="5"/>
      <c r="H143" s="5"/>
      <c r="I143" s="5"/>
      <c r="J143" s="5"/>
      <c r="L143" s="5"/>
      <c r="M143" s="5"/>
      <c r="N143" s="5"/>
      <c r="O143" s="5"/>
      <c r="Q143" s="5"/>
    </row>
    <row r="144" spans="2:17" ht="12.75" customHeight="1" x14ac:dyDescent="0.2">
      <c r="B144" s="17" t="s">
        <v>194</v>
      </c>
      <c r="D144" s="5"/>
      <c r="E144" s="5"/>
      <c r="H144" s="5"/>
      <c r="I144" s="5"/>
      <c r="J144" s="5"/>
      <c r="L144" s="5"/>
      <c r="M144" s="5"/>
      <c r="N144" s="5"/>
      <c r="O144" s="5"/>
      <c r="Q144" s="5"/>
    </row>
    <row r="145" spans="2:17" ht="12.75" customHeight="1" x14ac:dyDescent="0.2">
      <c r="B145" s="17" t="s">
        <v>195</v>
      </c>
      <c r="D145" s="5"/>
      <c r="E145" s="5"/>
      <c r="H145" s="5"/>
      <c r="I145" s="5"/>
      <c r="J145" s="5"/>
      <c r="L145" s="5"/>
      <c r="M145" s="5"/>
      <c r="N145" s="5"/>
      <c r="O145" s="5"/>
      <c r="Q145" s="5"/>
    </row>
    <row r="146" spans="2:17" ht="12.75" customHeight="1" x14ac:dyDescent="0.2">
      <c r="B146" s="17" t="s">
        <v>196</v>
      </c>
      <c r="D146" s="5"/>
      <c r="E146" s="5"/>
      <c r="H146" s="5"/>
      <c r="I146" s="5"/>
      <c r="J146" s="5"/>
      <c r="L146" s="5"/>
      <c r="M146" s="5"/>
      <c r="N146" s="5"/>
      <c r="O146" s="5"/>
      <c r="Q146" s="5"/>
    </row>
    <row r="147" spans="2:17" ht="12.75" customHeight="1" x14ac:dyDescent="0.2">
      <c r="B147" s="17" t="s">
        <v>197</v>
      </c>
      <c r="D147" s="5"/>
      <c r="E147" s="5"/>
      <c r="H147" s="5"/>
      <c r="I147" s="5"/>
      <c r="J147" s="5"/>
      <c r="L147" s="5"/>
      <c r="M147" s="5"/>
      <c r="N147" s="5"/>
      <c r="O147" s="5"/>
      <c r="Q147" s="5"/>
    </row>
    <row r="148" spans="2:17" ht="12.75" customHeight="1" x14ac:dyDescent="0.2">
      <c r="B148" s="17" t="s">
        <v>198</v>
      </c>
      <c r="D148" s="5"/>
      <c r="E148" s="5"/>
      <c r="H148" s="5"/>
      <c r="I148" s="5"/>
      <c r="J148" s="5"/>
      <c r="L148" s="5"/>
      <c r="M148" s="5"/>
      <c r="N148" s="5"/>
      <c r="O148" s="5"/>
      <c r="Q148" s="5"/>
    </row>
    <row r="149" spans="2:17" ht="12.75" customHeight="1" x14ac:dyDescent="0.2">
      <c r="B149" s="17" t="s">
        <v>199</v>
      </c>
      <c r="D149" s="5"/>
      <c r="E149" s="5"/>
      <c r="H149" s="5"/>
      <c r="I149" s="5"/>
      <c r="J149" s="5"/>
      <c r="L149" s="5"/>
      <c r="M149" s="5"/>
      <c r="N149" s="5"/>
      <c r="O149" s="5"/>
      <c r="Q149" s="5"/>
    </row>
    <row r="150" spans="2:17" ht="12.75" customHeight="1" x14ac:dyDescent="0.2">
      <c r="B150" s="17" t="s">
        <v>200</v>
      </c>
      <c r="D150" s="5"/>
      <c r="E150" s="5"/>
      <c r="H150" s="5"/>
      <c r="I150" s="5"/>
      <c r="J150" s="5"/>
      <c r="L150" s="5"/>
      <c r="M150" s="5"/>
      <c r="N150" s="5"/>
      <c r="O150" s="5"/>
      <c r="Q150" s="5"/>
    </row>
    <row r="151" spans="2:17" ht="12.75" customHeight="1" x14ac:dyDescent="0.2">
      <c r="B151" s="20" t="s">
        <v>201</v>
      </c>
      <c r="D151" s="5"/>
      <c r="E151" s="5"/>
      <c r="H151" s="5"/>
      <c r="I151" s="5"/>
      <c r="J151" s="5"/>
      <c r="L151" s="5"/>
      <c r="M151" s="5"/>
      <c r="N151" s="5"/>
      <c r="O151" s="5"/>
      <c r="Q151" s="5"/>
    </row>
    <row r="152" spans="2:17" ht="12.75" customHeight="1" x14ac:dyDescent="0.2">
      <c r="B152" s="20" t="s">
        <v>202</v>
      </c>
      <c r="D152" s="5"/>
      <c r="E152" s="5"/>
      <c r="H152" s="5"/>
      <c r="I152" s="5"/>
      <c r="J152" s="5"/>
      <c r="L152" s="5"/>
      <c r="M152" s="5"/>
      <c r="N152" s="5"/>
      <c r="O152" s="5"/>
      <c r="Q152" s="5"/>
    </row>
    <row r="153" spans="2:17" ht="12.75" customHeight="1" x14ac:dyDescent="0.2">
      <c r="B153" s="17" t="s">
        <v>203</v>
      </c>
      <c r="D153" s="5"/>
      <c r="E153" s="5"/>
      <c r="H153" s="5"/>
      <c r="I153" s="5"/>
      <c r="J153" s="5"/>
      <c r="L153" s="5"/>
      <c r="M153" s="5"/>
      <c r="N153" s="5"/>
      <c r="O153" s="5"/>
      <c r="Q153" s="5"/>
    </row>
    <row r="154" spans="2:17" ht="12.75" customHeight="1" x14ac:dyDescent="0.2">
      <c r="B154" s="17" t="s">
        <v>204</v>
      </c>
    </row>
    <row r="155" spans="2:17" ht="12.75" customHeight="1" x14ac:dyDescent="0.2">
      <c r="B155" s="17" t="s">
        <v>205</v>
      </c>
    </row>
    <row r="156" spans="2:17" ht="12.75" customHeight="1" x14ac:dyDescent="0.2">
      <c r="B156" s="17" t="s">
        <v>206</v>
      </c>
    </row>
    <row r="157" spans="2:17" ht="12.75" customHeight="1" x14ac:dyDescent="0.2">
      <c r="B157" s="17">
        <v>1</v>
      </c>
    </row>
    <row r="158" spans="2:17" ht="12.75" customHeight="1" x14ac:dyDescent="0.2">
      <c r="B158" s="17">
        <v>2</v>
      </c>
    </row>
    <row r="159" spans="2:17" ht="12.75" customHeight="1" x14ac:dyDescent="0.2">
      <c r="B159" s="17">
        <v>3</v>
      </c>
    </row>
    <row r="160" spans="2:17" ht="12.75" customHeight="1" x14ac:dyDescent="0.2">
      <c r="B160" s="17">
        <v>4</v>
      </c>
    </row>
    <row r="161" spans="2:2" ht="12.75" customHeight="1" x14ac:dyDescent="0.2">
      <c r="B161" s="17">
        <v>5</v>
      </c>
    </row>
    <row r="162" spans="2:2" ht="12.75" customHeight="1" x14ac:dyDescent="0.2">
      <c r="B162" s="17">
        <v>6</v>
      </c>
    </row>
    <row r="163" spans="2:2" ht="12.75" customHeight="1" x14ac:dyDescent="0.2">
      <c r="B163" s="17">
        <v>7</v>
      </c>
    </row>
    <row r="164" spans="2:2" ht="12.75" customHeight="1" x14ac:dyDescent="0.2">
      <c r="B164" s="17">
        <v>8</v>
      </c>
    </row>
    <row r="165" spans="2:2" ht="12.75" customHeight="1" x14ac:dyDescent="0.2">
      <c r="B165" s="17">
        <v>9</v>
      </c>
    </row>
    <row r="166" spans="2:2" ht="12.75" customHeight="1" x14ac:dyDescent="0.2">
      <c r="B166" s="17">
        <v>10</v>
      </c>
    </row>
    <row r="167" spans="2:2" ht="12.75" customHeight="1" x14ac:dyDescent="0.2">
      <c r="B167" s="17">
        <v>11</v>
      </c>
    </row>
    <row r="168" spans="2:2" ht="12.75" customHeight="1" x14ac:dyDescent="0.2">
      <c r="B168" s="17">
        <v>12</v>
      </c>
    </row>
    <row r="169" spans="2:2" ht="12.75" customHeight="1" x14ac:dyDescent="0.2">
      <c r="B169" s="17">
        <v>13</v>
      </c>
    </row>
    <row r="170" spans="2:2" ht="12.75" customHeight="1" x14ac:dyDescent="0.2">
      <c r="B170" s="17">
        <v>14</v>
      </c>
    </row>
    <row r="171" spans="2:2" ht="12.75" customHeight="1" x14ac:dyDescent="0.2">
      <c r="B171" s="5">
        <v>15</v>
      </c>
    </row>
    <row r="172" spans="2:2" ht="12.75" customHeight="1" x14ac:dyDescent="0.2">
      <c r="B172" s="5">
        <v>16</v>
      </c>
    </row>
    <row r="173" spans="2:2" ht="12.75" customHeight="1" x14ac:dyDescent="0.2">
      <c r="B173" s="17" t="s">
        <v>207</v>
      </c>
    </row>
    <row r="174" spans="2:2" ht="12.75" customHeight="1" x14ac:dyDescent="0.2">
      <c r="B174" s="5" t="s">
        <v>208</v>
      </c>
    </row>
    <row r="210" spans="35:35" ht="12.75" customHeight="1" x14ac:dyDescent="0.2">
      <c r="AI210" s="19"/>
    </row>
  </sheetData>
  <sheetProtection algorithmName="SHA-512" hashValue="jtblQ4HxJF2sWOXPJZQ5Vvrt91E5/HnKdarInpKQR0D4GzAED7/sywCpOhNW7dQh4jBPnK0dBvMykf6yvbibuA==" saltValue="K4WpInJlYSyNknKaEhigJQ==" spinCount="100000" sheet="1" objects="1" scenarios="1"/>
  <dataConsolidate/>
  <mergeCells count="1">
    <mergeCell ref="I8:J8"/>
  </mergeCells>
  <phoneticPr fontId="0" type="noConversion"/>
  <dataValidations count="2">
    <dataValidation type="list" allowBlank="1" showInputMessage="1" showErrorMessage="1" sqref="G11:G110">
      <formula1>$B$140:$B$174</formula1>
    </dataValidation>
    <dataValidation type="list" allowBlank="1" showInputMessage="1" showErrorMessage="1" sqref="F11:F110">
      <formula1>"vast,tijdelijk"</formula1>
    </dataValidation>
  </dataValidations>
  <pageMargins left="0.78740157480314965" right="0.78740157480314965" top="0.98425196850393704" bottom="0.98425196850393704" header="0.51181102362204722" footer="0.51181102362204722"/>
  <pageSetup paperSize="9" scale="48" orientation="portrait" r:id="rId1"/>
  <headerFooter alignWithMargins="0">
    <oddHeader>&amp;L&amp;"Arial,Vet"&amp;F&amp;R&amp;"Arial,Vet"&amp;A</oddHeader>
    <oddFooter>&amp;L&amp;"Arial,Vet"PO-Raad&amp;C&amp;"Arial,Vet"&amp;D&amp;R&amp;"Arial,Vet"pagina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1"/>
  <sheetViews>
    <sheetView zoomScale="85" zoomScaleNormal="85" zoomScaleSheetLayoutView="115" workbookViewId="0">
      <selection activeCell="B2" sqref="B2"/>
    </sheetView>
  </sheetViews>
  <sheetFormatPr defaultColWidth="9.140625" defaultRowHeight="12.75" x14ac:dyDescent="0.2"/>
  <cols>
    <col min="1" max="1" width="3.7109375" style="5" customWidth="1"/>
    <col min="2" max="3" width="2.7109375" style="5" customWidth="1"/>
    <col min="4" max="4" width="8.7109375" style="17" customWidth="1"/>
    <col min="5" max="5" width="2.7109375" style="5" customWidth="1"/>
    <col min="6" max="8" width="12.7109375" style="22" customWidth="1"/>
    <col min="9" max="9" width="1.7109375" style="5" customWidth="1"/>
    <col min="10" max="12" width="12.7109375" style="22" customWidth="1"/>
    <col min="13" max="13" width="1.7109375" style="5" customWidth="1"/>
    <col min="14" max="16" width="12.7109375" style="5" customWidth="1"/>
    <col min="17" max="20" width="2.7109375" style="5" customWidth="1"/>
    <col min="21" max="21" width="9.7109375" style="5" customWidth="1"/>
    <col min="22" max="22" width="1.7109375" style="22" customWidth="1"/>
    <col min="23" max="23" width="9.7109375" style="5" customWidth="1"/>
    <col min="24" max="24" width="0.85546875" style="22" customWidth="1"/>
    <col min="25" max="25" width="12.7109375" style="5" customWidth="1"/>
    <col min="26" max="28" width="2.7109375" style="5" customWidth="1"/>
    <col min="29" max="29" width="9.7109375" style="5" customWidth="1"/>
    <col min="30" max="30" width="1.7109375" style="22" customWidth="1"/>
    <col min="31" max="31" width="9.7109375" style="5" customWidth="1"/>
    <col min="32" max="32" width="0.85546875" style="22" customWidth="1"/>
    <col min="33" max="33" width="12.7109375" style="5" customWidth="1"/>
    <col min="34" max="39" width="2.7109375" style="5" customWidth="1"/>
    <col min="40" max="16384" width="9.140625" style="5"/>
  </cols>
  <sheetData>
    <row r="2" spans="2:32" x14ac:dyDescent="0.2">
      <c r="B2" s="30"/>
      <c r="C2" s="31"/>
      <c r="D2" s="483"/>
      <c r="E2" s="76"/>
      <c r="F2" s="76"/>
      <c r="G2" s="31"/>
      <c r="H2" s="31"/>
      <c r="I2" s="76"/>
      <c r="J2" s="76"/>
      <c r="K2" s="76"/>
      <c r="L2" s="31"/>
      <c r="M2" s="76"/>
      <c r="N2" s="76"/>
      <c r="O2" s="76"/>
      <c r="P2" s="31"/>
      <c r="Q2" s="31"/>
      <c r="R2" s="33"/>
    </row>
    <row r="3" spans="2:32" x14ac:dyDescent="0.2">
      <c r="B3" s="34"/>
      <c r="C3" s="35"/>
      <c r="D3" s="55"/>
      <c r="E3" s="62"/>
      <c r="F3" s="62"/>
      <c r="G3" s="35"/>
      <c r="H3" s="35"/>
      <c r="I3" s="62"/>
      <c r="J3" s="62"/>
      <c r="K3" s="62"/>
      <c r="L3" s="35"/>
      <c r="M3" s="62"/>
      <c r="N3" s="62"/>
      <c r="O3" s="62"/>
      <c r="P3" s="35"/>
      <c r="Q3" s="35"/>
      <c r="R3" s="37"/>
    </row>
    <row r="4" spans="2:32" s="7" customFormat="1" ht="18.75" x14ac:dyDescent="0.3">
      <c r="B4" s="38"/>
      <c r="C4" s="721" t="s">
        <v>390</v>
      </c>
      <c r="D4" s="39"/>
      <c r="E4" s="414"/>
      <c r="F4" s="414"/>
      <c r="G4" s="39"/>
      <c r="H4" s="39"/>
      <c r="I4" s="414"/>
      <c r="J4" s="414"/>
      <c r="K4" s="414"/>
      <c r="L4" s="39"/>
      <c r="M4" s="414"/>
      <c r="N4" s="414"/>
      <c r="O4" s="414"/>
      <c r="P4" s="39"/>
      <c r="Q4" s="39"/>
      <c r="R4" s="171"/>
      <c r="V4" s="466"/>
      <c r="X4" s="466"/>
      <c r="AD4" s="466"/>
      <c r="AF4" s="466"/>
    </row>
    <row r="5" spans="2:32" s="231" customFormat="1" ht="18.75" x14ac:dyDescent="0.3">
      <c r="B5" s="172"/>
      <c r="C5" s="173" t="str">
        <f>geg!G10</f>
        <v>Basisschool</v>
      </c>
      <c r="D5" s="173"/>
      <c r="E5" s="328"/>
      <c r="F5" s="328"/>
      <c r="G5" s="173"/>
      <c r="H5" s="173"/>
      <c r="I5" s="328"/>
      <c r="J5" s="328"/>
      <c r="K5" s="328"/>
      <c r="L5" s="173"/>
      <c r="M5" s="328"/>
      <c r="N5" s="328"/>
      <c r="O5" s="328"/>
      <c r="P5" s="173"/>
      <c r="Q5" s="173"/>
      <c r="R5" s="174"/>
      <c r="V5" s="327"/>
      <c r="X5" s="327"/>
      <c r="AD5" s="327"/>
      <c r="AF5" s="327"/>
    </row>
    <row r="6" spans="2:32" x14ac:dyDescent="0.2">
      <c r="B6" s="34"/>
      <c r="C6" s="35"/>
      <c r="D6" s="55"/>
      <c r="E6" s="62"/>
      <c r="F6" s="62"/>
      <c r="G6" s="35"/>
      <c r="H6" s="35"/>
      <c r="I6" s="62"/>
      <c r="J6" s="62"/>
      <c r="K6" s="62"/>
      <c r="L6" s="35"/>
      <c r="M6" s="62"/>
      <c r="N6" s="62"/>
      <c r="O6" s="62"/>
      <c r="P6" s="35"/>
      <c r="Q6" s="35"/>
      <c r="R6" s="37"/>
    </row>
    <row r="7" spans="2:32" x14ac:dyDescent="0.2">
      <c r="B7" s="34"/>
      <c r="C7" s="35"/>
      <c r="D7" s="55"/>
      <c r="E7" s="62"/>
      <c r="F7" s="62"/>
      <c r="G7" s="35"/>
      <c r="H7" s="35"/>
      <c r="I7" s="62"/>
      <c r="J7" s="62"/>
      <c r="K7" s="62"/>
      <c r="L7" s="35"/>
      <c r="M7" s="62"/>
      <c r="N7" s="62"/>
      <c r="O7" s="62"/>
      <c r="P7" s="35"/>
      <c r="Q7" s="35"/>
      <c r="R7" s="37"/>
    </row>
    <row r="8" spans="2:32" x14ac:dyDescent="0.2">
      <c r="B8" s="34"/>
      <c r="C8" s="35"/>
      <c r="D8" s="739" t="s">
        <v>238</v>
      </c>
      <c r="E8" s="758"/>
      <c r="F8" s="758"/>
      <c r="G8" s="751"/>
      <c r="H8" s="751"/>
      <c r="I8" s="758"/>
      <c r="J8" s="758"/>
      <c r="K8" s="758"/>
      <c r="L8" s="751"/>
      <c r="M8" s="758"/>
      <c r="N8" s="758"/>
      <c r="O8" s="758"/>
      <c r="P8" s="751"/>
      <c r="Q8" s="35"/>
      <c r="R8" s="37"/>
    </row>
    <row r="9" spans="2:32" x14ac:dyDescent="0.2">
      <c r="B9" s="34"/>
      <c r="C9" s="35"/>
      <c r="D9" s="751" t="s">
        <v>389</v>
      </c>
      <c r="E9" s="758"/>
      <c r="F9" s="758"/>
      <c r="G9" s="751"/>
      <c r="H9" s="751"/>
      <c r="I9" s="758"/>
      <c r="J9" s="758"/>
      <c r="K9" s="758"/>
      <c r="L9" s="751"/>
      <c r="M9" s="758"/>
      <c r="N9" s="758"/>
      <c r="O9" s="758"/>
      <c r="P9" s="751"/>
      <c r="Q9" s="35"/>
      <c r="R9" s="37"/>
    </row>
    <row r="10" spans="2:32" x14ac:dyDescent="0.2">
      <c r="B10" s="34"/>
      <c r="C10" s="35"/>
      <c r="D10" s="751" t="s">
        <v>463</v>
      </c>
      <c r="E10" s="758"/>
      <c r="F10" s="758"/>
      <c r="G10" s="751"/>
      <c r="H10" s="751"/>
      <c r="I10" s="758"/>
      <c r="J10" s="758"/>
      <c r="K10" s="758"/>
      <c r="L10" s="751"/>
      <c r="M10" s="758"/>
      <c r="N10" s="758"/>
      <c r="O10" s="758"/>
      <c r="P10" s="751"/>
      <c r="Q10" s="35"/>
      <c r="R10" s="37"/>
    </row>
    <row r="11" spans="2:32" x14ac:dyDescent="0.2">
      <c r="B11" s="34"/>
      <c r="C11" s="35"/>
      <c r="D11" s="751" t="s">
        <v>440</v>
      </c>
      <c r="E11" s="758"/>
      <c r="F11" s="758"/>
      <c r="G11" s="751"/>
      <c r="H11" s="751"/>
      <c r="I11" s="758"/>
      <c r="J11" s="758"/>
      <c r="K11" s="758"/>
      <c r="L11" s="751"/>
      <c r="M11" s="758"/>
      <c r="N11" s="758"/>
      <c r="O11" s="758"/>
      <c r="P11" s="751"/>
      <c r="Q11" s="35"/>
      <c r="R11" s="37"/>
    </row>
    <row r="12" spans="2:32" x14ac:dyDescent="0.2">
      <c r="B12" s="34"/>
      <c r="C12" s="35"/>
      <c r="D12" s="833" t="s">
        <v>441</v>
      </c>
      <c r="E12" s="758"/>
      <c r="F12" s="758"/>
      <c r="G12" s="751"/>
      <c r="H12" s="751"/>
      <c r="I12" s="758"/>
      <c r="J12" s="758"/>
      <c r="K12" s="758"/>
      <c r="L12" s="751"/>
      <c r="M12" s="758"/>
      <c r="N12" s="758"/>
      <c r="O12" s="758"/>
      <c r="P12" s="751"/>
      <c r="Q12" s="35"/>
      <c r="R12" s="37"/>
    </row>
    <row r="13" spans="2:32" x14ac:dyDescent="0.2">
      <c r="B13" s="34"/>
      <c r="C13" s="35"/>
      <c r="D13" s="833"/>
      <c r="E13" s="758"/>
      <c r="F13" s="758"/>
      <c r="G13" s="751"/>
      <c r="H13" s="751"/>
      <c r="I13" s="758"/>
      <c r="J13" s="758"/>
      <c r="K13" s="758"/>
      <c r="L13" s="751"/>
      <c r="M13" s="758"/>
      <c r="N13" s="758"/>
      <c r="O13" s="758"/>
      <c r="P13" s="751"/>
      <c r="Q13" s="35"/>
      <c r="R13" s="37"/>
    </row>
    <row r="14" spans="2:32" x14ac:dyDescent="0.2">
      <c r="B14" s="34"/>
      <c r="C14" s="35"/>
      <c r="D14" s="833"/>
      <c r="E14" s="758"/>
      <c r="F14" s="758"/>
      <c r="G14" s="751"/>
      <c r="H14" s="751"/>
      <c r="I14" s="758"/>
      <c r="J14" s="758"/>
      <c r="K14" s="758"/>
      <c r="L14" s="751"/>
      <c r="M14" s="758"/>
      <c r="N14" s="758"/>
      <c r="O14" s="758"/>
      <c r="P14" s="751"/>
      <c r="Q14" s="35"/>
      <c r="R14" s="37"/>
    </row>
    <row r="15" spans="2:32" s="8" customFormat="1" ht="12" customHeight="1" x14ac:dyDescent="0.25">
      <c r="B15" s="175"/>
      <c r="C15" s="40"/>
      <c r="D15" s="833"/>
      <c r="E15" s="758"/>
      <c r="F15" s="1001" t="s">
        <v>327</v>
      </c>
      <c r="G15" s="1002"/>
      <c r="H15" s="1002"/>
      <c r="I15" s="760"/>
      <c r="J15" s="1001" t="s">
        <v>328</v>
      </c>
      <c r="K15" s="1002"/>
      <c r="L15" s="1002"/>
      <c r="M15" s="760"/>
      <c r="N15" s="1001" t="s">
        <v>329</v>
      </c>
      <c r="O15" s="1002"/>
      <c r="P15" s="1002"/>
      <c r="Q15" s="62"/>
      <c r="R15" s="485"/>
      <c r="V15" s="232"/>
      <c r="X15" s="232"/>
      <c r="AD15" s="232"/>
      <c r="AF15" s="232"/>
    </row>
    <row r="16" spans="2:32" x14ac:dyDescent="0.2">
      <c r="B16" s="34"/>
      <c r="C16" s="35"/>
      <c r="D16" s="834"/>
      <c r="E16" s="758"/>
      <c r="F16" s="758"/>
      <c r="G16" s="751"/>
      <c r="H16" s="751"/>
      <c r="I16" s="758"/>
      <c r="J16" s="758"/>
      <c r="K16" s="758"/>
      <c r="L16" s="751"/>
      <c r="M16" s="758"/>
      <c r="N16" s="758"/>
      <c r="O16" s="758"/>
      <c r="P16" s="751"/>
      <c r="Q16" s="35"/>
      <c r="R16" s="37"/>
      <c r="T16" s="19"/>
      <c r="U16" s="19"/>
      <c r="AB16" s="19"/>
      <c r="AC16" s="19"/>
    </row>
    <row r="17" spans="2:32" x14ac:dyDescent="0.2">
      <c r="B17" s="34"/>
      <c r="C17" s="86"/>
      <c r="D17" s="835"/>
      <c r="E17" s="836"/>
      <c r="F17" s="837"/>
      <c r="G17" s="838"/>
      <c r="H17" s="838"/>
      <c r="I17" s="836"/>
      <c r="J17" s="837"/>
      <c r="K17" s="838"/>
      <c r="L17" s="839"/>
      <c r="M17" s="836"/>
      <c r="N17" s="837"/>
      <c r="O17" s="838"/>
      <c r="P17" s="838"/>
      <c r="Q17" s="128"/>
      <c r="R17" s="37"/>
      <c r="V17" s="238"/>
      <c r="X17" s="238"/>
      <c r="AD17" s="238"/>
      <c r="AF17" s="238"/>
    </row>
    <row r="18" spans="2:32" s="165" customFormat="1" x14ac:dyDescent="0.2">
      <c r="B18" s="210"/>
      <c r="C18" s="225"/>
      <c r="D18" s="797" t="s">
        <v>187</v>
      </c>
      <c r="E18" s="744"/>
      <c r="F18" s="840" t="s">
        <v>188</v>
      </c>
      <c r="G18" s="840" t="s">
        <v>241</v>
      </c>
      <c r="H18" s="841" t="s">
        <v>189</v>
      </c>
      <c r="I18" s="744"/>
      <c r="J18" s="840" t="s">
        <v>188</v>
      </c>
      <c r="K18" s="840" t="s">
        <v>241</v>
      </c>
      <c r="L18" s="842" t="s">
        <v>189</v>
      </c>
      <c r="M18" s="744"/>
      <c r="N18" s="840" t="s">
        <v>188</v>
      </c>
      <c r="O18" s="840" t="s">
        <v>241</v>
      </c>
      <c r="P18" s="840" t="s">
        <v>189</v>
      </c>
      <c r="Q18" s="228"/>
      <c r="R18" s="212"/>
      <c r="V18" s="493"/>
      <c r="X18" s="493"/>
      <c r="AD18" s="493"/>
      <c r="AF18" s="493"/>
    </row>
    <row r="19" spans="2:32" x14ac:dyDescent="0.2">
      <c r="B19" s="34"/>
      <c r="C19" s="91"/>
      <c r="D19" s="106"/>
      <c r="E19" s="92"/>
      <c r="F19" s="274"/>
      <c r="G19" s="274"/>
      <c r="H19" s="273"/>
      <c r="I19" s="92"/>
      <c r="J19" s="274"/>
      <c r="K19" s="274"/>
      <c r="L19" s="491"/>
      <c r="M19" s="92"/>
      <c r="N19" s="274"/>
      <c r="O19" s="274"/>
      <c r="P19" s="492"/>
      <c r="Q19" s="98"/>
      <c r="R19" s="37"/>
      <c r="V19" s="239"/>
      <c r="X19" s="239"/>
      <c r="AD19" s="239"/>
      <c r="AF19" s="239"/>
    </row>
    <row r="20" spans="2:32" x14ac:dyDescent="0.2">
      <c r="B20" s="34"/>
      <c r="C20" s="91"/>
      <c r="D20" s="103" t="s">
        <v>190</v>
      </c>
      <c r="E20" s="92"/>
      <c r="F20" s="807">
        <f>SUMIF('form t'!$G$11:$G$110,D20,'form t'!$O$11:$O$110)</f>
        <v>0</v>
      </c>
      <c r="G20" s="807">
        <f t="shared" ref="G20:G54" si="0">F20*(VLOOKUP(D20,FPE_LA,2,FALSE))</f>
        <v>0</v>
      </c>
      <c r="H20" s="843">
        <f>G20*geg!$G$42</f>
        <v>0</v>
      </c>
      <c r="I20" s="92"/>
      <c r="J20" s="613">
        <f>+F20</f>
        <v>0</v>
      </c>
      <c r="K20" s="844">
        <f t="shared" ref="K20:K54" si="1">J20*(VLOOKUP(D20,FPE_LA,2,FALSE))</f>
        <v>0</v>
      </c>
      <c r="L20" s="843">
        <f>K20*geg!$G$42</f>
        <v>0</v>
      </c>
      <c r="M20" s="92"/>
      <c r="N20" s="821">
        <f t="shared" ref="N20:N54" si="2">+J20-F20</f>
        <v>0</v>
      </c>
      <c r="O20" s="821">
        <f t="shared" ref="O20:O54" si="3">+K20-G20</f>
        <v>0</v>
      </c>
      <c r="P20" s="801">
        <f>O20*geg!$G$42</f>
        <v>0</v>
      </c>
      <c r="Q20" s="98"/>
      <c r="R20" s="37"/>
      <c r="V20" s="236"/>
      <c r="X20" s="236"/>
      <c r="AD20" s="236"/>
      <c r="AF20" s="236"/>
    </row>
    <row r="21" spans="2:32" x14ac:dyDescent="0.2">
      <c r="B21" s="34"/>
      <c r="C21" s="91"/>
      <c r="D21" s="103" t="s">
        <v>191</v>
      </c>
      <c r="E21" s="92"/>
      <c r="F21" s="807">
        <f>SUMIF('form t'!$G$11:$G$110,D21,'form t'!$O$11:$O$110)</f>
        <v>0</v>
      </c>
      <c r="G21" s="807">
        <f t="shared" si="0"/>
        <v>0</v>
      </c>
      <c r="H21" s="843">
        <f>G21*geg!$G$42</f>
        <v>0</v>
      </c>
      <c r="I21" s="92"/>
      <c r="J21" s="613">
        <f t="shared" ref="J21:J54" si="4">+F21</f>
        <v>0</v>
      </c>
      <c r="K21" s="844">
        <f t="shared" si="1"/>
        <v>0</v>
      </c>
      <c r="L21" s="843">
        <f>K21*geg!$G$42</f>
        <v>0</v>
      </c>
      <c r="M21" s="92"/>
      <c r="N21" s="821">
        <f t="shared" si="2"/>
        <v>0</v>
      </c>
      <c r="O21" s="821">
        <f t="shared" si="3"/>
        <v>0</v>
      </c>
      <c r="P21" s="801">
        <f>O21*geg!$G$42</f>
        <v>0</v>
      </c>
      <c r="Q21" s="98"/>
      <c r="R21" s="37"/>
      <c r="V21" s="236"/>
      <c r="X21" s="236"/>
      <c r="AD21" s="236"/>
      <c r="AF21" s="236"/>
    </row>
    <row r="22" spans="2:32" x14ac:dyDescent="0.2">
      <c r="B22" s="34"/>
      <c r="C22" s="91"/>
      <c r="D22" s="103" t="s">
        <v>192</v>
      </c>
      <c r="E22" s="92"/>
      <c r="F22" s="807">
        <f>SUMIF('form t'!$G$11:$G$110,D22,'form t'!$O$11:$O$110)</f>
        <v>0</v>
      </c>
      <c r="G22" s="807">
        <f t="shared" si="0"/>
        <v>0</v>
      </c>
      <c r="H22" s="843">
        <f>G22*geg!$G$42</f>
        <v>0</v>
      </c>
      <c r="I22" s="92"/>
      <c r="J22" s="613">
        <f t="shared" si="4"/>
        <v>0</v>
      </c>
      <c r="K22" s="844">
        <f t="shared" si="1"/>
        <v>0</v>
      </c>
      <c r="L22" s="843">
        <f>K22*geg!$G$42</f>
        <v>0</v>
      </c>
      <c r="M22" s="92"/>
      <c r="N22" s="821">
        <f t="shared" si="2"/>
        <v>0</v>
      </c>
      <c r="O22" s="821">
        <f t="shared" si="3"/>
        <v>0</v>
      </c>
      <c r="P22" s="801">
        <f>O22*geg!$G$42</f>
        <v>0</v>
      </c>
      <c r="Q22" s="98"/>
      <c r="R22" s="37"/>
      <c r="V22" s="236"/>
      <c r="X22" s="236"/>
      <c r="AD22" s="236"/>
      <c r="AF22" s="236"/>
    </row>
    <row r="23" spans="2:32" x14ac:dyDescent="0.2">
      <c r="B23" s="34"/>
      <c r="C23" s="91"/>
      <c r="D23" s="103" t="s">
        <v>193</v>
      </c>
      <c r="E23" s="92"/>
      <c r="F23" s="807">
        <f>SUMIF('form t'!$G$11:$G$110,D23,'form t'!$O$11:$O$110)</f>
        <v>0</v>
      </c>
      <c r="G23" s="807">
        <f t="shared" si="0"/>
        <v>0</v>
      </c>
      <c r="H23" s="843">
        <f>G23*geg!$G$42</f>
        <v>0</v>
      </c>
      <c r="I23" s="92"/>
      <c r="J23" s="613">
        <f t="shared" si="4"/>
        <v>0</v>
      </c>
      <c r="K23" s="844">
        <f t="shared" si="1"/>
        <v>0</v>
      </c>
      <c r="L23" s="843">
        <f>K23*geg!$G$42</f>
        <v>0</v>
      </c>
      <c r="M23" s="92"/>
      <c r="N23" s="821">
        <f t="shared" si="2"/>
        <v>0</v>
      </c>
      <c r="O23" s="821">
        <f t="shared" si="3"/>
        <v>0</v>
      </c>
      <c r="P23" s="801">
        <f>O23*geg!$G$42</f>
        <v>0</v>
      </c>
      <c r="Q23" s="98"/>
      <c r="R23" s="37"/>
      <c r="V23" s="236"/>
      <c r="X23" s="236"/>
      <c r="AD23" s="236"/>
      <c r="AF23" s="236"/>
    </row>
    <row r="24" spans="2:32" x14ac:dyDescent="0.2">
      <c r="B24" s="34"/>
      <c r="C24" s="91"/>
      <c r="D24" s="103" t="s">
        <v>194</v>
      </c>
      <c r="E24" s="92"/>
      <c r="F24" s="807">
        <f>SUMIF('form t'!$G$11:$G$110,D24,'form t'!$O$11:$O$110)</f>
        <v>0</v>
      </c>
      <c r="G24" s="807">
        <f t="shared" si="0"/>
        <v>0</v>
      </c>
      <c r="H24" s="843">
        <f>G24*geg!$G$42</f>
        <v>0</v>
      </c>
      <c r="I24" s="92"/>
      <c r="J24" s="613">
        <f t="shared" si="4"/>
        <v>0</v>
      </c>
      <c r="K24" s="844">
        <f t="shared" si="1"/>
        <v>0</v>
      </c>
      <c r="L24" s="843">
        <f>K24*geg!$G$42</f>
        <v>0</v>
      </c>
      <c r="M24" s="92"/>
      <c r="N24" s="821">
        <f t="shared" si="2"/>
        <v>0</v>
      </c>
      <c r="O24" s="821">
        <f t="shared" si="3"/>
        <v>0</v>
      </c>
      <c r="P24" s="801">
        <f>O24*geg!$G$42</f>
        <v>0</v>
      </c>
      <c r="Q24" s="98"/>
      <c r="R24" s="37"/>
      <c r="V24" s="236"/>
      <c r="X24" s="236"/>
      <c r="AD24" s="236"/>
      <c r="AF24" s="236"/>
    </row>
    <row r="25" spans="2:32" x14ac:dyDescent="0.2">
      <c r="B25" s="34"/>
      <c r="C25" s="91"/>
      <c r="D25" s="103" t="s">
        <v>195</v>
      </c>
      <c r="E25" s="92"/>
      <c r="F25" s="807">
        <f>SUMIF('form t'!$G$11:$G$110,D25,'form t'!$O$11:$O$110)</f>
        <v>0</v>
      </c>
      <c r="G25" s="807">
        <f t="shared" si="0"/>
        <v>0</v>
      </c>
      <c r="H25" s="843">
        <f>G25*geg!$G$42</f>
        <v>0</v>
      </c>
      <c r="I25" s="92"/>
      <c r="J25" s="613">
        <f t="shared" si="4"/>
        <v>0</v>
      </c>
      <c r="K25" s="844">
        <f t="shared" si="1"/>
        <v>0</v>
      </c>
      <c r="L25" s="843">
        <f>K25*geg!$G$42</f>
        <v>0</v>
      </c>
      <c r="M25" s="92"/>
      <c r="N25" s="821">
        <f t="shared" si="2"/>
        <v>0</v>
      </c>
      <c r="O25" s="821">
        <f t="shared" si="3"/>
        <v>0</v>
      </c>
      <c r="P25" s="801">
        <f>O25*geg!$G$42</f>
        <v>0</v>
      </c>
      <c r="Q25" s="98"/>
      <c r="R25" s="37"/>
      <c r="V25" s="236"/>
      <c r="X25" s="236"/>
      <c r="AD25" s="236"/>
      <c r="AF25" s="236"/>
    </row>
    <row r="26" spans="2:32" x14ac:dyDescent="0.2">
      <c r="B26" s="34"/>
      <c r="C26" s="91"/>
      <c r="D26" s="103" t="s">
        <v>196</v>
      </c>
      <c r="E26" s="92"/>
      <c r="F26" s="807">
        <f>SUMIF('form t'!$G$11:$G$110,D26,'form t'!$O$11:$O$110)</f>
        <v>0</v>
      </c>
      <c r="G26" s="807">
        <f t="shared" si="0"/>
        <v>0</v>
      </c>
      <c r="H26" s="843">
        <f>G26*geg!$G$42</f>
        <v>0</v>
      </c>
      <c r="I26" s="92"/>
      <c r="J26" s="613">
        <f t="shared" si="4"/>
        <v>0</v>
      </c>
      <c r="K26" s="844">
        <f t="shared" si="1"/>
        <v>0</v>
      </c>
      <c r="L26" s="843">
        <f>K26*geg!$G$42</f>
        <v>0</v>
      </c>
      <c r="M26" s="92"/>
      <c r="N26" s="821">
        <f t="shared" si="2"/>
        <v>0</v>
      </c>
      <c r="O26" s="821">
        <f t="shared" si="3"/>
        <v>0</v>
      </c>
      <c r="P26" s="801">
        <f>O26*geg!$G$42</f>
        <v>0</v>
      </c>
      <c r="Q26" s="98"/>
      <c r="R26" s="37"/>
      <c r="V26" s="236"/>
      <c r="X26" s="236"/>
      <c r="AD26" s="236"/>
      <c r="AF26" s="236"/>
    </row>
    <row r="27" spans="2:32" x14ac:dyDescent="0.2">
      <c r="B27" s="34"/>
      <c r="C27" s="91"/>
      <c r="D27" s="103" t="s">
        <v>197</v>
      </c>
      <c r="E27" s="92"/>
      <c r="F27" s="807">
        <f>SUMIF('form t'!$G$11:$G$110,D27,'form t'!$O$11:$O$110)</f>
        <v>0</v>
      </c>
      <c r="G27" s="807">
        <f t="shared" si="0"/>
        <v>0</v>
      </c>
      <c r="H27" s="843">
        <f>G27*geg!$G$42</f>
        <v>0</v>
      </c>
      <c r="I27" s="92"/>
      <c r="J27" s="613">
        <f t="shared" si="4"/>
        <v>0</v>
      </c>
      <c r="K27" s="844">
        <f t="shared" si="1"/>
        <v>0</v>
      </c>
      <c r="L27" s="843">
        <f>K27*geg!$G$42</f>
        <v>0</v>
      </c>
      <c r="M27" s="92"/>
      <c r="N27" s="821">
        <f t="shared" si="2"/>
        <v>0</v>
      </c>
      <c r="O27" s="821">
        <f t="shared" si="3"/>
        <v>0</v>
      </c>
      <c r="P27" s="801">
        <f>O27*geg!$G$42</f>
        <v>0</v>
      </c>
      <c r="Q27" s="98"/>
      <c r="R27" s="37"/>
      <c r="V27" s="236"/>
      <c r="X27" s="236"/>
      <c r="AD27" s="236"/>
      <c r="AF27" s="236"/>
    </row>
    <row r="28" spans="2:32" x14ac:dyDescent="0.2">
      <c r="B28" s="34"/>
      <c r="C28" s="91"/>
      <c r="D28" s="103" t="s">
        <v>198</v>
      </c>
      <c r="E28" s="92"/>
      <c r="F28" s="807">
        <f>SUMIF('form t'!$G$11:$G$110,D28,'form t'!$O$11:$O$110)</f>
        <v>0</v>
      </c>
      <c r="G28" s="807">
        <f t="shared" si="0"/>
        <v>0</v>
      </c>
      <c r="H28" s="843">
        <f>G28*geg!$G$42</f>
        <v>0</v>
      </c>
      <c r="I28" s="92"/>
      <c r="J28" s="613">
        <f t="shared" si="4"/>
        <v>0</v>
      </c>
      <c r="K28" s="844">
        <f t="shared" si="1"/>
        <v>0</v>
      </c>
      <c r="L28" s="843">
        <f>K28*geg!$G$42</f>
        <v>0</v>
      </c>
      <c r="M28" s="92"/>
      <c r="N28" s="821">
        <f t="shared" si="2"/>
        <v>0</v>
      </c>
      <c r="O28" s="821">
        <f t="shared" si="3"/>
        <v>0</v>
      </c>
      <c r="P28" s="801">
        <f>O28*geg!$G$42</f>
        <v>0</v>
      </c>
      <c r="Q28" s="98"/>
      <c r="R28" s="37"/>
      <c r="V28" s="236"/>
      <c r="X28" s="236"/>
      <c r="AD28" s="236"/>
      <c r="AF28" s="236"/>
    </row>
    <row r="29" spans="2:32" x14ac:dyDescent="0.2">
      <c r="B29" s="34"/>
      <c r="C29" s="91"/>
      <c r="D29" s="103" t="s">
        <v>199</v>
      </c>
      <c r="E29" s="92"/>
      <c r="F29" s="807">
        <f>SUMIF('form t'!$G$11:$G$110,D29,'form t'!$O$11:$O$110)</f>
        <v>0</v>
      </c>
      <c r="G29" s="807">
        <f t="shared" si="0"/>
        <v>0</v>
      </c>
      <c r="H29" s="843">
        <f>G29*geg!$G$42</f>
        <v>0</v>
      </c>
      <c r="I29" s="92"/>
      <c r="J29" s="613">
        <f t="shared" si="4"/>
        <v>0</v>
      </c>
      <c r="K29" s="844">
        <f t="shared" si="1"/>
        <v>0</v>
      </c>
      <c r="L29" s="843">
        <f>K29*geg!$G$42</f>
        <v>0</v>
      </c>
      <c r="M29" s="92"/>
      <c r="N29" s="821">
        <f t="shared" si="2"/>
        <v>0</v>
      </c>
      <c r="O29" s="821">
        <f t="shared" si="3"/>
        <v>0</v>
      </c>
      <c r="P29" s="801">
        <f>O29*geg!$G$42</f>
        <v>0</v>
      </c>
      <c r="Q29" s="98"/>
      <c r="R29" s="37"/>
      <c r="V29" s="236"/>
      <c r="X29" s="236"/>
      <c r="AD29" s="236"/>
      <c r="AF29" s="236"/>
    </row>
    <row r="30" spans="2:32" x14ac:dyDescent="0.2">
      <c r="B30" s="34"/>
      <c r="C30" s="91"/>
      <c r="D30" s="103" t="s">
        <v>200</v>
      </c>
      <c r="E30" s="92"/>
      <c r="F30" s="807">
        <f>SUMIF('form t'!$G$11:$G$110,D30,'form t'!$O$11:$O$110)</f>
        <v>0</v>
      </c>
      <c r="G30" s="807">
        <f t="shared" si="0"/>
        <v>0</v>
      </c>
      <c r="H30" s="843">
        <f>G30*geg!$G$42</f>
        <v>0</v>
      </c>
      <c r="I30" s="92"/>
      <c r="J30" s="613">
        <f t="shared" si="4"/>
        <v>0</v>
      </c>
      <c r="K30" s="844">
        <f t="shared" si="1"/>
        <v>0</v>
      </c>
      <c r="L30" s="843">
        <f>K30*geg!$G$42</f>
        <v>0</v>
      </c>
      <c r="M30" s="92"/>
      <c r="N30" s="821">
        <f t="shared" si="2"/>
        <v>0</v>
      </c>
      <c r="O30" s="821">
        <f t="shared" si="3"/>
        <v>0</v>
      </c>
      <c r="P30" s="801">
        <f>O30*geg!$G$42</f>
        <v>0</v>
      </c>
      <c r="Q30" s="98"/>
      <c r="R30" s="37"/>
      <c r="V30" s="236"/>
      <c r="X30" s="236"/>
      <c r="AD30" s="236"/>
      <c r="AF30" s="236"/>
    </row>
    <row r="31" spans="2:32" x14ac:dyDescent="0.2">
      <c r="B31" s="34"/>
      <c r="C31" s="91"/>
      <c r="D31" s="103" t="s">
        <v>201</v>
      </c>
      <c r="E31" s="92"/>
      <c r="F31" s="807">
        <f>SUMIF('form t'!$G$11:$G$110,D31,'form t'!$O$11:$O$110)</f>
        <v>0</v>
      </c>
      <c r="G31" s="807">
        <f t="shared" si="0"/>
        <v>0</v>
      </c>
      <c r="H31" s="843">
        <f>G31*geg!$G$42</f>
        <v>0</v>
      </c>
      <c r="I31" s="92"/>
      <c r="J31" s="613">
        <f t="shared" si="4"/>
        <v>0</v>
      </c>
      <c r="K31" s="844">
        <f t="shared" si="1"/>
        <v>0</v>
      </c>
      <c r="L31" s="843">
        <f>K31*geg!$G$42</f>
        <v>0</v>
      </c>
      <c r="M31" s="92"/>
      <c r="N31" s="821">
        <f t="shared" si="2"/>
        <v>0</v>
      </c>
      <c r="O31" s="821">
        <f t="shared" si="3"/>
        <v>0</v>
      </c>
      <c r="P31" s="801">
        <f>O31*geg!$G$42</f>
        <v>0</v>
      </c>
      <c r="Q31" s="98"/>
      <c r="R31" s="37"/>
      <c r="V31" s="236"/>
      <c r="X31" s="236"/>
      <c r="AD31" s="236"/>
      <c r="AF31" s="236"/>
    </row>
    <row r="32" spans="2:32" x14ac:dyDescent="0.2">
      <c r="B32" s="34"/>
      <c r="C32" s="91"/>
      <c r="D32" s="103" t="s">
        <v>202</v>
      </c>
      <c r="E32" s="92"/>
      <c r="F32" s="807">
        <f>SUMIF('form t'!$G$11:$G$110,D32,'form t'!$O$11:$O$110)</f>
        <v>1</v>
      </c>
      <c r="G32" s="807">
        <f t="shared" si="0"/>
        <v>1</v>
      </c>
      <c r="H32" s="843">
        <f>G32*geg!$G$42</f>
        <v>61000</v>
      </c>
      <c r="I32" s="92"/>
      <c r="J32" s="613">
        <f t="shared" si="4"/>
        <v>1</v>
      </c>
      <c r="K32" s="844">
        <f t="shared" si="1"/>
        <v>1</v>
      </c>
      <c r="L32" s="843">
        <f>K32*geg!$G$42</f>
        <v>61000</v>
      </c>
      <c r="M32" s="92"/>
      <c r="N32" s="821">
        <f t="shared" si="2"/>
        <v>0</v>
      </c>
      <c r="O32" s="821">
        <f t="shared" si="3"/>
        <v>0</v>
      </c>
      <c r="P32" s="801">
        <f>O32*geg!$G$42</f>
        <v>0</v>
      </c>
      <c r="Q32" s="98"/>
      <c r="R32" s="37"/>
      <c r="V32" s="236"/>
      <c r="X32" s="236"/>
      <c r="AD32" s="236"/>
      <c r="AF32" s="236"/>
    </row>
    <row r="33" spans="2:32" x14ac:dyDescent="0.2">
      <c r="B33" s="34"/>
      <c r="C33" s="91"/>
      <c r="D33" s="103" t="s">
        <v>203</v>
      </c>
      <c r="E33" s="92"/>
      <c r="F33" s="807">
        <f>SUMIF('form t'!$G$11:$G$110,D33,'form t'!$O$11:$O$110)</f>
        <v>0</v>
      </c>
      <c r="G33" s="807">
        <f t="shared" si="0"/>
        <v>0</v>
      </c>
      <c r="H33" s="843">
        <f>G33*geg!$G$42</f>
        <v>0</v>
      </c>
      <c r="I33" s="92"/>
      <c r="J33" s="613">
        <f t="shared" si="4"/>
        <v>0</v>
      </c>
      <c r="K33" s="844">
        <f>J33*(VLOOKUP(D33,FPE_LA,2,FALSE))</f>
        <v>0</v>
      </c>
      <c r="L33" s="843">
        <f>K33*geg!$G$42</f>
        <v>0</v>
      </c>
      <c r="M33" s="92"/>
      <c r="N33" s="821">
        <f>+J33-F33</f>
        <v>0</v>
      </c>
      <c r="O33" s="821">
        <f>+K33-G33</f>
        <v>0</v>
      </c>
      <c r="P33" s="801">
        <f>O33*geg!$G$42</f>
        <v>0</v>
      </c>
      <c r="Q33" s="98"/>
      <c r="R33" s="37"/>
      <c r="V33" s="236"/>
      <c r="X33" s="236"/>
      <c r="AD33" s="236"/>
      <c r="AF33" s="236"/>
    </row>
    <row r="34" spans="2:32" x14ac:dyDescent="0.2">
      <c r="B34" s="34"/>
      <c r="C34" s="91"/>
      <c r="D34" s="103" t="s">
        <v>204</v>
      </c>
      <c r="E34" s="92"/>
      <c r="F34" s="807">
        <f>SUMIF('form t'!$G$11:$G$110,D34,'form t'!$O$11:$O$110)</f>
        <v>0</v>
      </c>
      <c r="G34" s="807">
        <f t="shared" si="0"/>
        <v>0</v>
      </c>
      <c r="H34" s="843">
        <f>G34*geg!$G$42</f>
        <v>0</v>
      </c>
      <c r="I34" s="92"/>
      <c r="J34" s="613">
        <f t="shared" si="4"/>
        <v>0</v>
      </c>
      <c r="K34" s="844">
        <f t="shared" si="1"/>
        <v>0</v>
      </c>
      <c r="L34" s="843">
        <f>K34*geg!$G$42</f>
        <v>0</v>
      </c>
      <c r="M34" s="92"/>
      <c r="N34" s="821">
        <f t="shared" si="2"/>
        <v>0</v>
      </c>
      <c r="O34" s="821">
        <f t="shared" si="3"/>
        <v>0</v>
      </c>
      <c r="P34" s="801">
        <f>O34*geg!$G$42</f>
        <v>0</v>
      </c>
      <c r="Q34" s="98"/>
      <c r="R34" s="37"/>
      <c r="V34" s="236"/>
      <c r="X34" s="236"/>
      <c r="AD34" s="236"/>
      <c r="AF34" s="236"/>
    </row>
    <row r="35" spans="2:32" x14ac:dyDescent="0.2">
      <c r="B35" s="34"/>
      <c r="C35" s="91"/>
      <c r="D35" s="103" t="s">
        <v>205</v>
      </c>
      <c r="E35" s="92"/>
      <c r="F35" s="807">
        <f>SUMIF('form t'!$G$11:$G$110,D35,'form t'!$O$11:$O$110)</f>
        <v>0</v>
      </c>
      <c r="G35" s="807">
        <f t="shared" si="0"/>
        <v>0</v>
      </c>
      <c r="H35" s="843">
        <f>G35*geg!$G$42</f>
        <v>0</v>
      </c>
      <c r="I35" s="92"/>
      <c r="J35" s="613">
        <f t="shared" si="4"/>
        <v>0</v>
      </c>
      <c r="K35" s="844">
        <f t="shared" si="1"/>
        <v>0</v>
      </c>
      <c r="L35" s="843">
        <f>K35*geg!$G$42</f>
        <v>0</v>
      </c>
      <c r="M35" s="92"/>
      <c r="N35" s="821">
        <f t="shared" si="2"/>
        <v>0</v>
      </c>
      <c r="O35" s="821">
        <f t="shared" si="3"/>
        <v>0</v>
      </c>
      <c r="P35" s="801">
        <f>O35*geg!$G$42</f>
        <v>0</v>
      </c>
      <c r="Q35" s="98"/>
      <c r="R35" s="37"/>
      <c r="V35" s="236"/>
      <c r="X35" s="236"/>
      <c r="AD35" s="236"/>
      <c r="AF35" s="236"/>
    </row>
    <row r="36" spans="2:32" x14ac:dyDescent="0.2">
      <c r="B36" s="34"/>
      <c r="C36" s="91"/>
      <c r="D36" s="103" t="s">
        <v>206</v>
      </c>
      <c r="E36" s="92"/>
      <c r="F36" s="807">
        <f>SUMIF('form t'!$G$11:$G$110,D36,'form t'!$O$11:$O$110)</f>
        <v>0</v>
      </c>
      <c r="G36" s="807">
        <f t="shared" si="0"/>
        <v>0</v>
      </c>
      <c r="H36" s="843">
        <f>G36*geg!$G$42</f>
        <v>0</v>
      </c>
      <c r="I36" s="92"/>
      <c r="J36" s="613">
        <f t="shared" si="4"/>
        <v>0</v>
      </c>
      <c r="K36" s="844">
        <f t="shared" si="1"/>
        <v>0</v>
      </c>
      <c r="L36" s="843">
        <f>K36*geg!$G$42</f>
        <v>0</v>
      </c>
      <c r="M36" s="92"/>
      <c r="N36" s="821">
        <f t="shared" si="2"/>
        <v>0</v>
      </c>
      <c r="O36" s="821">
        <f t="shared" si="3"/>
        <v>0</v>
      </c>
      <c r="P36" s="801">
        <f>O36*geg!$G$42</f>
        <v>0</v>
      </c>
      <c r="Q36" s="98"/>
      <c r="R36" s="37"/>
      <c r="V36" s="236"/>
      <c r="X36" s="236"/>
      <c r="AD36" s="236"/>
      <c r="AF36" s="236"/>
    </row>
    <row r="37" spans="2:32" x14ac:dyDescent="0.2">
      <c r="B37" s="34"/>
      <c r="C37" s="91"/>
      <c r="D37" s="103">
        <v>1</v>
      </c>
      <c r="E37" s="92"/>
      <c r="F37" s="807">
        <f>SUMIF('form t'!$G$11:$G$110,D37,'form t'!$O$11:$O$110)</f>
        <v>0</v>
      </c>
      <c r="G37" s="807">
        <f t="shared" si="0"/>
        <v>0</v>
      </c>
      <c r="H37" s="843">
        <f>G37*geg!$G$42</f>
        <v>0</v>
      </c>
      <c r="I37" s="92"/>
      <c r="J37" s="613">
        <f t="shared" si="4"/>
        <v>0</v>
      </c>
      <c r="K37" s="844">
        <f t="shared" si="1"/>
        <v>0</v>
      </c>
      <c r="L37" s="843">
        <f>K37*geg!$G$42</f>
        <v>0</v>
      </c>
      <c r="M37" s="92"/>
      <c r="N37" s="821">
        <f t="shared" si="2"/>
        <v>0</v>
      </c>
      <c r="O37" s="821">
        <f t="shared" si="3"/>
        <v>0</v>
      </c>
      <c r="P37" s="801">
        <f>O37*geg!$G$42</f>
        <v>0</v>
      </c>
      <c r="Q37" s="98"/>
      <c r="R37" s="37"/>
      <c r="V37" s="236"/>
      <c r="X37" s="236"/>
      <c r="AD37" s="236"/>
      <c r="AF37" s="236"/>
    </row>
    <row r="38" spans="2:32" x14ac:dyDescent="0.2">
      <c r="B38" s="34"/>
      <c r="C38" s="91"/>
      <c r="D38" s="103">
        <v>2</v>
      </c>
      <c r="E38" s="92"/>
      <c r="F38" s="807">
        <f>SUMIF('form t'!$G$11:$G$110,D38,'form t'!$O$11:$O$110)</f>
        <v>0</v>
      </c>
      <c r="G38" s="807">
        <f t="shared" si="0"/>
        <v>0</v>
      </c>
      <c r="H38" s="843">
        <f>G38*geg!$G$42</f>
        <v>0</v>
      </c>
      <c r="I38" s="92"/>
      <c r="J38" s="613">
        <f t="shared" si="4"/>
        <v>0</v>
      </c>
      <c r="K38" s="844">
        <f t="shared" si="1"/>
        <v>0</v>
      </c>
      <c r="L38" s="843">
        <f>K38*geg!$G$42</f>
        <v>0</v>
      </c>
      <c r="M38" s="92"/>
      <c r="N38" s="821">
        <f t="shared" si="2"/>
        <v>0</v>
      </c>
      <c r="O38" s="821">
        <f t="shared" si="3"/>
        <v>0</v>
      </c>
      <c r="P38" s="801">
        <f>O38*geg!$G$42</f>
        <v>0</v>
      </c>
      <c r="Q38" s="98"/>
      <c r="R38" s="37"/>
      <c r="V38" s="236"/>
      <c r="X38" s="236"/>
      <c r="AD38" s="236"/>
      <c r="AF38" s="236"/>
    </row>
    <row r="39" spans="2:32" x14ac:dyDescent="0.2">
      <c r="B39" s="34"/>
      <c r="C39" s="91"/>
      <c r="D39" s="103">
        <v>3</v>
      </c>
      <c r="E39" s="92"/>
      <c r="F39" s="807">
        <f>SUMIF('form t'!$G$11:$G$110,D39,'form t'!$O$11:$O$110)</f>
        <v>0</v>
      </c>
      <c r="G39" s="807">
        <f t="shared" si="0"/>
        <v>0</v>
      </c>
      <c r="H39" s="843">
        <f>G39*geg!$G$42</f>
        <v>0</v>
      </c>
      <c r="I39" s="92"/>
      <c r="J39" s="613">
        <f t="shared" si="4"/>
        <v>0</v>
      </c>
      <c r="K39" s="844">
        <f t="shared" si="1"/>
        <v>0</v>
      </c>
      <c r="L39" s="843">
        <f>K39*geg!$G$42</f>
        <v>0</v>
      </c>
      <c r="M39" s="92"/>
      <c r="N39" s="821">
        <f t="shared" si="2"/>
        <v>0</v>
      </c>
      <c r="O39" s="821">
        <f t="shared" si="3"/>
        <v>0</v>
      </c>
      <c r="P39" s="801">
        <f>O39*geg!$G$42</f>
        <v>0</v>
      </c>
      <c r="Q39" s="98"/>
      <c r="R39" s="37"/>
      <c r="V39" s="236"/>
      <c r="X39" s="236"/>
      <c r="AD39" s="236"/>
      <c r="AF39" s="236"/>
    </row>
    <row r="40" spans="2:32" x14ac:dyDescent="0.2">
      <c r="B40" s="34"/>
      <c r="C40" s="91"/>
      <c r="D40" s="103">
        <v>4</v>
      </c>
      <c r="E40" s="92"/>
      <c r="F40" s="807">
        <f>SUMIF('form t'!$G$11:$G$110,D40,'form t'!$O$11:$O$110)</f>
        <v>0</v>
      </c>
      <c r="G40" s="807">
        <f t="shared" si="0"/>
        <v>0</v>
      </c>
      <c r="H40" s="843">
        <f>G40*geg!$G$42</f>
        <v>0</v>
      </c>
      <c r="I40" s="92"/>
      <c r="J40" s="613">
        <f t="shared" si="4"/>
        <v>0</v>
      </c>
      <c r="K40" s="844">
        <f t="shared" si="1"/>
        <v>0</v>
      </c>
      <c r="L40" s="843">
        <f>K40*geg!$G$42</f>
        <v>0</v>
      </c>
      <c r="M40" s="92"/>
      <c r="N40" s="821">
        <f t="shared" si="2"/>
        <v>0</v>
      </c>
      <c r="O40" s="821">
        <f t="shared" si="3"/>
        <v>0</v>
      </c>
      <c r="P40" s="801">
        <f>O40*geg!$G$42</f>
        <v>0</v>
      </c>
      <c r="Q40" s="98"/>
      <c r="R40" s="37"/>
      <c r="V40" s="236"/>
      <c r="X40" s="236"/>
      <c r="AD40" s="236"/>
      <c r="AF40" s="236"/>
    </row>
    <row r="41" spans="2:32" x14ac:dyDescent="0.2">
      <c r="B41" s="34"/>
      <c r="C41" s="91"/>
      <c r="D41" s="103">
        <v>5</v>
      </c>
      <c r="E41" s="92"/>
      <c r="F41" s="807">
        <f>SUMIF('form t'!$G$11:$G$110,D41,'form t'!$O$11:$O$110)</f>
        <v>0</v>
      </c>
      <c r="G41" s="807">
        <f t="shared" si="0"/>
        <v>0</v>
      </c>
      <c r="H41" s="843">
        <f>G41*geg!$G$42</f>
        <v>0</v>
      </c>
      <c r="I41" s="92"/>
      <c r="J41" s="613">
        <f t="shared" si="4"/>
        <v>0</v>
      </c>
      <c r="K41" s="844">
        <f t="shared" si="1"/>
        <v>0</v>
      </c>
      <c r="L41" s="843">
        <f>K41*geg!$G$42</f>
        <v>0</v>
      </c>
      <c r="M41" s="92"/>
      <c r="N41" s="821">
        <f t="shared" si="2"/>
        <v>0</v>
      </c>
      <c r="O41" s="821">
        <f t="shared" si="3"/>
        <v>0</v>
      </c>
      <c r="P41" s="801">
        <f>O41*geg!$G$42</f>
        <v>0</v>
      </c>
      <c r="Q41" s="98"/>
      <c r="R41" s="37"/>
      <c r="V41" s="236"/>
      <c r="X41" s="236"/>
      <c r="AD41" s="236"/>
      <c r="AF41" s="236"/>
    </row>
    <row r="42" spans="2:32" x14ac:dyDescent="0.2">
      <c r="B42" s="34"/>
      <c r="C42" s="91"/>
      <c r="D42" s="103">
        <v>6</v>
      </c>
      <c r="E42" s="92"/>
      <c r="F42" s="807">
        <f>SUMIF('form t'!$G$11:$G$110,D42,'form t'!$O$11:$O$110)</f>
        <v>0</v>
      </c>
      <c r="G42" s="807">
        <f t="shared" si="0"/>
        <v>0</v>
      </c>
      <c r="H42" s="843">
        <f>G42*geg!$G$42</f>
        <v>0</v>
      </c>
      <c r="I42" s="92"/>
      <c r="J42" s="613">
        <f t="shared" si="4"/>
        <v>0</v>
      </c>
      <c r="K42" s="844">
        <f t="shared" si="1"/>
        <v>0</v>
      </c>
      <c r="L42" s="843">
        <f>K42*geg!$G$42</f>
        <v>0</v>
      </c>
      <c r="M42" s="92"/>
      <c r="N42" s="821">
        <f t="shared" si="2"/>
        <v>0</v>
      </c>
      <c r="O42" s="821">
        <f t="shared" si="3"/>
        <v>0</v>
      </c>
      <c r="P42" s="801">
        <f>O42*geg!$G$42</f>
        <v>0</v>
      </c>
      <c r="Q42" s="98"/>
      <c r="R42" s="37"/>
      <c r="V42" s="236"/>
      <c r="X42" s="236"/>
      <c r="AD42" s="236"/>
      <c r="AF42" s="236"/>
    </row>
    <row r="43" spans="2:32" x14ac:dyDescent="0.2">
      <c r="B43" s="34"/>
      <c r="C43" s="91"/>
      <c r="D43" s="103">
        <v>7</v>
      </c>
      <c r="E43" s="92"/>
      <c r="F43" s="807">
        <f>SUMIF('form t'!$G$11:$G$110,D43,'form t'!$O$11:$O$110)</f>
        <v>0</v>
      </c>
      <c r="G43" s="807">
        <f t="shared" si="0"/>
        <v>0</v>
      </c>
      <c r="H43" s="843">
        <f>G43*geg!$G$42</f>
        <v>0</v>
      </c>
      <c r="I43" s="92"/>
      <c r="J43" s="613">
        <f t="shared" si="4"/>
        <v>0</v>
      </c>
      <c r="K43" s="844">
        <f t="shared" si="1"/>
        <v>0</v>
      </c>
      <c r="L43" s="843">
        <f>K43*geg!$G$42</f>
        <v>0</v>
      </c>
      <c r="M43" s="92"/>
      <c r="N43" s="821">
        <f t="shared" si="2"/>
        <v>0</v>
      </c>
      <c r="O43" s="821">
        <f t="shared" si="3"/>
        <v>0</v>
      </c>
      <c r="P43" s="801">
        <f>O43*geg!$G$42</f>
        <v>0</v>
      </c>
      <c r="Q43" s="98"/>
      <c r="R43" s="37"/>
      <c r="V43" s="236"/>
      <c r="X43" s="236"/>
      <c r="AD43" s="236"/>
      <c r="AF43" s="236"/>
    </row>
    <row r="44" spans="2:32" x14ac:dyDescent="0.2">
      <c r="B44" s="34"/>
      <c r="C44" s="91"/>
      <c r="D44" s="103">
        <v>8</v>
      </c>
      <c r="E44" s="92"/>
      <c r="F44" s="807">
        <f>SUMIF('form t'!$G$11:$G$110,D44,'form t'!$O$11:$O$110)</f>
        <v>0</v>
      </c>
      <c r="G44" s="807">
        <f t="shared" si="0"/>
        <v>0</v>
      </c>
      <c r="H44" s="843">
        <f>G44*geg!$G$42</f>
        <v>0</v>
      </c>
      <c r="I44" s="92"/>
      <c r="J44" s="613">
        <f t="shared" si="4"/>
        <v>0</v>
      </c>
      <c r="K44" s="844">
        <f t="shared" si="1"/>
        <v>0</v>
      </c>
      <c r="L44" s="843">
        <f>K44*geg!$G$42</f>
        <v>0</v>
      </c>
      <c r="M44" s="92"/>
      <c r="N44" s="821">
        <f t="shared" si="2"/>
        <v>0</v>
      </c>
      <c r="O44" s="821">
        <f t="shared" si="3"/>
        <v>0</v>
      </c>
      <c r="P44" s="801">
        <f>O44*geg!$G$42</f>
        <v>0</v>
      </c>
      <c r="Q44" s="98"/>
      <c r="R44" s="37"/>
      <c r="V44" s="236"/>
      <c r="X44" s="236"/>
      <c r="AD44" s="236"/>
      <c r="AF44" s="236"/>
    </row>
    <row r="45" spans="2:32" x14ac:dyDescent="0.2">
      <c r="B45" s="34"/>
      <c r="C45" s="91"/>
      <c r="D45" s="103">
        <v>9</v>
      </c>
      <c r="E45" s="92"/>
      <c r="F45" s="807">
        <f>SUMIF('form t'!$G$11:$G$110,D45,'form t'!$O$11:$O$110)</f>
        <v>0</v>
      </c>
      <c r="G45" s="807">
        <f t="shared" si="0"/>
        <v>0</v>
      </c>
      <c r="H45" s="843">
        <f>G45*geg!$G$42</f>
        <v>0</v>
      </c>
      <c r="I45" s="92"/>
      <c r="J45" s="613">
        <f t="shared" si="4"/>
        <v>0</v>
      </c>
      <c r="K45" s="844">
        <f t="shared" si="1"/>
        <v>0</v>
      </c>
      <c r="L45" s="843">
        <f>K45*geg!$G$42</f>
        <v>0</v>
      </c>
      <c r="M45" s="92"/>
      <c r="N45" s="821">
        <f t="shared" si="2"/>
        <v>0</v>
      </c>
      <c r="O45" s="821">
        <f t="shared" si="3"/>
        <v>0</v>
      </c>
      <c r="P45" s="801">
        <f>O45*geg!$G$42</f>
        <v>0</v>
      </c>
      <c r="Q45" s="98"/>
      <c r="R45" s="37"/>
      <c r="V45" s="236"/>
      <c r="X45" s="236"/>
      <c r="AD45" s="236"/>
      <c r="AF45" s="236"/>
    </row>
    <row r="46" spans="2:32" x14ac:dyDescent="0.2">
      <c r="B46" s="34"/>
      <c r="C46" s="91"/>
      <c r="D46" s="103">
        <v>10</v>
      </c>
      <c r="E46" s="92"/>
      <c r="F46" s="807">
        <f>SUMIF('form t'!$G$11:$G$110,D46,'form t'!$O$11:$O$110)</f>
        <v>0</v>
      </c>
      <c r="G46" s="807">
        <f t="shared" si="0"/>
        <v>0</v>
      </c>
      <c r="H46" s="843">
        <f>G46*geg!$G$42</f>
        <v>0</v>
      </c>
      <c r="I46" s="92"/>
      <c r="J46" s="613">
        <f t="shared" si="4"/>
        <v>0</v>
      </c>
      <c r="K46" s="844">
        <f t="shared" si="1"/>
        <v>0</v>
      </c>
      <c r="L46" s="843">
        <f>K46*geg!$G$42</f>
        <v>0</v>
      </c>
      <c r="M46" s="92"/>
      <c r="N46" s="821">
        <f t="shared" si="2"/>
        <v>0</v>
      </c>
      <c r="O46" s="821">
        <f t="shared" si="3"/>
        <v>0</v>
      </c>
      <c r="P46" s="801">
        <f>O46*geg!$G$42</f>
        <v>0</v>
      </c>
      <c r="Q46" s="98"/>
      <c r="R46" s="37"/>
      <c r="V46" s="236"/>
      <c r="X46" s="236"/>
      <c r="AD46" s="236"/>
      <c r="AF46" s="236"/>
    </row>
    <row r="47" spans="2:32" x14ac:dyDescent="0.2">
      <c r="B47" s="34"/>
      <c r="C47" s="91"/>
      <c r="D47" s="103">
        <v>11</v>
      </c>
      <c r="E47" s="92"/>
      <c r="F47" s="807">
        <f>SUMIF('form t'!$G$11:$G$110,D47,'form t'!$O$11:$O$110)</f>
        <v>0</v>
      </c>
      <c r="G47" s="807">
        <f t="shared" si="0"/>
        <v>0</v>
      </c>
      <c r="H47" s="843">
        <f>G47*geg!$G$42</f>
        <v>0</v>
      </c>
      <c r="I47" s="92"/>
      <c r="J47" s="613">
        <f t="shared" si="4"/>
        <v>0</v>
      </c>
      <c r="K47" s="844">
        <f t="shared" si="1"/>
        <v>0</v>
      </c>
      <c r="L47" s="843">
        <f>K47*geg!$G$42</f>
        <v>0</v>
      </c>
      <c r="M47" s="92"/>
      <c r="N47" s="821">
        <f t="shared" si="2"/>
        <v>0</v>
      </c>
      <c r="O47" s="821">
        <f t="shared" si="3"/>
        <v>0</v>
      </c>
      <c r="P47" s="801">
        <f>O47*geg!$G$42</f>
        <v>0</v>
      </c>
      <c r="Q47" s="98"/>
      <c r="R47" s="37"/>
      <c r="V47" s="236"/>
      <c r="X47" s="236"/>
      <c r="AD47" s="236"/>
      <c r="AF47" s="236"/>
    </row>
    <row r="48" spans="2:32" x14ac:dyDescent="0.2">
      <c r="B48" s="34"/>
      <c r="C48" s="91"/>
      <c r="D48" s="103">
        <v>12</v>
      </c>
      <c r="E48" s="92"/>
      <c r="F48" s="807">
        <f>SUMIF('form t'!$G$11:$G$110,D48,'form t'!$O$11:$O$110)</f>
        <v>0</v>
      </c>
      <c r="G48" s="807">
        <f t="shared" si="0"/>
        <v>0</v>
      </c>
      <c r="H48" s="843">
        <f>G48*geg!$G$42</f>
        <v>0</v>
      </c>
      <c r="I48" s="92"/>
      <c r="J48" s="613">
        <f t="shared" si="4"/>
        <v>0</v>
      </c>
      <c r="K48" s="844">
        <f t="shared" si="1"/>
        <v>0</v>
      </c>
      <c r="L48" s="843">
        <f>K48*geg!$G$42</f>
        <v>0</v>
      </c>
      <c r="M48" s="92"/>
      <c r="N48" s="821">
        <f t="shared" si="2"/>
        <v>0</v>
      </c>
      <c r="O48" s="821">
        <f t="shared" si="3"/>
        <v>0</v>
      </c>
      <c r="P48" s="801">
        <f>O48*geg!$G$42</f>
        <v>0</v>
      </c>
      <c r="Q48" s="98"/>
      <c r="R48" s="37"/>
      <c r="V48" s="236"/>
      <c r="X48" s="236"/>
      <c r="AD48" s="236"/>
      <c r="AF48" s="236"/>
    </row>
    <row r="49" spans="2:32" x14ac:dyDescent="0.2">
      <c r="B49" s="34"/>
      <c r="C49" s="91"/>
      <c r="D49" s="103">
        <v>13</v>
      </c>
      <c r="E49" s="92"/>
      <c r="F49" s="807">
        <f>SUMIF('form t'!$G$11:$G$110,D49,'form t'!$O$11:$O$110)</f>
        <v>0</v>
      </c>
      <c r="G49" s="807">
        <f t="shared" si="0"/>
        <v>0</v>
      </c>
      <c r="H49" s="843">
        <f>G49*geg!$G$42</f>
        <v>0</v>
      </c>
      <c r="I49" s="92"/>
      <c r="J49" s="613">
        <f t="shared" si="4"/>
        <v>0</v>
      </c>
      <c r="K49" s="844">
        <f t="shared" si="1"/>
        <v>0</v>
      </c>
      <c r="L49" s="843">
        <f>K49*geg!$G$42</f>
        <v>0</v>
      </c>
      <c r="M49" s="92"/>
      <c r="N49" s="821">
        <f t="shared" si="2"/>
        <v>0</v>
      </c>
      <c r="O49" s="821">
        <f t="shared" si="3"/>
        <v>0</v>
      </c>
      <c r="P49" s="801">
        <f>O49*geg!$G$42</f>
        <v>0</v>
      </c>
      <c r="Q49" s="98"/>
      <c r="R49" s="37"/>
      <c r="V49" s="236"/>
      <c r="X49" s="236"/>
      <c r="AD49" s="236"/>
      <c r="AF49" s="236"/>
    </row>
    <row r="50" spans="2:32" x14ac:dyDescent="0.2">
      <c r="B50" s="34"/>
      <c r="C50" s="91"/>
      <c r="D50" s="103">
        <v>14</v>
      </c>
      <c r="E50" s="92"/>
      <c r="F50" s="807">
        <f>SUMIF('form t'!$G$11:$G$110,D50,'form t'!$O$11:$O$110)</f>
        <v>0</v>
      </c>
      <c r="G50" s="807">
        <f t="shared" si="0"/>
        <v>0</v>
      </c>
      <c r="H50" s="843">
        <f>G50*geg!$G$42</f>
        <v>0</v>
      </c>
      <c r="I50" s="92"/>
      <c r="J50" s="613">
        <f t="shared" si="4"/>
        <v>0</v>
      </c>
      <c r="K50" s="844">
        <f t="shared" si="1"/>
        <v>0</v>
      </c>
      <c r="L50" s="843">
        <f>K50*geg!$G$42</f>
        <v>0</v>
      </c>
      <c r="M50" s="92"/>
      <c r="N50" s="821">
        <f t="shared" si="2"/>
        <v>0</v>
      </c>
      <c r="O50" s="821">
        <f t="shared" si="3"/>
        <v>0</v>
      </c>
      <c r="P50" s="801">
        <f>O50*geg!$G$42</f>
        <v>0</v>
      </c>
      <c r="Q50" s="98"/>
      <c r="R50" s="37"/>
      <c r="V50" s="236"/>
      <c r="X50" s="236"/>
      <c r="AD50" s="236"/>
      <c r="AF50" s="236"/>
    </row>
    <row r="51" spans="2:32" x14ac:dyDescent="0.2">
      <c r="B51" s="34"/>
      <c r="C51" s="91"/>
      <c r="D51" s="103">
        <v>15</v>
      </c>
      <c r="E51" s="92"/>
      <c r="F51" s="807">
        <f>SUMIF('form t'!$G$11:$G$110,D51,'form t'!$O$11:$O$110)</f>
        <v>0</v>
      </c>
      <c r="G51" s="807">
        <f t="shared" ref="G51:G52" si="5">F51*(VLOOKUP(D51,FPE_LA,2,FALSE))</f>
        <v>0</v>
      </c>
      <c r="H51" s="843">
        <f>G51*geg!$G$42</f>
        <v>0</v>
      </c>
      <c r="I51" s="92"/>
      <c r="J51" s="613">
        <f t="shared" ref="J51:J52" si="6">+F51</f>
        <v>0</v>
      </c>
      <c r="K51" s="844">
        <f t="shared" ref="K51:K52" si="7">J51*(VLOOKUP(D51,FPE_LA,2,FALSE))</f>
        <v>0</v>
      </c>
      <c r="L51" s="843">
        <f>K51*geg!$G$42</f>
        <v>0</v>
      </c>
      <c r="M51" s="92"/>
      <c r="N51" s="821">
        <f t="shared" ref="N51:N52" si="8">+J51-F51</f>
        <v>0</v>
      </c>
      <c r="O51" s="821">
        <f t="shared" ref="O51:O52" si="9">+K51-G51</f>
        <v>0</v>
      </c>
      <c r="P51" s="801">
        <f>O51*geg!$G$42</f>
        <v>0</v>
      </c>
      <c r="Q51" s="98"/>
      <c r="R51" s="37"/>
      <c r="V51" s="236"/>
      <c r="X51" s="236"/>
      <c r="AD51" s="236"/>
      <c r="AF51" s="236"/>
    </row>
    <row r="52" spans="2:32" x14ac:dyDescent="0.2">
      <c r="B52" s="34"/>
      <c r="C52" s="91"/>
      <c r="D52" s="103">
        <v>16</v>
      </c>
      <c r="E52" s="92"/>
      <c r="F52" s="807">
        <f>SUMIF('form t'!$G$11:$G$110,D52,'form t'!$O$11:$O$110)</f>
        <v>0</v>
      </c>
      <c r="G52" s="807">
        <f t="shared" si="5"/>
        <v>0</v>
      </c>
      <c r="H52" s="843">
        <f>G52*geg!$G$42</f>
        <v>0</v>
      </c>
      <c r="I52" s="92"/>
      <c r="J52" s="613">
        <f t="shared" si="6"/>
        <v>0</v>
      </c>
      <c r="K52" s="844">
        <f t="shared" si="7"/>
        <v>0</v>
      </c>
      <c r="L52" s="843">
        <f>K52*geg!$G$42</f>
        <v>0</v>
      </c>
      <c r="M52" s="92"/>
      <c r="N52" s="821">
        <f t="shared" si="8"/>
        <v>0</v>
      </c>
      <c r="O52" s="821">
        <f t="shared" si="9"/>
        <v>0</v>
      </c>
      <c r="P52" s="801">
        <f>O52*geg!$G$42</f>
        <v>0</v>
      </c>
      <c r="Q52" s="98"/>
      <c r="R52" s="37"/>
      <c r="V52" s="236"/>
      <c r="X52" s="236"/>
      <c r="AD52" s="236"/>
      <c r="AF52" s="236"/>
    </row>
    <row r="53" spans="2:32" x14ac:dyDescent="0.2">
      <c r="B53" s="34"/>
      <c r="C53" s="91"/>
      <c r="D53" s="103" t="s">
        <v>207</v>
      </c>
      <c r="E53" s="92"/>
      <c r="F53" s="807">
        <f>SUMIF('form t'!$G$11:$G$110,D53,'form t'!$O$11:$O$110)</f>
        <v>0</v>
      </c>
      <c r="G53" s="807">
        <f t="shared" si="0"/>
        <v>0</v>
      </c>
      <c r="H53" s="843">
        <f>G53*geg!$G$42</f>
        <v>0</v>
      </c>
      <c r="I53" s="92"/>
      <c r="J53" s="613">
        <f t="shared" si="4"/>
        <v>0</v>
      </c>
      <c r="K53" s="844">
        <f t="shared" si="1"/>
        <v>0</v>
      </c>
      <c r="L53" s="843">
        <f>K53*geg!$G$42</f>
        <v>0</v>
      </c>
      <c r="M53" s="92"/>
      <c r="N53" s="821">
        <f t="shared" si="2"/>
        <v>0</v>
      </c>
      <c r="O53" s="821">
        <f t="shared" si="3"/>
        <v>0</v>
      </c>
      <c r="P53" s="801">
        <f>O53*geg!$G$42</f>
        <v>0</v>
      </c>
      <c r="Q53" s="98"/>
      <c r="R53" s="37"/>
      <c r="V53" s="236"/>
      <c r="X53" s="236"/>
      <c r="AD53" s="236"/>
      <c r="AF53" s="236"/>
    </row>
    <row r="54" spans="2:32" x14ac:dyDescent="0.2">
      <c r="B54" s="34"/>
      <c r="C54" s="91"/>
      <c r="D54" s="103" t="s">
        <v>208</v>
      </c>
      <c r="E54" s="92"/>
      <c r="F54" s="807">
        <f>SUMIF('form t'!$G$11:$G$110,D54,'form t'!$O$11:$O$110)</f>
        <v>0</v>
      </c>
      <c r="G54" s="807">
        <f t="shared" si="0"/>
        <v>0</v>
      </c>
      <c r="H54" s="843">
        <f>G54*geg!$G$42</f>
        <v>0</v>
      </c>
      <c r="I54" s="92"/>
      <c r="J54" s="613">
        <f t="shared" si="4"/>
        <v>0</v>
      </c>
      <c r="K54" s="844">
        <f t="shared" si="1"/>
        <v>0</v>
      </c>
      <c r="L54" s="843">
        <f>K54*geg!$G$42</f>
        <v>0</v>
      </c>
      <c r="M54" s="92"/>
      <c r="N54" s="821">
        <f t="shared" si="2"/>
        <v>0</v>
      </c>
      <c r="O54" s="821">
        <f t="shared" si="3"/>
        <v>0</v>
      </c>
      <c r="P54" s="801">
        <f>O54*geg!$G$42</f>
        <v>0</v>
      </c>
      <c r="Q54" s="98"/>
      <c r="R54" s="37"/>
      <c r="V54" s="236"/>
      <c r="X54" s="236"/>
      <c r="AD54" s="236"/>
      <c r="AF54" s="236"/>
    </row>
    <row r="55" spans="2:32" x14ac:dyDescent="0.2">
      <c r="B55" s="34"/>
      <c r="C55" s="91"/>
      <c r="D55" s="103"/>
      <c r="E55" s="92"/>
      <c r="F55" s="120"/>
      <c r="G55" s="120"/>
      <c r="H55" s="273"/>
      <c r="I55" s="92"/>
      <c r="J55" s="278"/>
      <c r="K55" s="120"/>
      <c r="L55" s="491"/>
      <c r="M55" s="92"/>
      <c r="N55" s="268"/>
      <c r="O55" s="274"/>
      <c r="P55" s="492"/>
      <c r="Q55" s="98"/>
      <c r="R55" s="37"/>
      <c r="V55" s="236"/>
      <c r="X55" s="236"/>
      <c r="AD55" s="236"/>
      <c r="AF55" s="236"/>
    </row>
    <row r="56" spans="2:32" x14ac:dyDescent="0.2">
      <c r="B56" s="34"/>
      <c r="C56" s="91"/>
      <c r="D56" s="106" t="s">
        <v>109</v>
      </c>
      <c r="E56" s="92"/>
      <c r="F56" s="799">
        <f>SUM(F20:F54)</f>
        <v>1</v>
      </c>
      <c r="G56" s="799">
        <f>SUM(G20:G54)</f>
        <v>1</v>
      </c>
      <c r="H56" s="801">
        <f>SUM(H20:H54)</f>
        <v>61000</v>
      </c>
      <c r="I56" s="92"/>
      <c r="J56" s="799">
        <f>SUM(J20:J54)</f>
        <v>1</v>
      </c>
      <c r="K56" s="799">
        <f>SUM(K20:K54)</f>
        <v>1</v>
      </c>
      <c r="L56" s="801">
        <f>SUM(L20:L54)</f>
        <v>61000</v>
      </c>
      <c r="M56" s="92"/>
      <c r="N56" s="799">
        <f>SUM(N20:N54)</f>
        <v>0</v>
      </c>
      <c r="O56" s="799">
        <f>SUM(O20:O54)</f>
        <v>0</v>
      </c>
      <c r="P56" s="801">
        <f>SUM(P20:P54)</f>
        <v>0</v>
      </c>
      <c r="Q56" s="98"/>
      <c r="R56" s="37"/>
      <c r="V56" s="239"/>
      <c r="X56" s="239"/>
      <c r="AD56" s="239"/>
      <c r="AF56" s="239"/>
    </row>
    <row r="57" spans="2:32" x14ac:dyDescent="0.2">
      <c r="B57" s="34"/>
      <c r="C57" s="124"/>
      <c r="D57" s="325"/>
      <c r="E57" s="125"/>
      <c r="F57" s="311"/>
      <c r="G57" s="320"/>
      <c r="H57" s="310"/>
      <c r="I57" s="125"/>
      <c r="J57" s="311"/>
      <c r="K57" s="320"/>
      <c r="L57" s="310"/>
      <c r="M57" s="125"/>
      <c r="N57" s="311"/>
      <c r="O57" s="311"/>
      <c r="P57" s="310"/>
      <c r="Q57" s="126"/>
      <c r="R57" s="37"/>
      <c r="V57" s="239"/>
      <c r="X57" s="239"/>
      <c r="AD57" s="239"/>
      <c r="AF57" s="239"/>
    </row>
    <row r="58" spans="2:32" x14ac:dyDescent="0.2">
      <c r="B58" s="34"/>
      <c r="C58" s="35"/>
      <c r="D58" s="254"/>
      <c r="E58" s="35"/>
      <c r="F58" s="254"/>
      <c r="G58" s="252"/>
      <c r="H58" s="251"/>
      <c r="I58" s="35"/>
      <c r="J58" s="254"/>
      <c r="K58" s="252"/>
      <c r="L58" s="251"/>
      <c r="M58" s="35"/>
      <c r="N58" s="248"/>
      <c r="O58" s="248"/>
      <c r="P58" s="251"/>
      <c r="Q58" s="35"/>
      <c r="R58" s="37"/>
      <c r="V58" s="239"/>
      <c r="X58" s="239"/>
      <c r="AD58" s="239"/>
      <c r="AF58" s="239"/>
    </row>
    <row r="59" spans="2:32" ht="15" x14ac:dyDescent="0.25">
      <c r="B59" s="68"/>
      <c r="C59" s="69"/>
      <c r="D59" s="486"/>
      <c r="E59" s="69"/>
      <c r="F59" s="487"/>
      <c r="G59" s="487"/>
      <c r="H59" s="488"/>
      <c r="I59" s="69"/>
      <c r="J59" s="487"/>
      <c r="K59" s="487"/>
      <c r="L59" s="489"/>
      <c r="M59" s="69"/>
      <c r="N59" s="487"/>
      <c r="O59" s="487"/>
      <c r="P59" s="490"/>
      <c r="Q59" s="72" t="s">
        <v>388</v>
      </c>
      <c r="R59" s="85"/>
      <c r="V59" s="239"/>
      <c r="X59" s="239"/>
      <c r="AD59" s="239"/>
      <c r="AF59" s="239"/>
    </row>
    <row r="60" spans="2:32" x14ac:dyDescent="0.2">
      <c r="D60" s="469"/>
      <c r="E60" s="239"/>
      <c r="F60" s="239"/>
      <c r="G60" s="5"/>
      <c r="H60" s="5"/>
      <c r="I60" s="239"/>
      <c r="J60" s="239"/>
      <c r="K60" s="467"/>
      <c r="L60" s="5"/>
      <c r="M60" s="239"/>
      <c r="N60" s="239"/>
      <c r="O60" s="239"/>
      <c r="V60" s="239"/>
      <c r="X60" s="239"/>
      <c r="AD60" s="239"/>
      <c r="AF60" s="239"/>
    </row>
    <row r="61" spans="2:32" x14ac:dyDescent="0.2">
      <c r="E61" s="22"/>
      <c r="G61" s="5"/>
      <c r="H61" s="5"/>
      <c r="I61" s="22"/>
      <c r="L61" s="5"/>
      <c r="M61" s="22"/>
      <c r="N61" s="22"/>
      <c r="O61" s="22"/>
    </row>
  </sheetData>
  <sheetProtection algorithmName="SHA-512" hashValue="6b74cgBes4drDKz3RjWAuFGDiAGJCMHfTnCOIK6fB+1M7BNzddRzDqGkNBrgJmhXGEbmAbqnVWf/YwTdYT+Bvg==" saltValue="oI+IkCdd86Np/mWCj+wE9g==" spinCount="100000" sheet="1" objects="1" scenarios="1"/>
  <mergeCells count="3">
    <mergeCell ref="J15:L15"/>
    <mergeCell ref="N15:P15"/>
    <mergeCell ref="F15:H15"/>
  </mergeCells>
  <phoneticPr fontId="28"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72"/>
  <sheetViews>
    <sheetView zoomScale="85" zoomScaleNormal="85" zoomScaleSheetLayoutView="85" workbookViewId="0">
      <pane ySplit="12" topLeftCell="A13" activePane="bottomLeft" state="frozen"/>
      <selection activeCell="C4" sqref="C4"/>
      <selection pane="bottomLeft" activeCell="B2" sqref="B2"/>
    </sheetView>
  </sheetViews>
  <sheetFormatPr defaultColWidth="9.140625" defaultRowHeight="12.75" x14ac:dyDescent="0.2"/>
  <cols>
    <col min="1" max="1" width="3.7109375" style="168" customWidth="1"/>
    <col min="2" max="3" width="2.7109375" style="168" customWidth="1"/>
    <col min="4" max="4" width="8.7109375" style="480" customWidth="1"/>
    <col min="5" max="5" width="2.7109375" style="168" customWidth="1"/>
    <col min="6" max="6" width="11.85546875" style="473" customWidth="1"/>
    <col min="7" max="7" width="11.7109375" style="473" customWidth="1"/>
    <col min="8" max="8" width="12.7109375" style="480" customWidth="1"/>
    <col min="9" max="9" width="2.7109375" style="168" customWidth="1"/>
    <col min="10" max="11" width="11.7109375" style="473" customWidth="1"/>
    <col min="12" max="12" width="12.7109375" style="480" customWidth="1"/>
    <col min="13" max="13" width="2.7109375" style="168" customWidth="1"/>
    <col min="14" max="15" width="11.7109375" style="168" customWidth="1"/>
    <col min="16" max="16" width="12.7109375" style="480" customWidth="1"/>
    <col min="17" max="17" width="2.7109375" style="168" customWidth="1"/>
    <col min="18" max="19" width="11.7109375" style="168" customWidth="1"/>
    <col min="20" max="20" width="12.7109375" style="480" customWidth="1"/>
    <col min="21" max="21" width="2.7109375" style="168" customWidth="1"/>
    <col min="22" max="23" width="11.7109375" style="168" customWidth="1"/>
    <col min="24" max="24" width="12.7109375" style="480" customWidth="1"/>
    <col min="25" max="28" width="2.7109375" style="168" customWidth="1"/>
    <col min="29" max="16384" width="9.140625" style="168"/>
  </cols>
  <sheetData>
    <row r="2" spans="2:28" x14ac:dyDescent="0.2">
      <c r="B2" s="30"/>
      <c r="C2" s="31"/>
      <c r="D2" s="483"/>
      <c r="E2" s="31"/>
      <c r="F2" s="76"/>
      <c r="G2" s="76"/>
      <c r="H2" s="483"/>
      <c r="I2" s="31"/>
      <c r="J2" s="76"/>
      <c r="K2" s="76"/>
      <c r="L2" s="483"/>
      <c r="M2" s="31"/>
      <c r="N2" s="31"/>
      <c r="O2" s="31"/>
      <c r="P2" s="483"/>
      <c r="Q2" s="31"/>
      <c r="R2" s="31"/>
      <c r="S2" s="31"/>
      <c r="T2" s="483"/>
      <c r="U2" s="31"/>
      <c r="V2" s="31"/>
      <c r="W2" s="31"/>
      <c r="X2" s="483"/>
      <c r="Y2" s="31"/>
      <c r="Z2" s="33"/>
      <c r="AA2" s="5"/>
      <c r="AB2" s="5"/>
    </row>
    <row r="3" spans="2:28" ht="12.75" customHeight="1" x14ac:dyDescent="0.3">
      <c r="B3" s="172"/>
      <c r="C3" s="35"/>
      <c r="D3" s="173"/>
      <c r="E3" s="173"/>
      <c r="F3" s="328"/>
      <c r="G3" s="328"/>
      <c r="H3" s="390"/>
      <c r="I3" s="173"/>
      <c r="J3" s="328"/>
      <c r="K3" s="328"/>
      <c r="L3" s="390"/>
      <c r="M3" s="173"/>
      <c r="N3" s="173"/>
      <c r="O3" s="173"/>
      <c r="P3" s="390"/>
      <c r="Q3" s="173"/>
      <c r="R3" s="173"/>
      <c r="S3" s="173"/>
      <c r="T3" s="390"/>
      <c r="U3" s="173"/>
      <c r="V3" s="173"/>
      <c r="W3" s="173"/>
      <c r="X3" s="390"/>
      <c r="Y3" s="173"/>
      <c r="Z3" s="37"/>
      <c r="AA3" s="5"/>
      <c r="AB3" s="5"/>
    </row>
    <row r="4" spans="2:28" s="215" customFormat="1" ht="18.75" x14ac:dyDescent="0.3">
      <c r="B4" s="208"/>
      <c r="C4" s="214" t="s">
        <v>233</v>
      </c>
      <c r="D4" s="150"/>
      <c r="E4" s="151"/>
      <c r="F4" s="213"/>
      <c r="G4" s="213"/>
      <c r="H4" s="214"/>
      <c r="I4" s="151"/>
      <c r="J4" s="213"/>
      <c r="K4" s="213"/>
      <c r="L4" s="214"/>
      <c r="M4" s="151"/>
      <c r="N4" s="151"/>
      <c r="O4" s="151"/>
      <c r="P4" s="214"/>
      <c r="Q4" s="151"/>
      <c r="R4" s="151"/>
      <c r="S4" s="151"/>
      <c r="T4" s="214"/>
      <c r="U4" s="151"/>
      <c r="V4" s="151"/>
      <c r="W4" s="151"/>
      <c r="X4" s="214"/>
      <c r="Y4" s="151"/>
      <c r="Z4" s="212"/>
      <c r="AA4" s="165"/>
      <c r="AB4" s="165"/>
    </row>
    <row r="5" spans="2:28" s="471" customFormat="1" ht="18.75" x14ac:dyDescent="0.3">
      <c r="B5" s="389"/>
      <c r="C5" s="390" t="str">
        <f>geg!G10</f>
        <v>Basisschool</v>
      </c>
      <c r="D5" s="494"/>
      <c r="E5" s="392"/>
      <c r="F5" s="495"/>
      <c r="G5" s="495"/>
      <c r="H5" s="494"/>
      <c r="I5" s="392"/>
      <c r="J5" s="495"/>
      <c r="K5" s="495"/>
      <c r="L5" s="494"/>
      <c r="M5" s="392"/>
      <c r="N5" s="392"/>
      <c r="O5" s="392"/>
      <c r="P5" s="494"/>
      <c r="Q5" s="392"/>
      <c r="R5" s="392"/>
      <c r="S5" s="392"/>
      <c r="T5" s="494"/>
      <c r="U5" s="392"/>
      <c r="V5" s="392"/>
      <c r="W5" s="392"/>
      <c r="X5" s="494"/>
      <c r="Y5" s="392"/>
      <c r="Z5" s="178"/>
      <c r="AA5" s="19"/>
      <c r="AB5" s="19"/>
    </row>
    <row r="6" spans="2:28" s="470" customFormat="1" x14ac:dyDescent="0.2">
      <c r="B6" s="175"/>
      <c r="C6" s="40"/>
      <c r="D6" s="433"/>
      <c r="E6" s="40"/>
      <c r="F6" s="170"/>
      <c r="G6" s="170"/>
      <c r="H6" s="484"/>
      <c r="I6" s="40"/>
      <c r="J6" s="170"/>
      <c r="K6" s="170"/>
      <c r="L6" s="484"/>
      <c r="M6" s="40"/>
      <c r="N6" s="40"/>
      <c r="O6" s="40"/>
      <c r="P6" s="484"/>
      <c r="Q6" s="40"/>
      <c r="R6" s="40"/>
      <c r="S6" s="40"/>
      <c r="T6" s="484"/>
      <c r="U6" s="40"/>
      <c r="V6" s="40"/>
      <c r="W6" s="40"/>
      <c r="X6" s="484"/>
      <c r="Y6" s="40"/>
      <c r="Z6" s="42"/>
      <c r="AA6" s="8"/>
      <c r="AB6" s="8"/>
    </row>
    <row r="7" spans="2:28" s="470" customFormat="1" x14ac:dyDescent="0.2">
      <c r="B7" s="175"/>
      <c r="C7" s="40"/>
      <c r="D7" s="834"/>
      <c r="E7" s="751"/>
      <c r="F7" s="758"/>
      <c r="G7" s="758"/>
      <c r="H7" s="833"/>
      <c r="I7" s="751"/>
      <c r="J7" s="758"/>
      <c r="K7" s="758"/>
      <c r="L7" s="833"/>
      <c r="M7" s="751"/>
      <c r="N7" s="751"/>
      <c r="O7" s="751"/>
      <c r="P7" s="833"/>
      <c r="Q7" s="751"/>
      <c r="R7" s="751"/>
      <c r="S7" s="751"/>
      <c r="T7" s="833"/>
      <c r="U7" s="751"/>
      <c r="V7" s="751"/>
      <c r="W7" s="751"/>
      <c r="X7" s="833"/>
      <c r="Y7" s="751"/>
      <c r="Z7" s="42"/>
      <c r="AA7" s="8"/>
      <c r="AB7" s="8"/>
    </row>
    <row r="8" spans="2:28" s="215" customFormat="1" x14ac:dyDescent="0.2">
      <c r="B8" s="502"/>
      <c r="C8" s="153"/>
      <c r="D8" s="845"/>
      <c r="E8" s="1003" t="str">
        <f>pers!H9</f>
        <v>2016/17</v>
      </c>
      <c r="F8" s="1004"/>
      <c r="G8" s="1004"/>
      <c r="H8" s="1004"/>
      <c r="I8" s="1003" t="str">
        <f>pers!I9</f>
        <v>2017/18</v>
      </c>
      <c r="J8" s="1004"/>
      <c r="K8" s="1004"/>
      <c r="L8" s="1004"/>
      <c r="M8" s="1003" t="str">
        <f>pers!J9</f>
        <v>2018/19</v>
      </c>
      <c r="N8" s="1004"/>
      <c r="O8" s="1004"/>
      <c r="P8" s="1004"/>
      <c r="Q8" s="1003" t="str">
        <f>pers!K9</f>
        <v>2019/20</v>
      </c>
      <c r="R8" s="1004"/>
      <c r="S8" s="1004"/>
      <c r="T8" s="1004"/>
      <c r="U8" s="1003" t="str">
        <f>pers!L9</f>
        <v>2020/21</v>
      </c>
      <c r="V8" s="1004"/>
      <c r="W8" s="1004"/>
      <c r="X8" s="1004"/>
      <c r="Y8" s="1004"/>
      <c r="Z8" s="212"/>
      <c r="AA8" s="165"/>
      <c r="AB8" s="165"/>
    </row>
    <row r="9" spans="2:28" s="215" customFormat="1" x14ac:dyDescent="0.2">
      <c r="B9" s="210"/>
      <c r="C9" s="153"/>
      <c r="D9" s="833"/>
      <c r="E9" s="751"/>
      <c r="F9" s="758"/>
      <c r="G9" s="846"/>
      <c r="H9" s="833"/>
      <c r="I9" s="751"/>
      <c r="J9" s="758"/>
      <c r="K9" s="846"/>
      <c r="L9" s="833"/>
      <c r="M9" s="751"/>
      <c r="N9" s="751"/>
      <c r="O9" s="846"/>
      <c r="P9" s="833"/>
      <c r="Q9" s="751"/>
      <c r="R9" s="751"/>
      <c r="S9" s="846"/>
      <c r="T9" s="833"/>
      <c r="U9" s="751"/>
      <c r="V9" s="751"/>
      <c r="W9" s="846"/>
      <c r="X9" s="833"/>
      <c r="Y9" s="758"/>
      <c r="Z9" s="212"/>
      <c r="AA9" s="165"/>
      <c r="AB9" s="165"/>
    </row>
    <row r="10" spans="2:28" s="215" customFormat="1" x14ac:dyDescent="0.2">
      <c r="B10" s="210"/>
      <c r="C10" s="165"/>
      <c r="D10" s="847"/>
      <c r="E10" s="749"/>
      <c r="F10" s="810"/>
      <c r="G10" s="848"/>
      <c r="H10" s="849"/>
      <c r="I10" s="749"/>
      <c r="J10" s="810"/>
      <c r="K10" s="848"/>
      <c r="L10" s="849"/>
      <c r="M10" s="749"/>
      <c r="N10" s="749"/>
      <c r="O10" s="850"/>
      <c r="P10" s="849"/>
      <c r="Q10" s="749"/>
      <c r="R10" s="749"/>
      <c r="S10" s="850"/>
      <c r="T10" s="849"/>
      <c r="U10" s="749"/>
      <c r="V10" s="749"/>
      <c r="W10" s="850"/>
      <c r="X10" s="849"/>
      <c r="Y10" s="850"/>
      <c r="Z10" s="212"/>
      <c r="AA10" s="165"/>
      <c r="AB10" s="165"/>
    </row>
    <row r="11" spans="2:28" s="215" customFormat="1" x14ac:dyDescent="0.2">
      <c r="B11" s="503"/>
      <c r="C11" s="504"/>
      <c r="D11" s="847" t="s">
        <v>187</v>
      </c>
      <c r="E11" s="810"/>
      <c r="F11" s="851" t="s">
        <v>188</v>
      </c>
      <c r="G11" s="851" t="s">
        <v>241</v>
      </c>
      <c r="H11" s="851" t="s">
        <v>189</v>
      </c>
      <c r="I11" s="810"/>
      <c r="J11" s="851" t="s">
        <v>188</v>
      </c>
      <c r="K11" s="851" t="s">
        <v>241</v>
      </c>
      <c r="L11" s="851" t="s">
        <v>189</v>
      </c>
      <c r="M11" s="810"/>
      <c r="N11" s="851" t="s">
        <v>188</v>
      </c>
      <c r="O11" s="851" t="s">
        <v>241</v>
      </c>
      <c r="P11" s="851" t="s">
        <v>189</v>
      </c>
      <c r="Q11" s="810"/>
      <c r="R11" s="851" t="s">
        <v>188</v>
      </c>
      <c r="S11" s="851" t="s">
        <v>241</v>
      </c>
      <c r="T11" s="851" t="s">
        <v>189</v>
      </c>
      <c r="U11" s="810"/>
      <c r="V11" s="851" t="s">
        <v>188</v>
      </c>
      <c r="W11" s="851" t="s">
        <v>241</v>
      </c>
      <c r="X11" s="851" t="s">
        <v>189</v>
      </c>
      <c r="Y11" s="851"/>
      <c r="Z11" s="212"/>
      <c r="AA11" s="165"/>
      <c r="AB11" s="165"/>
    </row>
    <row r="12" spans="2:28" x14ac:dyDescent="0.2">
      <c r="B12" s="34"/>
      <c r="C12" s="5"/>
      <c r="D12" s="847"/>
      <c r="E12" s="749"/>
      <c r="F12" s="852"/>
      <c r="G12" s="852"/>
      <c r="H12" s="853"/>
      <c r="I12" s="749"/>
      <c r="J12" s="852"/>
      <c r="K12" s="852"/>
      <c r="L12" s="853"/>
      <c r="M12" s="749"/>
      <c r="N12" s="854"/>
      <c r="O12" s="854"/>
      <c r="P12" s="853"/>
      <c r="Q12" s="749"/>
      <c r="R12" s="854"/>
      <c r="S12" s="854"/>
      <c r="T12" s="853"/>
      <c r="U12" s="749"/>
      <c r="V12" s="854"/>
      <c r="W12" s="854"/>
      <c r="X12" s="853"/>
      <c r="Y12" s="855"/>
      <c r="Z12" s="37"/>
      <c r="AA12" s="5"/>
      <c r="AB12" s="5"/>
    </row>
    <row r="13" spans="2:28" x14ac:dyDescent="0.2">
      <c r="B13" s="34"/>
      <c r="C13" s="86"/>
      <c r="D13" s="338" t="s">
        <v>190</v>
      </c>
      <c r="E13" s="87"/>
      <c r="F13" s="856">
        <f>+sim!F20</f>
        <v>0</v>
      </c>
      <c r="G13" s="856">
        <f t="shared" ref="G13:G47" si="0">F13*(VLOOKUP(D13,FPE_LA,2,FALSE))</f>
        <v>0</v>
      </c>
      <c r="H13" s="857">
        <f>G13*geg!$G$42</f>
        <v>0</v>
      </c>
      <c r="I13" s="87"/>
      <c r="J13" s="856">
        <f>SUMIF('form t+1'!$G$11:$G$110,D13,'form t+1'!$O$11:$O$110)</f>
        <v>0</v>
      </c>
      <c r="K13" s="856">
        <f t="shared" ref="K13:K47" si="1">J13*(VLOOKUP(D13,FPE_LA,2,FALSE))</f>
        <v>0</v>
      </c>
      <c r="L13" s="857">
        <f>K13*geg!$H$42</f>
        <v>0</v>
      </c>
      <c r="M13" s="87"/>
      <c r="N13" s="509">
        <f>+J13</f>
        <v>0</v>
      </c>
      <c r="O13" s="856">
        <f t="shared" ref="O13:O47" si="2">N13*(VLOOKUP(D13,FPE_LA,2,FALSE))</f>
        <v>0</v>
      </c>
      <c r="P13" s="857">
        <f>O13*geg!$H$42</f>
        <v>0</v>
      </c>
      <c r="Q13" s="87"/>
      <c r="R13" s="509">
        <f>+N13</f>
        <v>0</v>
      </c>
      <c r="S13" s="856">
        <f t="shared" ref="S13:S47" si="3">R13*(VLOOKUP(D13,FPE_LA,2,FALSE))</f>
        <v>0</v>
      </c>
      <c r="T13" s="857">
        <f>S13*geg!$H$42</f>
        <v>0</v>
      </c>
      <c r="U13" s="87"/>
      <c r="V13" s="509">
        <f>+R13</f>
        <v>0</v>
      </c>
      <c r="W13" s="856">
        <f t="shared" ref="W13:W47" si="4">V13*(VLOOKUP(D13,FPE_LA,2,FALSE))</f>
        <v>0</v>
      </c>
      <c r="X13" s="857">
        <f>W13*geg!$H$42</f>
        <v>0</v>
      </c>
      <c r="Y13" s="472"/>
      <c r="Z13" s="37"/>
      <c r="AA13" s="5"/>
      <c r="AB13" s="5"/>
    </row>
    <row r="14" spans="2:28" x14ac:dyDescent="0.2">
      <c r="B14" s="34"/>
      <c r="C14" s="91"/>
      <c r="D14" s="103" t="s">
        <v>191</v>
      </c>
      <c r="E14" s="92"/>
      <c r="F14" s="807">
        <f>+sim!F21</f>
        <v>0</v>
      </c>
      <c r="G14" s="807">
        <f t="shared" si="0"/>
        <v>0</v>
      </c>
      <c r="H14" s="857">
        <f>G14*geg!$G$42</f>
        <v>0</v>
      </c>
      <c r="I14" s="92"/>
      <c r="J14" s="807">
        <f>SUMIF('form t+1'!$G$11:$G$110,D14,'form t+1'!$O$11:$O$110)</f>
        <v>0</v>
      </c>
      <c r="K14" s="807">
        <f t="shared" si="1"/>
        <v>0</v>
      </c>
      <c r="L14" s="857">
        <f>K14*geg!$H$42</f>
        <v>0</v>
      </c>
      <c r="M14" s="92"/>
      <c r="N14" s="256">
        <f t="shared" ref="N14:N47" si="5">+J14</f>
        <v>0</v>
      </c>
      <c r="O14" s="807">
        <f t="shared" si="2"/>
        <v>0</v>
      </c>
      <c r="P14" s="857">
        <f>O14*geg!$H$42</f>
        <v>0</v>
      </c>
      <c r="Q14" s="92"/>
      <c r="R14" s="256">
        <f t="shared" ref="R14:R47" si="6">+N14</f>
        <v>0</v>
      </c>
      <c r="S14" s="807">
        <f t="shared" si="3"/>
        <v>0</v>
      </c>
      <c r="T14" s="857">
        <f>S14*geg!$H$42</f>
        <v>0</v>
      </c>
      <c r="U14" s="92"/>
      <c r="V14" s="256">
        <f t="shared" ref="V14:V47" si="7">+R14</f>
        <v>0</v>
      </c>
      <c r="W14" s="807">
        <f t="shared" si="4"/>
        <v>0</v>
      </c>
      <c r="X14" s="857">
        <f>W14*geg!$H$42</f>
        <v>0</v>
      </c>
      <c r="Y14" s="472"/>
      <c r="Z14" s="37"/>
      <c r="AA14" s="5"/>
      <c r="AB14" s="5"/>
    </row>
    <row r="15" spans="2:28" x14ac:dyDescent="0.2">
      <c r="B15" s="34"/>
      <c r="C15" s="91"/>
      <c r="D15" s="103" t="s">
        <v>192</v>
      </c>
      <c r="E15" s="92"/>
      <c r="F15" s="807">
        <f>+sim!F22</f>
        <v>0</v>
      </c>
      <c r="G15" s="807">
        <f t="shared" si="0"/>
        <v>0</v>
      </c>
      <c r="H15" s="857">
        <f>G15*geg!$G$42</f>
        <v>0</v>
      </c>
      <c r="I15" s="92"/>
      <c r="J15" s="807">
        <f>SUMIF('form t+1'!$G$11:$G$110,D15,'form t+1'!$O$11:$O$110)</f>
        <v>0</v>
      </c>
      <c r="K15" s="807">
        <f t="shared" si="1"/>
        <v>0</v>
      </c>
      <c r="L15" s="857">
        <f>K15*geg!$H$42</f>
        <v>0</v>
      </c>
      <c r="M15" s="92"/>
      <c r="N15" s="256">
        <f t="shared" si="5"/>
        <v>0</v>
      </c>
      <c r="O15" s="807">
        <f t="shared" si="2"/>
        <v>0</v>
      </c>
      <c r="P15" s="857">
        <f>O15*geg!$H$42</f>
        <v>0</v>
      </c>
      <c r="Q15" s="92"/>
      <c r="R15" s="256">
        <f t="shared" si="6"/>
        <v>0</v>
      </c>
      <c r="S15" s="807">
        <f t="shared" si="3"/>
        <v>0</v>
      </c>
      <c r="T15" s="857">
        <f>S15*geg!$H$42</f>
        <v>0</v>
      </c>
      <c r="U15" s="92"/>
      <c r="V15" s="256">
        <f t="shared" si="7"/>
        <v>0</v>
      </c>
      <c r="W15" s="807">
        <f t="shared" si="4"/>
        <v>0</v>
      </c>
      <c r="X15" s="857">
        <f>W15*geg!$H$42</f>
        <v>0</v>
      </c>
      <c r="Y15" s="472"/>
      <c r="Z15" s="37"/>
      <c r="AA15" s="5"/>
      <c r="AB15" s="5"/>
    </row>
    <row r="16" spans="2:28" x14ac:dyDescent="0.2">
      <c r="B16" s="34"/>
      <c r="C16" s="91"/>
      <c r="D16" s="103" t="s">
        <v>193</v>
      </c>
      <c r="E16" s="92"/>
      <c r="F16" s="807">
        <f>+sim!F23</f>
        <v>0</v>
      </c>
      <c r="G16" s="807">
        <f t="shared" si="0"/>
        <v>0</v>
      </c>
      <c r="H16" s="857">
        <f>G16*geg!$G$42</f>
        <v>0</v>
      </c>
      <c r="I16" s="92"/>
      <c r="J16" s="807">
        <f>SUMIF('form t+1'!$G$11:$G$110,D16,'form t+1'!$O$11:$O$110)</f>
        <v>0</v>
      </c>
      <c r="K16" s="807">
        <f t="shared" si="1"/>
        <v>0</v>
      </c>
      <c r="L16" s="857">
        <f>K16*geg!$H$42</f>
        <v>0</v>
      </c>
      <c r="M16" s="92"/>
      <c r="N16" s="256">
        <f t="shared" si="5"/>
        <v>0</v>
      </c>
      <c r="O16" s="807">
        <f t="shared" si="2"/>
        <v>0</v>
      </c>
      <c r="P16" s="857">
        <f>O16*geg!$H$42</f>
        <v>0</v>
      </c>
      <c r="Q16" s="92"/>
      <c r="R16" s="256">
        <f t="shared" si="6"/>
        <v>0</v>
      </c>
      <c r="S16" s="807">
        <f t="shared" si="3"/>
        <v>0</v>
      </c>
      <c r="T16" s="857">
        <f>S16*geg!$H$42</f>
        <v>0</v>
      </c>
      <c r="U16" s="92"/>
      <c r="V16" s="256">
        <f t="shared" si="7"/>
        <v>0</v>
      </c>
      <c r="W16" s="807">
        <f t="shared" si="4"/>
        <v>0</v>
      </c>
      <c r="X16" s="857">
        <f>W16*geg!$H$42</f>
        <v>0</v>
      </c>
      <c r="Y16" s="472"/>
      <c r="Z16" s="37"/>
      <c r="AA16" s="5"/>
      <c r="AB16" s="5"/>
    </row>
    <row r="17" spans="2:28" x14ac:dyDescent="0.2">
      <c r="B17" s="34"/>
      <c r="C17" s="91"/>
      <c r="D17" s="103" t="s">
        <v>194</v>
      </c>
      <c r="E17" s="92"/>
      <c r="F17" s="807">
        <f>+sim!F24</f>
        <v>0</v>
      </c>
      <c r="G17" s="807">
        <f t="shared" si="0"/>
        <v>0</v>
      </c>
      <c r="H17" s="857">
        <f>G17*geg!$G$42</f>
        <v>0</v>
      </c>
      <c r="I17" s="92"/>
      <c r="J17" s="807">
        <f>SUMIF('form t+1'!$G$11:$G$110,D17,'form t+1'!$O$11:$O$110)</f>
        <v>0</v>
      </c>
      <c r="K17" s="807">
        <f t="shared" si="1"/>
        <v>0</v>
      </c>
      <c r="L17" s="857">
        <f>K17*geg!$H$42</f>
        <v>0</v>
      </c>
      <c r="M17" s="92"/>
      <c r="N17" s="256">
        <f t="shared" si="5"/>
        <v>0</v>
      </c>
      <c r="O17" s="807">
        <f t="shared" si="2"/>
        <v>0</v>
      </c>
      <c r="P17" s="857">
        <f>O17*geg!$H$42</f>
        <v>0</v>
      </c>
      <c r="Q17" s="92"/>
      <c r="R17" s="256">
        <f t="shared" si="6"/>
        <v>0</v>
      </c>
      <c r="S17" s="807">
        <f t="shared" si="3"/>
        <v>0</v>
      </c>
      <c r="T17" s="857">
        <f>S17*geg!$H$42</f>
        <v>0</v>
      </c>
      <c r="U17" s="92"/>
      <c r="V17" s="256">
        <f t="shared" si="7"/>
        <v>0</v>
      </c>
      <c r="W17" s="807">
        <f t="shared" si="4"/>
        <v>0</v>
      </c>
      <c r="X17" s="857">
        <f>W17*geg!$H$42</f>
        <v>0</v>
      </c>
      <c r="Y17" s="472"/>
      <c r="Z17" s="37"/>
      <c r="AA17" s="5"/>
      <c r="AB17" s="5"/>
    </row>
    <row r="18" spans="2:28" x14ac:dyDescent="0.2">
      <c r="B18" s="34"/>
      <c r="C18" s="91"/>
      <c r="D18" s="103" t="s">
        <v>195</v>
      </c>
      <c r="E18" s="92"/>
      <c r="F18" s="807">
        <f>+sim!F25</f>
        <v>0</v>
      </c>
      <c r="G18" s="807">
        <f t="shared" si="0"/>
        <v>0</v>
      </c>
      <c r="H18" s="857">
        <f>G18*geg!$G$42</f>
        <v>0</v>
      </c>
      <c r="I18" s="92"/>
      <c r="J18" s="807">
        <f>SUMIF('form t+1'!$G$11:$G$110,D18,'form t+1'!$O$11:$O$110)</f>
        <v>0</v>
      </c>
      <c r="K18" s="807">
        <f t="shared" si="1"/>
        <v>0</v>
      </c>
      <c r="L18" s="857">
        <f>K18*geg!$H$42</f>
        <v>0</v>
      </c>
      <c r="M18" s="92"/>
      <c r="N18" s="256">
        <f t="shared" si="5"/>
        <v>0</v>
      </c>
      <c r="O18" s="807">
        <f t="shared" si="2"/>
        <v>0</v>
      </c>
      <c r="P18" s="857">
        <f>O18*geg!$H$42</f>
        <v>0</v>
      </c>
      <c r="Q18" s="92"/>
      <c r="R18" s="256">
        <f t="shared" si="6"/>
        <v>0</v>
      </c>
      <c r="S18" s="807">
        <f t="shared" si="3"/>
        <v>0</v>
      </c>
      <c r="T18" s="857">
        <f>S18*geg!$H$42</f>
        <v>0</v>
      </c>
      <c r="U18" s="92"/>
      <c r="V18" s="256">
        <f t="shared" si="7"/>
        <v>0</v>
      </c>
      <c r="W18" s="807">
        <f t="shared" si="4"/>
        <v>0</v>
      </c>
      <c r="X18" s="857">
        <f>W18*geg!$H$42</f>
        <v>0</v>
      </c>
      <c r="Y18" s="472"/>
      <c r="Z18" s="37"/>
      <c r="AA18" s="5"/>
      <c r="AB18" s="5"/>
    </row>
    <row r="19" spans="2:28" x14ac:dyDescent="0.2">
      <c r="B19" s="34"/>
      <c r="C19" s="91"/>
      <c r="D19" s="103" t="s">
        <v>196</v>
      </c>
      <c r="E19" s="92"/>
      <c r="F19" s="807">
        <f>+sim!F26</f>
        <v>0</v>
      </c>
      <c r="G19" s="807">
        <f t="shared" si="0"/>
        <v>0</v>
      </c>
      <c r="H19" s="857">
        <f>G19*geg!$G$42</f>
        <v>0</v>
      </c>
      <c r="I19" s="92"/>
      <c r="J19" s="807">
        <f>SUMIF('form t+1'!$G$11:$G$110,D19,'form t+1'!$O$11:$O$110)</f>
        <v>0</v>
      </c>
      <c r="K19" s="807">
        <f t="shared" si="1"/>
        <v>0</v>
      </c>
      <c r="L19" s="857">
        <f>K19*geg!$H$42</f>
        <v>0</v>
      </c>
      <c r="M19" s="92"/>
      <c r="N19" s="256">
        <f t="shared" si="5"/>
        <v>0</v>
      </c>
      <c r="O19" s="807">
        <f t="shared" si="2"/>
        <v>0</v>
      </c>
      <c r="P19" s="857">
        <f>O19*geg!$H$42</f>
        <v>0</v>
      </c>
      <c r="Q19" s="92"/>
      <c r="R19" s="256">
        <f t="shared" si="6"/>
        <v>0</v>
      </c>
      <c r="S19" s="807">
        <f t="shared" si="3"/>
        <v>0</v>
      </c>
      <c r="T19" s="857">
        <f>S19*geg!$H$42</f>
        <v>0</v>
      </c>
      <c r="U19" s="92"/>
      <c r="V19" s="256">
        <f t="shared" si="7"/>
        <v>0</v>
      </c>
      <c r="W19" s="807">
        <f t="shared" si="4"/>
        <v>0</v>
      </c>
      <c r="X19" s="857">
        <f>W19*geg!$H$42</f>
        <v>0</v>
      </c>
      <c r="Y19" s="472"/>
      <c r="Z19" s="37"/>
      <c r="AA19" s="5"/>
      <c r="AB19" s="5"/>
    </row>
    <row r="20" spans="2:28" x14ac:dyDescent="0.2">
      <c r="B20" s="34"/>
      <c r="C20" s="91"/>
      <c r="D20" s="103" t="s">
        <v>197</v>
      </c>
      <c r="E20" s="92"/>
      <c r="F20" s="807">
        <f>+sim!F27</f>
        <v>0</v>
      </c>
      <c r="G20" s="807">
        <f t="shared" si="0"/>
        <v>0</v>
      </c>
      <c r="H20" s="857">
        <f>G20*geg!$G$42</f>
        <v>0</v>
      </c>
      <c r="I20" s="92"/>
      <c r="J20" s="807">
        <f>SUMIF('form t+1'!$G$11:$G$110,D20,'form t+1'!$O$11:$O$110)</f>
        <v>0</v>
      </c>
      <c r="K20" s="807">
        <f t="shared" si="1"/>
        <v>0</v>
      </c>
      <c r="L20" s="857">
        <f>K20*geg!$H$42</f>
        <v>0</v>
      </c>
      <c r="M20" s="92"/>
      <c r="N20" s="256">
        <f t="shared" si="5"/>
        <v>0</v>
      </c>
      <c r="O20" s="807">
        <f t="shared" si="2"/>
        <v>0</v>
      </c>
      <c r="P20" s="857">
        <f>O20*geg!$H$42</f>
        <v>0</v>
      </c>
      <c r="Q20" s="92"/>
      <c r="R20" s="256">
        <f t="shared" si="6"/>
        <v>0</v>
      </c>
      <c r="S20" s="807">
        <f t="shared" si="3"/>
        <v>0</v>
      </c>
      <c r="T20" s="857">
        <f>S20*geg!$H$42</f>
        <v>0</v>
      </c>
      <c r="U20" s="92"/>
      <c r="V20" s="256">
        <f t="shared" si="7"/>
        <v>0</v>
      </c>
      <c r="W20" s="807">
        <f t="shared" si="4"/>
        <v>0</v>
      </c>
      <c r="X20" s="857">
        <f>W20*geg!$H$42</f>
        <v>0</v>
      </c>
      <c r="Y20" s="472"/>
      <c r="Z20" s="37"/>
      <c r="AA20" s="5"/>
      <c r="AB20" s="5"/>
    </row>
    <row r="21" spans="2:28" x14ac:dyDescent="0.2">
      <c r="B21" s="34"/>
      <c r="C21" s="91"/>
      <c r="D21" s="103" t="s">
        <v>198</v>
      </c>
      <c r="E21" s="92"/>
      <c r="F21" s="807">
        <f>+sim!F28</f>
        <v>0</v>
      </c>
      <c r="G21" s="807">
        <f t="shared" si="0"/>
        <v>0</v>
      </c>
      <c r="H21" s="857">
        <f>G21*geg!$G$42</f>
        <v>0</v>
      </c>
      <c r="I21" s="92"/>
      <c r="J21" s="807">
        <f>SUMIF('form t+1'!$G$11:$G$110,D21,'form t+1'!$O$11:$O$110)</f>
        <v>0</v>
      </c>
      <c r="K21" s="807">
        <f t="shared" si="1"/>
        <v>0</v>
      </c>
      <c r="L21" s="857">
        <f>K21*geg!$H$42</f>
        <v>0</v>
      </c>
      <c r="M21" s="92"/>
      <c r="N21" s="256">
        <f t="shared" si="5"/>
        <v>0</v>
      </c>
      <c r="O21" s="807">
        <f t="shared" si="2"/>
        <v>0</v>
      </c>
      <c r="P21" s="857">
        <f>O21*geg!$H$42</f>
        <v>0</v>
      </c>
      <c r="Q21" s="92"/>
      <c r="R21" s="256">
        <f t="shared" si="6"/>
        <v>0</v>
      </c>
      <c r="S21" s="807">
        <f t="shared" si="3"/>
        <v>0</v>
      </c>
      <c r="T21" s="857">
        <f>S21*geg!$H$42</f>
        <v>0</v>
      </c>
      <c r="U21" s="92"/>
      <c r="V21" s="256">
        <f t="shared" si="7"/>
        <v>0</v>
      </c>
      <c r="W21" s="807">
        <f t="shared" si="4"/>
        <v>0</v>
      </c>
      <c r="X21" s="857">
        <f>W21*geg!$H$42</f>
        <v>0</v>
      </c>
      <c r="Y21" s="472"/>
      <c r="Z21" s="37"/>
      <c r="AA21" s="5"/>
      <c r="AB21" s="5"/>
    </row>
    <row r="22" spans="2:28" x14ac:dyDescent="0.2">
      <c r="B22" s="34"/>
      <c r="C22" s="91"/>
      <c r="D22" s="103" t="s">
        <v>199</v>
      </c>
      <c r="E22" s="92"/>
      <c r="F22" s="807">
        <f>+sim!F29</f>
        <v>0</v>
      </c>
      <c r="G22" s="807">
        <f t="shared" si="0"/>
        <v>0</v>
      </c>
      <c r="H22" s="857">
        <f>G22*geg!$G$42</f>
        <v>0</v>
      </c>
      <c r="I22" s="92"/>
      <c r="J22" s="807">
        <f>SUMIF('form t+1'!$G$11:$G$110,D22,'form t+1'!$O$11:$O$110)</f>
        <v>0</v>
      </c>
      <c r="K22" s="807">
        <f t="shared" si="1"/>
        <v>0</v>
      </c>
      <c r="L22" s="857">
        <f>K22*geg!$H$42</f>
        <v>0</v>
      </c>
      <c r="M22" s="92"/>
      <c r="N22" s="256">
        <f t="shared" si="5"/>
        <v>0</v>
      </c>
      <c r="O22" s="807">
        <f t="shared" si="2"/>
        <v>0</v>
      </c>
      <c r="P22" s="857">
        <f>O22*geg!$H$42</f>
        <v>0</v>
      </c>
      <c r="Q22" s="92"/>
      <c r="R22" s="256">
        <f t="shared" si="6"/>
        <v>0</v>
      </c>
      <c r="S22" s="807">
        <f t="shared" si="3"/>
        <v>0</v>
      </c>
      <c r="T22" s="857">
        <f>S22*geg!$H$42</f>
        <v>0</v>
      </c>
      <c r="U22" s="92"/>
      <c r="V22" s="256">
        <f t="shared" si="7"/>
        <v>0</v>
      </c>
      <c r="W22" s="807">
        <f t="shared" si="4"/>
        <v>0</v>
      </c>
      <c r="X22" s="857">
        <f>W22*geg!$H$42</f>
        <v>0</v>
      </c>
      <c r="Y22" s="472"/>
      <c r="Z22" s="37"/>
      <c r="AA22" s="5"/>
      <c r="AB22" s="5"/>
    </row>
    <row r="23" spans="2:28" x14ac:dyDescent="0.2">
      <c r="B23" s="34"/>
      <c r="C23" s="91"/>
      <c r="D23" s="103" t="s">
        <v>200</v>
      </c>
      <c r="E23" s="92"/>
      <c r="F23" s="807">
        <f>+sim!F30</f>
        <v>0</v>
      </c>
      <c r="G23" s="807">
        <f t="shared" si="0"/>
        <v>0</v>
      </c>
      <c r="H23" s="857">
        <f>G23*geg!$G$42</f>
        <v>0</v>
      </c>
      <c r="I23" s="92"/>
      <c r="J23" s="807">
        <f>SUMIF('form t+1'!$G$11:$G$110,D23,'form t+1'!$O$11:$O$110)</f>
        <v>0</v>
      </c>
      <c r="K23" s="807">
        <f t="shared" si="1"/>
        <v>0</v>
      </c>
      <c r="L23" s="857">
        <f>K23*geg!$H$42</f>
        <v>0</v>
      </c>
      <c r="M23" s="92"/>
      <c r="N23" s="256">
        <f t="shared" si="5"/>
        <v>0</v>
      </c>
      <c r="O23" s="807">
        <f t="shared" si="2"/>
        <v>0</v>
      </c>
      <c r="P23" s="857">
        <f>O23*geg!$H$42</f>
        <v>0</v>
      </c>
      <c r="Q23" s="92"/>
      <c r="R23" s="256">
        <f t="shared" si="6"/>
        <v>0</v>
      </c>
      <c r="S23" s="807">
        <f t="shared" si="3"/>
        <v>0</v>
      </c>
      <c r="T23" s="857">
        <f>S23*geg!$H$42</f>
        <v>0</v>
      </c>
      <c r="U23" s="92"/>
      <c r="V23" s="256">
        <f t="shared" si="7"/>
        <v>0</v>
      </c>
      <c r="W23" s="807">
        <f t="shared" si="4"/>
        <v>0</v>
      </c>
      <c r="X23" s="857">
        <f>W23*geg!$H$42</f>
        <v>0</v>
      </c>
      <c r="Y23" s="472"/>
      <c r="Z23" s="37"/>
      <c r="AA23" s="5"/>
      <c r="AB23" s="5"/>
    </row>
    <row r="24" spans="2:28" x14ac:dyDescent="0.2">
      <c r="B24" s="34"/>
      <c r="C24" s="91"/>
      <c r="D24" s="103" t="s">
        <v>201</v>
      </c>
      <c r="E24" s="92"/>
      <c r="F24" s="807">
        <f>+sim!F31</f>
        <v>0</v>
      </c>
      <c r="G24" s="807">
        <f t="shared" si="0"/>
        <v>0</v>
      </c>
      <c r="H24" s="857">
        <f>G24*geg!$G$42</f>
        <v>0</v>
      </c>
      <c r="I24" s="92"/>
      <c r="J24" s="807">
        <f>SUMIF('form t+1'!$G$11:$G$110,D24,'form t+1'!$O$11:$O$110)</f>
        <v>0</v>
      </c>
      <c r="K24" s="807">
        <f t="shared" si="1"/>
        <v>0</v>
      </c>
      <c r="L24" s="857">
        <f>K24*geg!$H$42</f>
        <v>0</v>
      </c>
      <c r="M24" s="92"/>
      <c r="N24" s="256">
        <f t="shared" si="5"/>
        <v>0</v>
      </c>
      <c r="O24" s="807">
        <f t="shared" si="2"/>
        <v>0</v>
      </c>
      <c r="P24" s="857">
        <f>O24*geg!$H$42</f>
        <v>0</v>
      </c>
      <c r="Q24" s="92"/>
      <c r="R24" s="256">
        <f t="shared" si="6"/>
        <v>0</v>
      </c>
      <c r="S24" s="807">
        <f t="shared" si="3"/>
        <v>0</v>
      </c>
      <c r="T24" s="857">
        <f>S24*geg!$H$42</f>
        <v>0</v>
      </c>
      <c r="U24" s="92"/>
      <c r="V24" s="256">
        <f t="shared" si="7"/>
        <v>0</v>
      </c>
      <c r="W24" s="807">
        <f t="shared" si="4"/>
        <v>0</v>
      </c>
      <c r="X24" s="857">
        <f>W24*geg!$H$42</f>
        <v>0</v>
      </c>
      <c r="Y24" s="472"/>
      <c r="Z24" s="37"/>
      <c r="AA24" s="5"/>
      <c r="AB24" s="5"/>
    </row>
    <row r="25" spans="2:28" x14ac:dyDescent="0.2">
      <c r="B25" s="34"/>
      <c r="C25" s="91"/>
      <c r="D25" s="103" t="s">
        <v>202</v>
      </c>
      <c r="E25" s="92"/>
      <c r="F25" s="807">
        <f>+sim!F32</f>
        <v>1</v>
      </c>
      <c r="G25" s="807">
        <f t="shared" si="0"/>
        <v>1</v>
      </c>
      <c r="H25" s="857">
        <f>G25*geg!$G$42</f>
        <v>61000</v>
      </c>
      <c r="I25" s="92"/>
      <c r="J25" s="807">
        <f>SUMIF('form t+1'!$G$11:$G$110,D25,'form t+1'!$O$11:$O$110)</f>
        <v>1</v>
      </c>
      <c r="K25" s="807">
        <f t="shared" si="1"/>
        <v>1</v>
      </c>
      <c r="L25" s="857">
        <f>K25*geg!$H$42</f>
        <v>61000</v>
      </c>
      <c r="M25" s="92"/>
      <c r="N25" s="256">
        <f t="shared" si="5"/>
        <v>1</v>
      </c>
      <c r="O25" s="807">
        <f t="shared" si="2"/>
        <v>1</v>
      </c>
      <c r="P25" s="857">
        <f>O25*geg!$H$42</f>
        <v>61000</v>
      </c>
      <c r="Q25" s="92"/>
      <c r="R25" s="256">
        <f t="shared" si="6"/>
        <v>1</v>
      </c>
      <c r="S25" s="807">
        <f t="shared" si="3"/>
        <v>1</v>
      </c>
      <c r="T25" s="857">
        <f>S25*geg!$H$42</f>
        <v>61000</v>
      </c>
      <c r="U25" s="92"/>
      <c r="V25" s="256">
        <f t="shared" si="7"/>
        <v>1</v>
      </c>
      <c r="W25" s="807">
        <f t="shared" si="4"/>
        <v>1</v>
      </c>
      <c r="X25" s="857">
        <f>W25*geg!$H$42</f>
        <v>61000</v>
      </c>
      <c r="Y25" s="472"/>
      <c r="Z25" s="37"/>
      <c r="AA25" s="5"/>
      <c r="AB25" s="5"/>
    </row>
    <row r="26" spans="2:28" x14ac:dyDescent="0.2">
      <c r="B26" s="34"/>
      <c r="C26" s="91"/>
      <c r="D26" s="103" t="s">
        <v>203</v>
      </c>
      <c r="E26" s="92"/>
      <c r="F26" s="807">
        <f>+sim!F33</f>
        <v>0</v>
      </c>
      <c r="G26" s="807">
        <f>F26*(VLOOKUP(D26,FPE_LA,2,FALSE))</f>
        <v>0</v>
      </c>
      <c r="H26" s="857">
        <f>G26*geg!$G$42</f>
        <v>0</v>
      </c>
      <c r="I26" s="92"/>
      <c r="J26" s="807">
        <f>SUMIF('form t+1'!$G$11:$G$110,D26,'form t+1'!$O$11:$O$110)</f>
        <v>0</v>
      </c>
      <c r="K26" s="807">
        <f>J26*(VLOOKUP(D26,FPE_LA,2,FALSE))</f>
        <v>0</v>
      </c>
      <c r="L26" s="857">
        <f>K26*geg!$H$42</f>
        <v>0</v>
      </c>
      <c r="M26" s="92"/>
      <c r="N26" s="256">
        <f>+J26</f>
        <v>0</v>
      </c>
      <c r="O26" s="807">
        <f>N26*(VLOOKUP(D26,FPE_LA,2,FALSE))</f>
        <v>0</v>
      </c>
      <c r="P26" s="857">
        <f>O26*geg!$H$42</f>
        <v>0</v>
      </c>
      <c r="Q26" s="92"/>
      <c r="R26" s="256">
        <f>+N26</f>
        <v>0</v>
      </c>
      <c r="S26" s="807">
        <f>R26*(VLOOKUP(D26,FPE_LA,2,FALSE))</f>
        <v>0</v>
      </c>
      <c r="T26" s="857">
        <f>S26*geg!$H$42</f>
        <v>0</v>
      </c>
      <c r="U26" s="92"/>
      <c r="V26" s="256">
        <f>+R26</f>
        <v>0</v>
      </c>
      <c r="W26" s="807">
        <f>V26*(VLOOKUP(D26,FPE_LA,2,FALSE))</f>
        <v>0</v>
      </c>
      <c r="X26" s="857">
        <f>W26*geg!$H$42</f>
        <v>0</v>
      </c>
      <c r="Y26" s="472"/>
      <c r="Z26" s="37"/>
      <c r="AA26" s="5"/>
      <c r="AB26" s="5"/>
    </row>
    <row r="27" spans="2:28" x14ac:dyDescent="0.2">
      <c r="B27" s="34"/>
      <c r="C27" s="91"/>
      <c r="D27" s="103" t="s">
        <v>204</v>
      </c>
      <c r="E27" s="92"/>
      <c r="F27" s="807">
        <f>+sim!F34</f>
        <v>0</v>
      </c>
      <c r="G27" s="807">
        <f t="shared" si="0"/>
        <v>0</v>
      </c>
      <c r="H27" s="857">
        <f>G27*geg!$G$42</f>
        <v>0</v>
      </c>
      <c r="I27" s="92"/>
      <c r="J27" s="807">
        <f>SUMIF('form t+1'!$G$11:$G$110,D27,'form t+1'!$O$11:$O$110)</f>
        <v>0</v>
      </c>
      <c r="K27" s="807">
        <f t="shared" si="1"/>
        <v>0</v>
      </c>
      <c r="L27" s="857">
        <f>K27*geg!$H$42</f>
        <v>0</v>
      </c>
      <c r="M27" s="92"/>
      <c r="N27" s="256">
        <f t="shared" si="5"/>
        <v>0</v>
      </c>
      <c r="O27" s="807">
        <f t="shared" si="2"/>
        <v>0</v>
      </c>
      <c r="P27" s="857">
        <f>O27*geg!$H$42</f>
        <v>0</v>
      </c>
      <c r="Q27" s="92"/>
      <c r="R27" s="256">
        <f t="shared" si="6"/>
        <v>0</v>
      </c>
      <c r="S27" s="807">
        <f t="shared" si="3"/>
        <v>0</v>
      </c>
      <c r="T27" s="857">
        <f>S27*geg!$H$42</f>
        <v>0</v>
      </c>
      <c r="U27" s="92"/>
      <c r="V27" s="256">
        <f t="shared" si="7"/>
        <v>0</v>
      </c>
      <c r="W27" s="807">
        <f t="shared" si="4"/>
        <v>0</v>
      </c>
      <c r="X27" s="857">
        <f>W27*geg!$H$42</f>
        <v>0</v>
      </c>
      <c r="Y27" s="472"/>
      <c r="Z27" s="37"/>
      <c r="AA27" s="5"/>
      <c r="AB27" s="5"/>
    </row>
    <row r="28" spans="2:28" x14ac:dyDescent="0.2">
      <c r="B28" s="34"/>
      <c r="C28" s="91"/>
      <c r="D28" s="103" t="s">
        <v>205</v>
      </c>
      <c r="E28" s="92"/>
      <c r="F28" s="807">
        <f>+sim!F35</f>
        <v>0</v>
      </c>
      <c r="G28" s="807">
        <f t="shared" si="0"/>
        <v>0</v>
      </c>
      <c r="H28" s="857">
        <f>G28*geg!$G$42</f>
        <v>0</v>
      </c>
      <c r="I28" s="92"/>
      <c r="J28" s="807">
        <f>SUMIF('form t+1'!$G$11:$G$110,D28,'form t+1'!$O$11:$O$110)</f>
        <v>0</v>
      </c>
      <c r="K28" s="807">
        <f t="shared" si="1"/>
        <v>0</v>
      </c>
      <c r="L28" s="857">
        <f>K28*geg!$H$42</f>
        <v>0</v>
      </c>
      <c r="M28" s="92"/>
      <c r="N28" s="256">
        <f t="shared" si="5"/>
        <v>0</v>
      </c>
      <c r="O28" s="807">
        <f t="shared" si="2"/>
        <v>0</v>
      </c>
      <c r="P28" s="857">
        <f>O28*geg!$H$42</f>
        <v>0</v>
      </c>
      <c r="Q28" s="92"/>
      <c r="R28" s="256">
        <f t="shared" si="6"/>
        <v>0</v>
      </c>
      <c r="S28" s="807">
        <f t="shared" si="3"/>
        <v>0</v>
      </c>
      <c r="T28" s="857">
        <f>S28*geg!$H$42</f>
        <v>0</v>
      </c>
      <c r="U28" s="92"/>
      <c r="V28" s="256">
        <f t="shared" si="7"/>
        <v>0</v>
      </c>
      <c r="W28" s="807">
        <f t="shared" si="4"/>
        <v>0</v>
      </c>
      <c r="X28" s="857">
        <f>W28*geg!$H$42</f>
        <v>0</v>
      </c>
      <c r="Y28" s="472"/>
      <c r="Z28" s="37"/>
      <c r="AA28" s="5"/>
      <c r="AB28" s="5"/>
    </row>
    <row r="29" spans="2:28" x14ac:dyDescent="0.2">
      <c r="B29" s="34"/>
      <c r="C29" s="91"/>
      <c r="D29" s="103" t="s">
        <v>206</v>
      </c>
      <c r="E29" s="92"/>
      <c r="F29" s="807">
        <f>+sim!F36</f>
        <v>0</v>
      </c>
      <c r="G29" s="807">
        <f t="shared" si="0"/>
        <v>0</v>
      </c>
      <c r="H29" s="857">
        <f>G29*geg!$G$42</f>
        <v>0</v>
      </c>
      <c r="I29" s="92"/>
      <c r="J29" s="807">
        <f>SUMIF('form t+1'!$G$11:$G$110,D29,'form t+1'!$O$11:$O$110)</f>
        <v>0</v>
      </c>
      <c r="K29" s="807">
        <f t="shared" si="1"/>
        <v>0</v>
      </c>
      <c r="L29" s="857">
        <f>K29*geg!$H$42</f>
        <v>0</v>
      </c>
      <c r="M29" s="92"/>
      <c r="N29" s="256">
        <f t="shared" si="5"/>
        <v>0</v>
      </c>
      <c r="O29" s="807">
        <f t="shared" si="2"/>
        <v>0</v>
      </c>
      <c r="P29" s="857">
        <f>O29*geg!$H$42</f>
        <v>0</v>
      </c>
      <c r="Q29" s="92"/>
      <c r="R29" s="256">
        <f t="shared" si="6"/>
        <v>0</v>
      </c>
      <c r="S29" s="807">
        <f t="shared" si="3"/>
        <v>0</v>
      </c>
      <c r="T29" s="857">
        <f>S29*geg!$H$42</f>
        <v>0</v>
      </c>
      <c r="U29" s="92"/>
      <c r="V29" s="256">
        <f t="shared" si="7"/>
        <v>0</v>
      </c>
      <c r="W29" s="807">
        <f t="shared" si="4"/>
        <v>0</v>
      </c>
      <c r="X29" s="857">
        <f>W29*geg!$H$42</f>
        <v>0</v>
      </c>
      <c r="Y29" s="472"/>
      <c r="Z29" s="37"/>
      <c r="AA29" s="5"/>
      <c r="AB29" s="5"/>
    </row>
    <row r="30" spans="2:28" x14ac:dyDescent="0.2">
      <c r="B30" s="34"/>
      <c r="C30" s="91"/>
      <c r="D30" s="103">
        <v>1</v>
      </c>
      <c r="E30" s="92"/>
      <c r="F30" s="807">
        <f>+sim!F37</f>
        <v>0</v>
      </c>
      <c r="G30" s="807">
        <f t="shared" si="0"/>
        <v>0</v>
      </c>
      <c r="H30" s="857">
        <f>G30*geg!$G$42</f>
        <v>0</v>
      </c>
      <c r="I30" s="92"/>
      <c r="J30" s="807">
        <f>SUMIF('form t+1'!$G$11:$G$110,D30,'form t+1'!$O$11:$O$110)</f>
        <v>0</v>
      </c>
      <c r="K30" s="807">
        <f t="shared" si="1"/>
        <v>0</v>
      </c>
      <c r="L30" s="857">
        <f>K30*geg!$H$42</f>
        <v>0</v>
      </c>
      <c r="M30" s="92"/>
      <c r="N30" s="256">
        <f t="shared" si="5"/>
        <v>0</v>
      </c>
      <c r="O30" s="807">
        <f t="shared" si="2"/>
        <v>0</v>
      </c>
      <c r="P30" s="857">
        <f>O30*geg!$H$42</f>
        <v>0</v>
      </c>
      <c r="Q30" s="92"/>
      <c r="R30" s="256">
        <f t="shared" si="6"/>
        <v>0</v>
      </c>
      <c r="S30" s="807">
        <f t="shared" si="3"/>
        <v>0</v>
      </c>
      <c r="T30" s="857">
        <f>S30*geg!$H$42</f>
        <v>0</v>
      </c>
      <c r="U30" s="92"/>
      <c r="V30" s="256">
        <f t="shared" si="7"/>
        <v>0</v>
      </c>
      <c r="W30" s="807">
        <f t="shared" si="4"/>
        <v>0</v>
      </c>
      <c r="X30" s="857">
        <f>W30*geg!$H$42</f>
        <v>0</v>
      </c>
      <c r="Y30" s="472"/>
      <c r="Z30" s="37"/>
      <c r="AA30" s="5"/>
      <c r="AB30" s="5"/>
    </row>
    <row r="31" spans="2:28" x14ac:dyDescent="0.2">
      <c r="B31" s="34"/>
      <c r="C31" s="91"/>
      <c r="D31" s="103">
        <v>2</v>
      </c>
      <c r="E31" s="92"/>
      <c r="F31" s="807">
        <f>+sim!F38</f>
        <v>0</v>
      </c>
      <c r="G31" s="807">
        <f t="shared" si="0"/>
        <v>0</v>
      </c>
      <c r="H31" s="857">
        <f>G31*geg!$G$42</f>
        <v>0</v>
      </c>
      <c r="I31" s="92"/>
      <c r="J31" s="807">
        <f>SUMIF('form t+1'!$G$11:$G$110,D31,'form t+1'!$O$11:$O$110)</f>
        <v>0</v>
      </c>
      <c r="K31" s="807">
        <f t="shared" si="1"/>
        <v>0</v>
      </c>
      <c r="L31" s="857">
        <f>K31*geg!$H$42</f>
        <v>0</v>
      </c>
      <c r="M31" s="92"/>
      <c r="N31" s="256">
        <f t="shared" si="5"/>
        <v>0</v>
      </c>
      <c r="O31" s="807">
        <f t="shared" si="2"/>
        <v>0</v>
      </c>
      <c r="P31" s="857">
        <f>O31*geg!$H$42</f>
        <v>0</v>
      </c>
      <c r="Q31" s="92"/>
      <c r="R31" s="256">
        <f t="shared" si="6"/>
        <v>0</v>
      </c>
      <c r="S31" s="807">
        <f t="shared" si="3"/>
        <v>0</v>
      </c>
      <c r="T31" s="857">
        <f>S31*geg!$H$42</f>
        <v>0</v>
      </c>
      <c r="U31" s="92"/>
      <c r="V31" s="256">
        <f t="shared" si="7"/>
        <v>0</v>
      </c>
      <c r="W31" s="807">
        <f t="shared" si="4"/>
        <v>0</v>
      </c>
      <c r="X31" s="857">
        <f>W31*geg!$H$42</f>
        <v>0</v>
      </c>
      <c r="Y31" s="472"/>
      <c r="Z31" s="37"/>
      <c r="AA31" s="5"/>
      <c r="AB31" s="5"/>
    </row>
    <row r="32" spans="2:28" x14ac:dyDescent="0.2">
      <c r="B32" s="34"/>
      <c r="C32" s="91"/>
      <c r="D32" s="103">
        <v>3</v>
      </c>
      <c r="E32" s="92"/>
      <c r="F32" s="807">
        <f>+sim!F39</f>
        <v>0</v>
      </c>
      <c r="G32" s="807">
        <f t="shared" si="0"/>
        <v>0</v>
      </c>
      <c r="H32" s="857">
        <f>G32*geg!$G$42</f>
        <v>0</v>
      </c>
      <c r="I32" s="92"/>
      <c r="J32" s="807">
        <f>SUMIF('form t+1'!$G$11:$G$110,D32,'form t+1'!$O$11:$O$110)</f>
        <v>0</v>
      </c>
      <c r="K32" s="807">
        <f t="shared" si="1"/>
        <v>0</v>
      </c>
      <c r="L32" s="857">
        <f>K32*geg!$H$42</f>
        <v>0</v>
      </c>
      <c r="M32" s="92"/>
      <c r="N32" s="256">
        <f t="shared" si="5"/>
        <v>0</v>
      </c>
      <c r="O32" s="807">
        <f t="shared" si="2"/>
        <v>0</v>
      </c>
      <c r="P32" s="857">
        <f>O32*geg!$H$42</f>
        <v>0</v>
      </c>
      <c r="Q32" s="92"/>
      <c r="R32" s="256">
        <f t="shared" si="6"/>
        <v>0</v>
      </c>
      <c r="S32" s="807">
        <f t="shared" si="3"/>
        <v>0</v>
      </c>
      <c r="T32" s="857">
        <f>S32*geg!$H$42</f>
        <v>0</v>
      </c>
      <c r="U32" s="92"/>
      <c r="V32" s="256">
        <f t="shared" si="7"/>
        <v>0</v>
      </c>
      <c r="W32" s="807">
        <f t="shared" si="4"/>
        <v>0</v>
      </c>
      <c r="X32" s="857">
        <f>W32*geg!$H$42</f>
        <v>0</v>
      </c>
      <c r="Y32" s="472"/>
      <c r="Z32" s="37"/>
      <c r="AA32" s="5"/>
      <c r="AB32" s="5"/>
    </row>
    <row r="33" spans="2:28" x14ac:dyDescent="0.2">
      <c r="B33" s="34"/>
      <c r="C33" s="91"/>
      <c r="D33" s="103">
        <v>4</v>
      </c>
      <c r="E33" s="92"/>
      <c r="F33" s="807">
        <f>+sim!F40</f>
        <v>0</v>
      </c>
      <c r="G33" s="807">
        <f t="shared" si="0"/>
        <v>0</v>
      </c>
      <c r="H33" s="857">
        <f>G33*geg!$G$42</f>
        <v>0</v>
      </c>
      <c r="I33" s="92"/>
      <c r="J33" s="807">
        <f>SUMIF('form t+1'!$G$11:$G$110,D33,'form t+1'!$O$11:$O$110)</f>
        <v>0</v>
      </c>
      <c r="K33" s="807">
        <f t="shared" si="1"/>
        <v>0</v>
      </c>
      <c r="L33" s="857">
        <f>K33*geg!$H$42</f>
        <v>0</v>
      </c>
      <c r="M33" s="92"/>
      <c r="N33" s="256">
        <f t="shared" si="5"/>
        <v>0</v>
      </c>
      <c r="O33" s="807">
        <f t="shared" si="2"/>
        <v>0</v>
      </c>
      <c r="P33" s="857">
        <f>O33*geg!$H$42</f>
        <v>0</v>
      </c>
      <c r="Q33" s="92"/>
      <c r="R33" s="256">
        <f t="shared" si="6"/>
        <v>0</v>
      </c>
      <c r="S33" s="807">
        <f t="shared" si="3"/>
        <v>0</v>
      </c>
      <c r="T33" s="857">
        <f>S33*geg!$H$42</f>
        <v>0</v>
      </c>
      <c r="U33" s="92"/>
      <c r="V33" s="256">
        <f t="shared" si="7"/>
        <v>0</v>
      </c>
      <c r="W33" s="807">
        <f t="shared" si="4"/>
        <v>0</v>
      </c>
      <c r="X33" s="857">
        <f>W33*geg!$H$42</f>
        <v>0</v>
      </c>
      <c r="Y33" s="472"/>
      <c r="Z33" s="37"/>
      <c r="AA33" s="5"/>
      <c r="AB33" s="5"/>
    </row>
    <row r="34" spans="2:28" x14ac:dyDescent="0.2">
      <c r="B34" s="34"/>
      <c r="C34" s="91"/>
      <c r="D34" s="103">
        <v>5</v>
      </c>
      <c r="E34" s="92"/>
      <c r="F34" s="807">
        <f>+sim!F41</f>
        <v>0</v>
      </c>
      <c r="G34" s="807">
        <f t="shared" si="0"/>
        <v>0</v>
      </c>
      <c r="H34" s="857">
        <f>G34*geg!$G$42</f>
        <v>0</v>
      </c>
      <c r="I34" s="92"/>
      <c r="J34" s="807">
        <f>SUMIF('form t+1'!$G$11:$G$110,D34,'form t+1'!$O$11:$O$110)</f>
        <v>0</v>
      </c>
      <c r="K34" s="807">
        <f t="shared" si="1"/>
        <v>0</v>
      </c>
      <c r="L34" s="857">
        <f>K34*geg!$H$42</f>
        <v>0</v>
      </c>
      <c r="M34" s="92"/>
      <c r="N34" s="256">
        <f t="shared" si="5"/>
        <v>0</v>
      </c>
      <c r="O34" s="807">
        <f t="shared" si="2"/>
        <v>0</v>
      </c>
      <c r="P34" s="857">
        <f>O34*geg!$H$42</f>
        <v>0</v>
      </c>
      <c r="Q34" s="92"/>
      <c r="R34" s="256">
        <f t="shared" si="6"/>
        <v>0</v>
      </c>
      <c r="S34" s="807">
        <f t="shared" si="3"/>
        <v>0</v>
      </c>
      <c r="T34" s="857">
        <f>S34*geg!$H$42</f>
        <v>0</v>
      </c>
      <c r="U34" s="92"/>
      <c r="V34" s="256">
        <f t="shared" si="7"/>
        <v>0</v>
      </c>
      <c r="W34" s="807">
        <f t="shared" si="4"/>
        <v>0</v>
      </c>
      <c r="X34" s="857">
        <f>W34*geg!$H$42</f>
        <v>0</v>
      </c>
      <c r="Y34" s="472"/>
      <c r="Z34" s="37"/>
      <c r="AA34" s="5"/>
      <c r="AB34" s="5"/>
    </row>
    <row r="35" spans="2:28" x14ac:dyDescent="0.2">
      <c r="B35" s="34"/>
      <c r="C35" s="91"/>
      <c r="D35" s="103">
        <v>6</v>
      </c>
      <c r="E35" s="92"/>
      <c r="F35" s="807">
        <f>+sim!F42</f>
        <v>0</v>
      </c>
      <c r="G35" s="807">
        <f t="shared" si="0"/>
        <v>0</v>
      </c>
      <c r="H35" s="857">
        <f>G35*geg!$G$42</f>
        <v>0</v>
      </c>
      <c r="I35" s="92"/>
      <c r="J35" s="807">
        <f>SUMIF('form t+1'!$G$11:$G$110,D35,'form t+1'!$O$11:$O$110)</f>
        <v>0</v>
      </c>
      <c r="K35" s="807">
        <f t="shared" si="1"/>
        <v>0</v>
      </c>
      <c r="L35" s="857">
        <f>K35*geg!$H$42</f>
        <v>0</v>
      </c>
      <c r="M35" s="92"/>
      <c r="N35" s="256">
        <f t="shared" si="5"/>
        <v>0</v>
      </c>
      <c r="O35" s="807">
        <f t="shared" si="2"/>
        <v>0</v>
      </c>
      <c r="P35" s="857">
        <f>O35*geg!$H$42</f>
        <v>0</v>
      </c>
      <c r="Q35" s="92"/>
      <c r="R35" s="256">
        <f t="shared" si="6"/>
        <v>0</v>
      </c>
      <c r="S35" s="807">
        <f t="shared" si="3"/>
        <v>0</v>
      </c>
      <c r="T35" s="857">
        <f>S35*geg!$H$42</f>
        <v>0</v>
      </c>
      <c r="U35" s="92"/>
      <c r="V35" s="256">
        <f t="shared" si="7"/>
        <v>0</v>
      </c>
      <c r="W35" s="807">
        <f t="shared" si="4"/>
        <v>0</v>
      </c>
      <c r="X35" s="857">
        <f>W35*geg!$H$42</f>
        <v>0</v>
      </c>
      <c r="Y35" s="472"/>
      <c r="Z35" s="37"/>
      <c r="AA35" s="5"/>
      <c r="AB35" s="5"/>
    </row>
    <row r="36" spans="2:28" x14ac:dyDescent="0.2">
      <c r="B36" s="34"/>
      <c r="C36" s="91"/>
      <c r="D36" s="103">
        <v>7</v>
      </c>
      <c r="E36" s="92"/>
      <c r="F36" s="807">
        <f>+sim!F43</f>
        <v>0</v>
      </c>
      <c r="G36" s="807">
        <f t="shared" si="0"/>
        <v>0</v>
      </c>
      <c r="H36" s="857">
        <f>G36*geg!$G$42</f>
        <v>0</v>
      </c>
      <c r="I36" s="92"/>
      <c r="J36" s="807">
        <f>SUMIF('form t+1'!$G$11:$G$110,D36,'form t+1'!$O$11:$O$110)</f>
        <v>0</v>
      </c>
      <c r="K36" s="807">
        <f t="shared" si="1"/>
        <v>0</v>
      </c>
      <c r="L36" s="857">
        <f>K36*geg!$H$42</f>
        <v>0</v>
      </c>
      <c r="M36" s="92"/>
      <c r="N36" s="256">
        <f t="shared" si="5"/>
        <v>0</v>
      </c>
      <c r="O36" s="807">
        <f t="shared" si="2"/>
        <v>0</v>
      </c>
      <c r="P36" s="857">
        <f>O36*geg!$H$42</f>
        <v>0</v>
      </c>
      <c r="Q36" s="92"/>
      <c r="R36" s="256">
        <f t="shared" si="6"/>
        <v>0</v>
      </c>
      <c r="S36" s="807">
        <f t="shared" si="3"/>
        <v>0</v>
      </c>
      <c r="T36" s="857">
        <f>S36*geg!$H$42</f>
        <v>0</v>
      </c>
      <c r="U36" s="92"/>
      <c r="V36" s="256">
        <f t="shared" si="7"/>
        <v>0</v>
      </c>
      <c r="W36" s="807">
        <f t="shared" si="4"/>
        <v>0</v>
      </c>
      <c r="X36" s="857">
        <f>W36*geg!$H$42</f>
        <v>0</v>
      </c>
      <c r="Y36" s="472"/>
      <c r="Z36" s="37"/>
      <c r="AA36" s="5"/>
      <c r="AB36" s="5"/>
    </row>
    <row r="37" spans="2:28" x14ac:dyDescent="0.2">
      <c r="B37" s="34"/>
      <c r="C37" s="91"/>
      <c r="D37" s="103">
        <v>8</v>
      </c>
      <c r="E37" s="92"/>
      <c r="F37" s="807">
        <f>+sim!F44</f>
        <v>0</v>
      </c>
      <c r="G37" s="807">
        <f t="shared" si="0"/>
        <v>0</v>
      </c>
      <c r="H37" s="857">
        <f>G37*geg!$G$42</f>
        <v>0</v>
      </c>
      <c r="I37" s="92"/>
      <c r="J37" s="807">
        <f>SUMIF('form t+1'!$G$11:$G$110,D37,'form t+1'!$O$11:$O$110)</f>
        <v>0</v>
      </c>
      <c r="K37" s="807">
        <f t="shared" si="1"/>
        <v>0</v>
      </c>
      <c r="L37" s="857">
        <f>K37*geg!$H$42</f>
        <v>0</v>
      </c>
      <c r="M37" s="92"/>
      <c r="N37" s="256">
        <f t="shared" si="5"/>
        <v>0</v>
      </c>
      <c r="O37" s="807">
        <f t="shared" si="2"/>
        <v>0</v>
      </c>
      <c r="P37" s="857">
        <f>O37*geg!$H$42</f>
        <v>0</v>
      </c>
      <c r="Q37" s="92"/>
      <c r="R37" s="256">
        <f t="shared" si="6"/>
        <v>0</v>
      </c>
      <c r="S37" s="807">
        <f t="shared" si="3"/>
        <v>0</v>
      </c>
      <c r="T37" s="857">
        <f>S37*geg!$H$42</f>
        <v>0</v>
      </c>
      <c r="U37" s="92"/>
      <c r="V37" s="256">
        <f t="shared" si="7"/>
        <v>0</v>
      </c>
      <c r="W37" s="807">
        <f t="shared" si="4"/>
        <v>0</v>
      </c>
      <c r="X37" s="857">
        <f>W37*geg!$H$42</f>
        <v>0</v>
      </c>
      <c r="Y37" s="472"/>
      <c r="Z37" s="37"/>
      <c r="AA37" s="5"/>
      <c r="AB37" s="5"/>
    </row>
    <row r="38" spans="2:28" x14ac:dyDescent="0.2">
      <c r="B38" s="34"/>
      <c r="C38" s="91"/>
      <c r="D38" s="103">
        <v>9</v>
      </c>
      <c r="E38" s="92"/>
      <c r="F38" s="807">
        <f>+sim!F45</f>
        <v>0</v>
      </c>
      <c r="G38" s="807">
        <f t="shared" si="0"/>
        <v>0</v>
      </c>
      <c r="H38" s="857">
        <f>G38*geg!$G$42</f>
        <v>0</v>
      </c>
      <c r="I38" s="92"/>
      <c r="J38" s="807">
        <f>SUMIF('form t+1'!$G$11:$G$110,D38,'form t+1'!$O$11:$O$110)</f>
        <v>0</v>
      </c>
      <c r="K38" s="807">
        <f t="shared" si="1"/>
        <v>0</v>
      </c>
      <c r="L38" s="857">
        <f>K38*geg!$H$42</f>
        <v>0</v>
      </c>
      <c r="M38" s="92"/>
      <c r="N38" s="256">
        <f t="shared" si="5"/>
        <v>0</v>
      </c>
      <c r="O38" s="807">
        <f t="shared" si="2"/>
        <v>0</v>
      </c>
      <c r="P38" s="857">
        <f>O38*geg!$H$42</f>
        <v>0</v>
      </c>
      <c r="Q38" s="92"/>
      <c r="R38" s="256">
        <f t="shared" si="6"/>
        <v>0</v>
      </c>
      <c r="S38" s="807">
        <f t="shared" si="3"/>
        <v>0</v>
      </c>
      <c r="T38" s="857">
        <f>S38*geg!$H$42</f>
        <v>0</v>
      </c>
      <c r="U38" s="92"/>
      <c r="V38" s="256">
        <f t="shared" si="7"/>
        <v>0</v>
      </c>
      <c r="W38" s="807">
        <f t="shared" si="4"/>
        <v>0</v>
      </c>
      <c r="X38" s="857">
        <f>W38*geg!$H$42</f>
        <v>0</v>
      </c>
      <c r="Y38" s="472"/>
      <c r="Z38" s="37"/>
      <c r="AA38" s="5"/>
      <c r="AB38" s="5"/>
    </row>
    <row r="39" spans="2:28" x14ac:dyDescent="0.2">
      <c r="B39" s="34"/>
      <c r="C39" s="91"/>
      <c r="D39" s="103">
        <v>10</v>
      </c>
      <c r="E39" s="92"/>
      <c r="F39" s="807">
        <f>+sim!F46</f>
        <v>0</v>
      </c>
      <c r="G39" s="807">
        <f t="shared" si="0"/>
        <v>0</v>
      </c>
      <c r="H39" s="857">
        <f>G39*geg!$G$42</f>
        <v>0</v>
      </c>
      <c r="I39" s="92"/>
      <c r="J39" s="807">
        <f>SUMIF('form t+1'!$G$11:$G$110,D39,'form t+1'!$O$11:$O$110)</f>
        <v>0</v>
      </c>
      <c r="K39" s="807">
        <f t="shared" si="1"/>
        <v>0</v>
      </c>
      <c r="L39" s="857">
        <f>K39*geg!$H$42</f>
        <v>0</v>
      </c>
      <c r="M39" s="92"/>
      <c r="N39" s="256">
        <f t="shared" si="5"/>
        <v>0</v>
      </c>
      <c r="O39" s="807">
        <f t="shared" si="2"/>
        <v>0</v>
      </c>
      <c r="P39" s="857">
        <f>O39*geg!$H$42</f>
        <v>0</v>
      </c>
      <c r="Q39" s="92"/>
      <c r="R39" s="256">
        <f t="shared" si="6"/>
        <v>0</v>
      </c>
      <c r="S39" s="807">
        <f t="shared" si="3"/>
        <v>0</v>
      </c>
      <c r="T39" s="857">
        <f>S39*geg!$H$42</f>
        <v>0</v>
      </c>
      <c r="U39" s="92"/>
      <c r="V39" s="256">
        <f t="shared" si="7"/>
        <v>0</v>
      </c>
      <c r="W39" s="807">
        <f t="shared" si="4"/>
        <v>0</v>
      </c>
      <c r="X39" s="857">
        <f>W39*geg!$H$42</f>
        <v>0</v>
      </c>
      <c r="Y39" s="472"/>
      <c r="Z39" s="37"/>
      <c r="AA39" s="5"/>
      <c r="AB39" s="5"/>
    </row>
    <row r="40" spans="2:28" x14ac:dyDescent="0.2">
      <c r="B40" s="34"/>
      <c r="C40" s="91"/>
      <c r="D40" s="103">
        <v>11</v>
      </c>
      <c r="E40" s="92"/>
      <c r="F40" s="807">
        <f>+sim!F47</f>
        <v>0</v>
      </c>
      <c r="G40" s="807">
        <f t="shared" si="0"/>
        <v>0</v>
      </c>
      <c r="H40" s="857">
        <f>G40*geg!$G$42</f>
        <v>0</v>
      </c>
      <c r="I40" s="92"/>
      <c r="J40" s="807">
        <f>SUMIF('form t+1'!$G$11:$G$110,D40,'form t+1'!$O$11:$O$110)</f>
        <v>0</v>
      </c>
      <c r="K40" s="807">
        <f t="shared" si="1"/>
        <v>0</v>
      </c>
      <c r="L40" s="857">
        <f>K40*geg!$H$42</f>
        <v>0</v>
      </c>
      <c r="M40" s="92"/>
      <c r="N40" s="256">
        <f t="shared" si="5"/>
        <v>0</v>
      </c>
      <c r="O40" s="807">
        <f t="shared" si="2"/>
        <v>0</v>
      </c>
      <c r="P40" s="857">
        <f>O40*geg!$H$42</f>
        <v>0</v>
      </c>
      <c r="Q40" s="92"/>
      <c r="R40" s="256">
        <f t="shared" si="6"/>
        <v>0</v>
      </c>
      <c r="S40" s="807">
        <f t="shared" si="3"/>
        <v>0</v>
      </c>
      <c r="T40" s="857">
        <f>S40*geg!$H$42</f>
        <v>0</v>
      </c>
      <c r="U40" s="92"/>
      <c r="V40" s="256">
        <f t="shared" si="7"/>
        <v>0</v>
      </c>
      <c r="W40" s="807">
        <f t="shared" si="4"/>
        <v>0</v>
      </c>
      <c r="X40" s="857">
        <f>W40*geg!$H$42</f>
        <v>0</v>
      </c>
      <c r="Y40" s="472"/>
      <c r="Z40" s="37"/>
      <c r="AA40" s="5"/>
      <c r="AB40" s="5"/>
    </row>
    <row r="41" spans="2:28" x14ac:dyDescent="0.2">
      <c r="B41" s="34"/>
      <c r="C41" s="91"/>
      <c r="D41" s="103">
        <v>12</v>
      </c>
      <c r="E41" s="92"/>
      <c r="F41" s="807">
        <f>+sim!F48</f>
        <v>0</v>
      </c>
      <c r="G41" s="807">
        <f t="shared" si="0"/>
        <v>0</v>
      </c>
      <c r="H41" s="857">
        <f>G41*geg!$G$42</f>
        <v>0</v>
      </c>
      <c r="I41" s="92"/>
      <c r="J41" s="807">
        <f>SUMIF('form t+1'!$G$11:$G$110,D41,'form t+1'!$O$11:$O$110)</f>
        <v>0</v>
      </c>
      <c r="K41" s="807">
        <f t="shared" si="1"/>
        <v>0</v>
      </c>
      <c r="L41" s="857">
        <f>K41*geg!$H$42</f>
        <v>0</v>
      </c>
      <c r="M41" s="92"/>
      <c r="N41" s="256">
        <f t="shared" si="5"/>
        <v>0</v>
      </c>
      <c r="O41" s="807">
        <f t="shared" si="2"/>
        <v>0</v>
      </c>
      <c r="P41" s="857">
        <f>O41*geg!$H$42</f>
        <v>0</v>
      </c>
      <c r="Q41" s="92"/>
      <c r="R41" s="256">
        <f t="shared" si="6"/>
        <v>0</v>
      </c>
      <c r="S41" s="807">
        <f t="shared" si="3"/>
        <v>0</v>
      </c>
      <c r="T41" s="857">
        <f>S41*geg!$H$42</f>
        <v>0</v>
      </c>
      <c r="U41" s="92"/>
      <c r="V41" s="256">
        <f t="shared" si="7"/>
        <v>0</v>
      </c>
      <c r="W41" s="807">
        <f t="shared" si="4"/>
        <v>0</v>
      </c>
      <c r="X41" s="857">
        <f>W41*geg!$H$42</f>
        <v>0</v>
      </c>
      <c r="Y41" s="472"/>
      <c r="Z41" s="37"/>
      <c r="AA41" s="5"/>
      <c r="AB41" s="5"/>
    </row>
    <row r="42" spans="2:28" x14ac:dyDescent="0.2">
      <c r="B42" s="34"/>
      <c r="C42" s="91"/>
      <c r="D42" s="103">
        <v>13</v>
      </c>
      <c r="E42" s="92"/>
      <c r="F42" s="807">
        <f>+sim!F49</f>
        <v>0</v>
      </c>
      <c r="G42" s="807">
        <f t="shared" si="0"/>
        <v>0</v>
      </c>
      <c r="H42" s="857">
        <f>G42*geg!$G$42</f>
        <v>0</v>
      </c>
      <c r="I42" s="92"/>
      <c r="J42" s="807">
        <f>SUMIF('form t+1'!$G$11:$G$110,D42,'form t+1'!$O$11:$O$110)</f>
        <v>0</v>
      </c>
      <c r="K42" s="807">
        <f t="shared" si="1"/>
        <v>0</v>
      </c>
      <c r="L42" s="857">
        <f>K42*geg!$H$42</f>
        <v>0</v>
      </c>
      <c r="M42" s="92"/>
      <c r="N42" s="256">
        <f t="shared" si="5"/>
        <v>0</v>
      </c>
      <c r="O42" s="807">
        <f t="shared" si="2"/>
        <v>0</v>
      </c>
      <c r="P42" s="857">
        <f>O42*geg!$H$42</f>
        <v>0</v>
      </c>
      <c r="Q42" s="92"/>
      <c r="R42" s="256">
        <f t="shared" si="6"/>
        <v>0</v>
      </c>
      <c r="S42" s="807">
        <f t="shared" si="3"/>
        <v>0</v>
      </c>
      <c r="T42" s="857">
        <f>S42*geg!$H$42</f>
        <v>0</v>
      </c>
      <c r="U42" s="92"/>
      <c r="V42" s="256">
        <f t="shared" si="7"/>
        <v>0</v>
      </c>
      <c r="W42" s="807">
        <f t="shared" si="4"/>
        <v>0</v>
      </c>
      <c r="X42" s="857">
        <f>W42*geg!$H$42</f>
        <v>0</v>
      </c>
      <c r="Y42" s="472"/>
      <c r="Z42" s="37"/>
      <c r="AA42" s="5"/>
      <c r="AB42" s="5"/>
    </row>
    <row r="43" spans="2:28" x14ac:dyDescent="0.2">
      <c r="B43" s="34"/>
      <c r="C43" s="91"/>
      <c r="D43" s="103">
        <v>14</v>
      </c>
      <c r="E43" s="92"/>
      <c r="F43" s="807">
        <f>+sim!F50</f>
        <v>0</v>
      </c>
      <c r="G43" s="807">
        <f t="shared" si="0"/>
        <v>0</v>
      </c>
      <c r="H43" s="857">
        <f>G43*geg!$G$42</f>
        <v>0</v>
      </c>
      <c r="I43" s="92"/>
      <c r="J43" s="807">
        <f>SUMIF('form t+1'!$G$11:$G$110,D43,'form t+1'!$O$11:$O$110)</f>
        <v>0</v>
      </c>
      <c r="K43" s="807">
        <f t="shared" si="1"/>
        <v>0</v>
      </c>
      <c r="L43" s="857">
        <f>K43*geg!$H$42</f>
        <v>0</v>
      </c>
      <c r="M43" s="92"/>
      <c r="N43" s="256">
        <f t="shared" si="5"/>
        <v>0</v>
      </c>
      <c r="O43" s="807">
        <f t="shared" si="2"/>
        <v>0</v>
      </c>
      <c r="P43" s="857">
        <f>O43*geg!$H$42</f>
        <v>0</v>
      </c>
      <c r="Q43" s="92"/>
      <c r="R43" s="256">
        <f t="shared" si="6"/>
        <v>0</v>
      </c>
      <c r="S43" s="807">
        <f t="shared" si="3"/>
        <v>0</v>
      </c>
      <c r="T43" s="857">
        <f>S43*geg!$H$42</f>
        <v>0</v>
      </c>
      <c r="U43" s="92"/>
      <c r="V43" s="256">
        <f t="shared" si="7"/>
        <v>0</v>
      </c>
      <c r="W43" s="807">
        <f t="shared" si="4"/>
        <v>0</v>
      </c>
      <c r="X43" s="857">
        <f>W43*geg!$H$42</f>
        <v>0</v>
      </c>
      <c r="Y43" s="472"/>
      <c r="Z43" s="37"/>
      <c r="AA43" s="5"/>
      <c r="AB43" s="5"/>
    </row>
    <row r="44" spans="2:28" x14ac:dyDescent="0.2">
      <c r="B44" s="34"/>
      <c r="C44" s="91"/>
      <c r="D44" s="103">
        <v>15</v>
      </c>
      <c r="E44" s="92"/>
      <c r="F44" s="807">
        <f>+sim!F51</f>
        <v>0</v>
      </c>
      <c r="G44" s="807">
        <f t="shared" ref="G44:G45" si="8">F44*(VLOOKUP(D44,FPE_LA,2,FALSE))</f>
        <v>0</v>
      </c>
      <c r="H44" s="857">
        <f>G44*geg!$G$42</f>
        <v>0</v>
      </c>
      <c r="I44" s="92"/>
      <c r="J44" s="807">
        <f>SUMIF('form t+1'!$G$11:$G$110,D44,'form t+1'!$O$11:$O$110)</f>
        <v>0</v>
      </c>
      <c r="K44" s="807">
        <f t="shared" ref="K44:K45" si="9">J44*(VLOOKUP(D44,FPE_LA,2,FALSE))</f>
        <v>0</v>
      </c>
      <c r="L44" s="857">
        <f>K44*geg!$H$42</f>
        <v>0</v>
      </c>
      <c r="M44" s="92"/>
      <c r="N44" s="256">
        <f t="shared" ref="N44:N45" si="10">+J44</f>
        <v>0</v>
      </c>
      <c r="O44" s="807">
        <f t="shared" ref="O44:O45" si="11">N44*(VLOOKUP(D44,FPE_LA,2,FALSE))</f>
        <v>0</v>
      </c>
      <c r="P44" s="857">
        <f>O44*geg!$H$42</f>
        <v>0</v>
      </c>
      <c r="Q44" s="92"/>
      <c r="R44" s="256">
        <f t="shared" ref="R44:R45" si="12">+N44</f>
        <v>0</v>
      </c>
      <c r="S44" s="807">
        <f t="shared" ref="S44:S45" si="13">R44*(VLOOKUP(D44,FPE_LA,2,FALSE))</f>
        <v>0</v>
      </c>
      <c r="T44" s="857">
        <f>S44*geg!$H$42</f>
        <v>0</v>
      </c>
      <c r="U44" s="92"/>
      <c r="V44" s="256">
        <f t="shared" ref="V44:V45" si="14">+R44</f>
        <v>0</v>
      </c>
      <c r="W44" s="807">
        <f t="shared" ref="W44:W45" si="15">V44*(VLOOKUP(D44,FPE_LA,2,FALSE))</f>
        <v>0</v>
      </c>
      <c r="X44" s="857">
        <f>W44*geg!$H$42</f>
        <v>0</v>
      </c>
      <c r="Y44" s="472"/>
      <c r="Z44" s="37"/>
      <c r="AA44" s="5"/>
      <c r="AB44" s="5"/>
    </row>
    <row r="45" spans="2:28" x14ac:dyDescent="0.2">
      <c r="B45" s="34"/>
      <c r="C45" s="91"/>
      <c r="D45" s="103">
        <v>16</v>
      </c>
      <c r="E45" s="92"/>
      <c r="F45" s="807">
        <f>+sim!F52</f>
        <v>0</v>
      </c>
      <c r="G45" s="807">
        <f t="shared" si="8"/>
        <v>0</v>
      </c>
      <c r="H45" s="857">
        <f>G45*geg!$G$42</f>
        <v>0</v>
      </c>
      <c r="I45" s="92"/>
      <c r="J45" s="807">
        <f>SUMIF('form t+1'!$G$11:$G$110,D45,'form t+1'!$O$11:$O$110)</f>
        <v>0</v>
      </c>
      <c r="K45" s="807">
        <f t="shared" si="9"/>
        <v>0</v>
      </c>
      <c r="L45" s="857">
        <f>K45*geg!$H$42</f>
        <v>0</v>
      </c>
      <c r="M45" s="92"/>
      <c r="N45" s="256">
        <f t="shared" si="10"/>
        <v>0</v>
      </c>
      <c r="O45" s="807">
        <f t="shared" si="11"/>
        <v>0</v>
      </c>
      <c r="P45" s="857">
        <f>O45*geg!$H$42</f>
        <v>0</v>
      </c>
      <c r="Q45" s="92"/>
      <c r="R45" s="256">
        <f t="shared" si="12"/>
        <v>0</v>
      </c>
      <c r="S45" s="807">
        <f t="shared" si="13"/>
        <v>0</v>
      </c>
      <c r="T45" s="857">
        <f>S45*geg!$H$42</f>
        <v>0</v>
      </c>
      <c r="U45" s="92"/>
      <c r="V45" s="256">
        <f t="shared" si="14"/>
        <v>0</v>
      </c>
      <c r="W45" s="807">
        <f t="shared" si="15"/>
        <v>0</v>
      </c>
      <c r="X45" s="857">
        <f>W45*geg!$H$42</f>
        <v>0</v>
      </c>
      <c r="Y45" s="472"/>
      <c r="Z45" s="37"/>
      <c r="AA45" s="5"/>
      <c r="AB45" s="5"/>
    </row>
    <row r="46" spans="2:28" x14ac:dyDescent="0.2">
      <c r="B46" s="34"/>
      <c r="C46" s="91"/>
      <c r="D46" s="103" t="s">
        <v>207</v>
      </c>
      <c r="E46" s="92"/>
      <c r="F46" s="807">
        <f>+sim!F53</f>
        <v>0</v>
      </c>
      <c r="G46" s="807">
        <f t="shared" si="0"/>
        <v>0</v>
      </c>
      <c r="H46" s="857">
        <f>G46*geg!$G$42</f>
        <v>0</v>
      </c>
      <c r="I46" s="92"/>
      <c r="J46" s="807">
        <f>SUMIF('form t+1'!$G$11:$G$110,D46,'form t+1'!$O$11:$O$110)</f>
        <v>0</v>
      </c>
      <c r="K46" s="807">
        <f t="shared" si="1"/>
        <v>0</v>
      </c>
      <c r="L46" s="857">
        <f>K46*geg!$H$42</f>
        <v>0</v>
      </c>
      <c r="M46" s="92"/>
      <c r="N46" s="256">
        <f t="shared" si="5"/>
        <v>0</v>
      </c>
      <c r="O46" s="807">
        <f t="shared" si="2"/>
        <v>0</v>
      </c>
      <c r="P46" s="857">
        <f>O46*geg!$H$42</f>
        <v>0</v>
      </c>
      <c r="Q46" s="92"/>
      <c r="R46" s="256">
        <f t="shared" si="6"/>
        <v>0</v>
      </c>
      <c r="S46" s="807">
        <f t="shared" si="3"/>
        <v>0</v>
      </c>
      <c r="T46" s="857">
        <f>S46*geg!$H$42</f>
        <v>0</v>
      </c>
      <c r="U46" s="92"/>
      <c r="V46" s="256">
        <f t="shared" si="7"/>
        <v>0</v>
      </c>
      <c r="W46" s="807">
        <f t="shared" si="4"/>
        <v>0</v>
      </c>
      <c r="X46" s="857">
        <f>W46*geg!$H$42</f>
        <v>0</v>
      </c>
      <c r="Y46" s="472"/>
      <c r="Z46" s="37"/>
      <c r="AA46" s="5"/>
      <c r="AB46" s="5"/>
    </row>
    <row r="47" spans="2:28" x14ac:dyDescent="0.2">
      <c r="B47" s="34"/>
      <c r="C47" s="91"/>
      <c r="D47" s="103" t="s">
        <v>208</v>
      </c>
      <c r="E47" s="92"/>
      <c r="F47" s="807">
        <f>+sim!F54</f>
        <v>0</v>
      </c>
      <c r="G47" s="807">
        <f t="shared" si="0"/>
        <v>0</v>
      </c>
      <c r="H47" s="857">
        <f>G47*geg!$G$42</f>
        <v>0</v>
      </c>
      <c r="I47" s="92"/>
      <c r="J47" s="807">
        <f>SUMIF('form t+1'!$G$11:$G$110,D47,'form t+1'!$O$11:$O$110)</f>
        <v>0</v>
      </c>
      <c r="K47" s="807">
        <f t="shared" si="1"/>
        <v>0</v>
      </c>
      <c r="L47" s="857">
        <f>K47*geg!$H$42</f>
        <v>0</v>
      </c>
      <c r="M47" s="92"/>
      <c r="N47" s="256">
        <f t="shared" si="5"/>
        <v>0</v>
      </c>
      <c r="O47" s="807">
        <f t="shared" si="2"/>
        <v>0</v>
      </c>
      <c r="P47" s="857">
        <f>O47*geg!$H$42</f>
        <v>0</v>
      </c>
      <c r="Q47" s="92"/>
      <c r="R47" s="256">
        <f t="shared" si="6"/>
        <v>0</v>
      </c>
      <c r="S47" s="807">
        <f t="shared" si="3"/>
        <v>0</v>
      </c>
      <c r="T47" s="857">
        <f>S47*geg!$H$42</f>
        <v>0</v>
      </c>
      <c r="U47" s="92"/>
      <c r="V47" s="256">
        <f t="shared" si="7"/>
        <v>0</v>
      </c>
      <c r="W47" s="807">
        <f t="shared" si="4"/>
        <v>0</v>
      </c>
      <c r="X47" s="857">
        <f>W47*geg!$H$42</f>
        <v>0</v>
      </c>
      <c r="Y47" s="472"/>
      <c r="Z47" s="37"/>
      <c r="AA47" s="5"/>
      <c r="AB47" s="5"/>
    </row>
    <row r="48" spans="2:28" x14ac:dyDescent="0.2">
      <c r="B48" s="34"/>
      <c r="C48" s="91"/>
      <c r="D48" s="103"/>
      <c r="E48" s="92"/>
      <c r="F48" s="278"/>
      <c r="G48" s="120"/>
      <c r="H48" s="615"/>
      <c r="I48" s="92"/>
      <c r="J48" s="278"/>
      <c r="K48" s="120"/>
      <c r="L48" s="615"/>
      <c r="M48" s="92"/>
      <c r="N48" s="278"/>
      <c r="O48" s="120"/>
      <c r="P48" s="615"/>
      <c r="Q48" s="92"/>
      <c r="R48" s="278"/>
      <c r="S48" s="120"/>
      <c r="T48" s="615"/>
      <c r="U48" s="92"/>
      <c r="V48" s="278"/>
      <c r="W48" s="120"/>
      <c r="X48" s="615"/>
      <c r="Y48" s="5"/>
      <c r="Z48" s="37"/>
      <c r="AA48" s="5"/>
      <c r="AB48" s="5"/>
    </row>
    <row r="49" spans="2:28" s="473" customFormat="1" x14ac:dyDescent="0.2">
      <c r="B49" s="496"/>
      <c r="C49" s="501"/>
      <c r="D49" s="106" t="s">
        <v>109</v>
      </c>
      <c r="E49" s="115"/>
      <c r="F49" s="831">
        <f>SUM(F13:F47)</f>
        <v>1</v>
      </c>
      <c r="G49" s="831">
        <f>SUM(G13:G47)</f>
        <v>1</v>
      </c>
      <c r="H49" s="860">
        <f>SUM(H13:H47)</f>
        <v>61000</v>
      </c>
      <c r="I49" s="115"/>
      <c r="J49" s="831">
        <f>SUM(J13:J47)</f>
        <v>1</v>
      </c>
      <c r="K49" s="831">
        <f>SUM(K13:K47)</f>
        <v>1</v>
      </c>
      <c r="L49" s="860">
        <f>SUM(L13:L47)</f>
        <v>61000</v>
      </c>
      <c r="M49" s="115"/>
      <c r="N49" s="831">
        <f>SUM(N13:N47)</f>
        <v>1</v>
      </c>
      <c r="O49" s="831">
        <f>SUM(O13:O47)</f>
        <v>1</v>
      </c>
      <c r="P49" s="860">
        <f>SUM(P13:P47)</f>
        <v>61000</v>
      </c>
      <c r="Q49" s="115"/>
      <c r="R49" s="831">
        <f>SUM(R13:R47)</f>
        <v>1</v>
      </c>
      <c r="S49" s="831">
        <f>SUM(S13:S47)</f>
        <v>1</v>
      </c>
      <c r="T49" s="860">
        <f>SUM(T13:T47)</f>
        <v>61000</v>
      </c>
      <c r="U49" s="115"/>
      <c r="V49" s="831">
        <f>SUM(V13:V47)</f>
        <v>1</v>
      </c>
      <c r="W49" s="831">
        <f>SUM(W13:W47)</f>
        <v>1</v>
      </c>
      <c r="X49" s="860">
        <f>SUM(X13:X47)</f>
        <v>61000</v>
      </c>
      <c r="Y49" s="468"/>
      <c r="Z49" s="63"/>
      <c r="AA49" s="22"/>
      <c r="AB49" s="22"/>
    </row>
    <row r="50" spans="2:28" x14ac:dyDescent="0.2">
      <c r="B50" s="34"/>
      <c r="C50" s="91"/>
      <c r="D50" s="106"/>
      <c r="E50" s="92"/>
      <c r="F50" s="268"/>
      <c r="G50" s="274"/>
      <c r="H50" s="279"/>
      <c r="I50" s="92"/>
      <c r="J50" s="268"/>
      <c r="K50" s="274"/>
      <c r="L50" s="279"/>
      <c r="M50" s="92"/>
      <c r="N50" s="268"/>
      <c r="O50" s="274"/>
      <c r="P50" s="279"/>
      <c r="Q50" s="92"/>
      <c r="R50" s="268"/>
      <c r="S50" s="274"/>
      <c r="T50" s="279"/>
      <c r="U50" s="92"/>
      <c r="V50" s="268"/>
      <c r="W50" s="274"/>
      <c r="X50" s="279"/>
      <c r="Y50" s="472"/>
      <c r="Z50" s="37"/>
      <c r="AA50" s="5"/>
      <c r="AB50" s="5"/>
    </row>
    <row r="51" spans="2:28" x14ac:dyDescent="0.2">
      <c r="B51" s="34"/>
      <c r="C51" s="91"/>
      <c r="D51" s="106"/>
      <c r="E51" s="92"/>
      <c r="F51" s="268"/>
      <c r="G51" s="274"/>
      <c r="H51" s="279"/>
      <c r="I51" s="92"/>
      <c r="J51" s="268"/>
      <c r="K51" s="274"/>
      <c r="L51" s="279"/>
      <c r="M51" s="92"/>
      <c r="N51" s="268"/>
      <c r="O51" s="274"/>
      <c r="P51" s="279"/>
      <c r="Q51" s="92"/>
      <c r="R51" s="268"/>
      <c r="S51" s="274"/>
      <c r="T51" s="279"/>
      <c r="U51" s="92"/>
      <c r="V51" s="268"/>
      <c r="W51" s="274"/>
      <c r="X51" s="279"/>
      <c r="Y51" s="472"/>
      <c r="Z51" s="37"/>
      <c r="AA51" s="5"/>
      <c r="AB51" s="5"/>
    </row>
    <row r="52" spans="2:28" x14ac:dyDescent="0.2">
      <c r="B52" s="34"/>
      <c r="C52" s="91"/>
      <c r="D52" s="103"/>
      <c r="E52" s="92"/>
      <c r="F52" s="103" t="s">
        <v>254</v>
      </c>
      <c r="G52" s="807">
        <f>pers!N93</f>
        <v>6.68</v>
      </c>
      <c r="H52" s="858">
        <f>pers!H93</f>
        <v>407692.09360000008</v>
      </c>
      <c r="I52" s="92"/>
      <c r="J52" s="103" t="s">
        <v>254</v>
      </c>
      <c r="K52" s="807">
        <f>pers!O93</f>
        <v>5.69</v>
      </c>
      <c r="L52" s="858">
        <f>pers!I93</f>
        <v>347388.76759999996</v>
      </c>
      <c r="M52" s="92"/>
      <c r="N52" s="103" t="s">
        <v>254</v>
      </c>
      <c r="O52" s="807">
        <f>pers!P93</f>
        <v>5.69</v>
      </c>
      <c r="P52" s="858">
        <f>pers!J93</f>
        <v>347388.76759999996</v>
      </c>
      <c r="Q52" s="92"/>
      <c r="R52" s="103" t="s">
        <v>254</v>
      </c>
      <c r="S52" s="807">
        <f>pers!Q93</f>
        <v>5.69</v>
      </c>
      <c r="T52" s="858">
        <f>pers!K93</f>
        <v>347388.76759999996</v>
      </c>
      <c r="U52" s="92"/>
      <c r="V52" s="103" t="s">
        <v>254</v>
      </c>
      <c r="W52" s="807">
        <f>pers!R93</f>
        <v>5.69</v>
      </c>
      <c r="X52" s="858">
        <f>pers!L93</f>
        <v>347388.76759999996</v>
      </c>
      <c r="Y52" s="235"/>
      <c r="Z52" s="37"/>
      <c r="AA52" s="5"/>
      <c r="AB52" s="5"/>
    </row>
    <row r="53" spans="2:28" x14ac:dyDescent="0.2">
      <c r="B53" s="34"/>
      <c r="C53" s="91"/>
      <c r="D53" s="103"/>
      <c r="E53" s="92"/>
      <c r="F53" s="103" t="s">
        <v>253</v>
      </c>
      <c r="G53" s="807">
        <f>G49</f>
        <v>1</v>
      </c>
      <c r="H53" s="858">
        <f>H49</f>
        <v>61000</v>
      </c>
      <c r="I53" s="92"/>
      <c r="J53" s="103" t="s">
        <v>253</v>
      </c>
      <c r="K53" s="807">
        <f>K49</f>
        <v>1</v>
      </c>
      <c r="L53" s="858">
        <f>L49</f>
        <v>61000</v>
      </c>
      <c r="M53" s="92"/>
      <c r="N53" s="103" t="s">
        <v>253</v>
      </c>
      <c r="O53" s="807">
        <f>O49</f>
        <v>1</v>
      </c>
      <c r="P53" s="858">
        <f>P49</f>
        <v>61000</v>
      </c>
      <c r="Q53" s="92"/>
      <c r="R53" s="103" t="s">
        <v>253</v>
      </c>
      <c r="S53" s="807">
        <f>S49</f>
        <v>1</v>
      </c>
      <c r="T53" s="858">
        <f>T49</f>
        <v>61000</v>
      </c>
      <c r="U53" s="92"/>
      <c r="V53" s="103" t="s">
        <v>253</v>
      </c>
      <c r="W53" s="807">
        <f>W49</f>
        <v>1</v>
      </c>
      <c r="X53" s="858">
        <f>X49</f>
        <v>61000</v>
      </c>
      <c r="Y53" s="235"/>
      <c r="Z53" s="37"/>
      <c r="AA53" s="5"/>
      <c r="AB53" s="5"/>
    </row>
    <row r="54" spans="2:28" x14ac:dyDescent="0.2">
      <c r="B54" s="58"/>
      <c r="C54" s="318"/>
      <c r="D54" s="325"/>
      <c r="E54" s="222"/>
      <c r="F54" s="325" t="s">
        <v>245</v>
      </c>
      <c r="G54" s="956">
        <f>G52-G49</f>
        <v>5.68</v>
      </c>
      <c r="H54" s="957">
        <f>H52-H53</f>
        <v>346692.09360000008</v>
      </c>
      <c r="I54" s="222"/>
      <c r="J54" s="325" t="s">
        <v>245</v>
      </c>
      <c r="K54" s="956">
        <f>K52-K49</f>
        <v>4.6900000000000004</v>
      </c>
      <c r="L54" s="957">
        <f>L52-L53</f>
        <v>286388.76759999996</v>
      </c>
      <c r="M54" s="222"/>
      <c r="N54" s="325" t="s">
        <v>245</v>
      </c>
      <c r="O54" s="956">
        <f>O52-O49</f>
        <v>4.6900000000000004</v>
      </c>
      <c r="P54" s="957">
        <f>P52-P53</f>
        <v>286388.76759999996</v>
      </c>
      <c r="Q54" s="222"/>
      <c r="R54" s="325" t="s">
        <v>245</v>
      </c>
      <c r="S54" s="956">
        <f>S52-S49</f>
        <v>4.6900000000000004</v>
      </c>
      <c r="T54" s="957">
        <f>T52-T53</f>
        <v>286388.76759999996</v>
      </c>
      <c r="U54" s="222"/>
      <c r="V54" s="325" t="s">
        <v>245</v>
      </c>
      <c r="W54" s="956">
        <f>W52-W49</f>
        <v>4.6900000000000004</v>
      </c>
      <c r="X54" s="957">
        <f>X52-X53</f>
        <v>286388.76759999996</v>
      </c>
      <c r="Y54" s="472"/>
      <c r="Z54" s="37"/>
      <c r="AA54" s="5"/>
      <c r="AB54" s="5"/>
    </row>
    <row r="55" spans="2:28" x14ac:dyDescent="0.2">
      <c r="B55" s="58"/>
      <c r="C55" s="322"/>
      <c r="D55" s="326"/>
      <c r="E55" s="217"/>
      <c r="F55" s="326"/>
      <c r="G55" s="259"/>
      <c r="H55" s="616"/>
      <c r="I55" s="217"/>
      <c r="J55" s="326"/>
      <c r="K55" s="259"/>
      <c r="L55" s="616"/>
      <c r="M55" s="217"/>
      <c r="N55" s="326"/>
      <c r="O55" s="259"/>
      <c r="P55" s="616"/>
      <c r="Q55" s="217"/>
      <c r="R55" s="326"/>
      <c r="S55" s="259"/>
      <c r="T55" s="616"/>
      <c r="U55" s="217"/>
      <c r="V55" s="326"/>
      <c r="W55" s="259"/>
      <c r="X55" s="616"/>
      <c r="Y55" s="472"/>
      <c r="Z55" s="37"/>
      <c r="AA55" s="5"/>
      <c r="AB55" s="5"/>
    </row>
    <row r="56" spans="2:28" s="475" customFormat="1" x14ac:dyDescent="0.2">
      <c r="B56" s="497"/>
      <c r="C56" s="505"/>
      <c r="D56" s="506"/>
      <c r="E56" s="507"/>
      <c r="F56" s="506" t="s">
        <v>323</v>
      </c>
      <c r="G56" s="859">
        <f>geg!G24</f>
        <v>110</v>
      </c>
      <c r="I56" s="422"/>
      <c r="J56" s="422" t="s">
        <v>323</v>
      </c>
      <c r="K56" s="859">
        <f>geg!H24</f>
        <v>90</v>
      </c>
      <c r="M56" s="422"/>
      <c r="N56" s="422" t="s">
        <v>323</v>
      </c>
      <c r="O56" s="859">
        <f>geg!I24</f>
        <v>90</v>
      </c>
      <c r="Q56" s="422"/>
      <c r="R56" s="422" t="s">
        <v>323</v>
      </c>
      <c r="S56" s="859">
        <f>geg!J24</f>
        <v>90</v>
      </c>
      <c r="U56" s="422"/>
      <c r="V56" s="422" t="s">
        <v>323</v>
      </c>
      <c r="W56" s="859">
        <f>geg!K24</f>
        <v>90</v>
      </c>
      <c r="Y56" s="474"/>
      <c r="Z56" s="498"/>
      <c r="AA56" s="474"/>
      <c r="AB56" s="474"/>
    </row>
    <row r="57" spans="2:28" x14ac:dyDescent="0.2">
      <c r="B57" s="34"/>
      <c r="C57" s="124"/>
      <c r="D57" s="325"/>
      <c r="E57" s="125"/>
      <c r="F57" s="311"/>
      <c r="G57" s="311"/>
      <c r="H57" s="617"/>
      <c r="I57" s="125"/>
      <c r="J57" s="320"/>
      <c r="K57" s="320"/>
      <c r="L57" s="622"/>
      <c r="M57" s="223"/>
      <c r="N57" s="508"/>
      <c r="O57" s="508"/>
      <c r="P57" s="143"/>
      <c r="Q57" s="223"/>
      <c r="R57" s="508"/>
      <c r="S57" s="508"/>
      <c r="T57" s="143"/>
      <c r="U57" s="223"/>
      <c r="V57" s="508"/>
      <c r="W57" s="508"/>
      <c r="X57" s="624"/>
      <c r="Y57" s="22"/>
      <c r="Z57" s="37"/>
      <c r="AA57" s="5"/>
      <c r="AB57" s="5"/>
    </row>
    <row r="58" spans="2:28" x14ac:dyDescent="0.2">
      <c r="B58" s="34"/>
      <c r="C58" s="35"/>
      <c r="D58" s="254"/>
      <c r="E58" s="35"/>
      <c r="F58" s="248"/>
      <c r="G58" s="248"/>
      <c r="H58" s="618"/>
      <c r="I58" s="35"/>
      <c r="J58" s="252"/>
      <c r="K58" s="252"/>
      <c r="L58" s="623"/>
      <c r="M58" s="35"/>
      <c r="N58" s="499"/>
      <c r="O58" s="499"/>
      <c r="P58" s="55"/>
      <c r="Q58" s="35"/>
      <c r="R58" s="499"/>
      <c r="S58" s="499"/>
      <c r="T58" s="55"/>
      <c r="U58" s="35"/>
      <c r="V58" s="499"/>
      <c r="W58" s="499"/>
      <c r="X58" s="55"/>
      <c r="Y58" s="35"/>
      <c r="Z58" s="37"/>
      <c r="AA58" s="5"/>
      <c r="AB58" s="5"/>
    </row>
    <row r="59" spans="2:28" ht="15" x14ac:dyDescent="0.25">
      <c r="B59" s="68"/>
      <c r="C59" s="69"/>
      <c r="D59" s="500"/>
      <c r="E59" s="69"/>
      <c r="F59" s="189"/>
      <c r="G59" s="189"/>
      <c r="H59" s="500"/>
      <c r="I59" s="69"/>
      <c r="J59" s="189"/>
      <c r="K59" s="189"/>
      <c r="L59" s="500"/>
      <c r="M59" s="69"/>
      <c r="N59" s="69"/>
      <c r="O59" s="69"/>
      <c r="P59" s="500"/>
      <c r="Q59" s="69"/>
      <c r="R59" s="69"/>
      <c r="S59" s="69"/>
      <c r="T59" s="500"/>
      <c r="U59" s="69"/>
      <c r="V59" s="69"/>
      <c r="W59" s="69"/>
      <c r="X59" s="500"/>
      <c r="Y59" s="72" t="s">
        <v>388</v>
      </c>
      <c r="Z59" s="85"/>
      <c r="AA59" s="5"/>
      <c r="AB59" s="5"/>
    </row>
    <row r="60" spans="2:28" x14ac:dyDescent="0.2">
      <c r="B60" s="5"/>
      <c r="C60" s="5"/>
      <c r="D60" s="20"/>
      <c r="E60" s="5"/>
      <c r="F60" s="237"/>
      <c r="G60" s="237"/>
      <c r="H60" s="619"/>
      <c r="I60" s="5"/>
      <c r="J60" s="239"/>
      <c r="K60" s="239"/>
      <c r="L60" s="614"/>
      <c r="M60" s="5"/>
      <c r="N60" s="476"/>
      <c r="O60" s="476"/>
      <c r="P60" s="17"/>
      <c r="Q60" s="5"/>
      <c r="R60" s="476"/>
      <c r="S60" s="476"/>
      <c r="T60" s="17"/>
      <c r="U60" s="5"/>
      <c r="V60" s="476"/>
      <c r="W60" s="476"/>
      <c r="X60" s="17"/>
      <c r="Y60" s="5"/>
      <c r="Z60" s="5"/>
      <c r="AA60" s="5"/>
      <c r="AB60" s="5"/>
    </row>
    <row r="61" spans="2:28" x14ac:dyDescent="0.2">
      <c r="B61" s="5"/>
      <c r="C61" s="5"/>
      <c r="D61" s="20"/>
      <c r="E61" s="5"/>
      <c r="F61" s="237"/>
      <c r="G61" s="237"/>
      <c r="H61" s="619"/>
      <c r="I61" s="5"/>
      <c r="J61" s="239"/>
      <c r="K61" s="239"/>
      <c r="L61" s="614"/>
      <c r="M61" s="5"/>
      <c r="N61" s="476"/>
      <c r="O61" s="476"/>
      <c r="P61" s="17"/>
      <c r="Q61" s="5"/>
      <c r="R61" s="476"/>
      <c r="S61" s="476"/>
      <c r="T61" s="17"/>
      <c r="U61" s="5"/>
      <c r="V61" s="476"/>
      <c r="W61" s="476"/>
      <c r="X61" s="17"/>
      <c r="Y61" s="5"/>
      <c r="Z61" s="5"/>
      <c r="AA61" s="5"/>
      <c r="AB61" s="5"/>
    </row>
    <row r="62" spans="2:28" x14ac:dyDescent="0.2">
      <c r="B62" s="5"/>
      <c r="C62" s="5"/>
      <c r="D62" s="20"/>
      <c r="E62" s="5"/>
      <c r="F62" s="237"/>
      <c r="G62" s="237"/>
      <c r="H62" s="619"/>
      <c r="I62" s="5"/>
      <c r="J62" s="239"/>
      <c r="K62" s="239"/>
      <c r="L62" s="614"/>
      <c r="M62" s="5"/>
      <c r="N62" s="476"/>
      <c r="O62" s="476"/>
      <c r="P62" s="17"/>
      <c r="Q62" s="5"/>
      <c r="R62" s="476"/>
      <c r="S62" s="476"/>
      <c r="T62" s="17"/>
      <c r="U62" s="5"/>
      <c r="V62" s="476"/>
      <c r="W62" s="476"/>
      <c r="X62" s="17"/>
      <c r="Y62" s="5"/>
      <c r="Z62" s="5"/>
      <c r="AA62" s="5"/>
      <c r="AB62" s="5"/>
    </row>
    <row r="63" spans="2:28" x14ac:dyDescent="0.2">
      <c r="B63" s="5"/>
      <c r="C63" s="5"/>
      <c r="D63" s="20"/>
      <c r="E63" s="5"/>
      <c r="F63" s="237"/>
      <c r="G63" s="237"/>
      <c r="H63" s="619"/>
      <c r="I63" s="5"/>
      <c r="J63" s="239"/>
      <c r="K63" s="239"/>
      <c r="L63" s="614"/>
      <c r="M63" s="5"/>
      <c r="N63" s="476"/>
      <c r="O63" s="476"/>
      <c r="P63" s="17"/>
      <c r="Q63" s="5"/>
      <c r="R63" s="476"/>
      <c r="S63" s="476"/>
      <c r="T63" s="17"/>
      <c r="U63" s="5"/>
      <c r="V63" s="476"/>
      <c r="W63" s="476"/>
      <c r="X63" s="17"/>
      <c r="Y63" s="5"/>
      <c r="Z63" s="5"/>
      <c r="AA63" s="5"/>
      <c r="AB63" s="5"/>
    </row>
    <row r="64" spans="2:28" x14ac:dyDescent="0.2">
      <c r="B64" s="5"/>
      <c r="C64" s="5"/>
      <c r="D64" s="20"/>
      <c r="E64" s="5"/>
      <c r="F64" s="237"/>
      <c r="G64" s="237"/>
      <c r="H64" s="619"/>
      <c r="I64" s="5"/>
      <c r="J64" s="239"/>
      <c r="K64" s="239"/>
      <c r="L64" s="614"/>
      <c r="M64" s="5"/>
      <c r="N64" s="476"/>
      <c r="O64" s="476"/>
      <c r="P64" s="17"/>
      <c r="Q64" s="5"/>
      <c r="R64" s="476"/>
      <c r="S64" s="476"/>
      <c r="T64" s="17"/>
      <c r="U64" s="5"/>
      <c r="V64" s="476"/>
      <c r="W64" s="476"/>
      <c r="X64" s="17"/>
      <c r="Y64" s="5"/>
      <c r="Z64" s="5"/>
      <c r="AA64" s="5"/>
      <c r="AB64" s="5"/>
    </row>
    <row r="65" spans="2:28" s="477" customFormat="1" hidden="1" x14ac:dyDescent="0.2">
      <c r="B65" s="428"/>
      <c r="C65" s="428"/>
      <c r="E65" s="428"/>
      <c r="F65" s="425" t="s">
        <v>372</v>
      </c>
      <c r="G65" s="478" t="s">
        <v>373</v>
      </c>
      <c r="H65" s="620" t="s">
        <v>374</v>
      </c>
      <c r="I65" s="428"/>
      <c r="J65" s="478"/>
      <c r="K65" s="478" t="s">
        <v>373</v>
      </c>
      <c r="L65" s="620" t="s">
        <v>374</v>
      </c>
      <c r="M65" s="428"/>
      <c r="N65" s="478"/>
      <c r="O65" s="478" t="s">
        <v>373</v>
      </c>
      <c r="P65" s="620" t="s">
        <v>374</v>
      </c>
      <c r="Q65" s="428"/>
      <c r="R65" s="478"/>
      <c r="S65" s="478" t="s">
        <v>373</v>
      </c>
      <c r="T65" s="620" t="s">
        <v>374</v>
      </c>
      <c r="U65" s="428"/>
      <c r="V65" s="478"/>
      <c r="W65" s="478" t="s">
        <v>373</v>
      </c>
      <c r="X65" s="620" t="s">
        <v>374</v>
      </c>
      <c r="Y65" s="428"/>
      <c r="Z65" s="428"/>
      <c r="AA65" s="428"/>
      <c r="AB65" s="428"/>
    </row>
    <row r="66" spans="2:28" hidden="1" x14ac:dyDescent="0.2">
      <c r="B66" s="5"/>
      <c r="C66" s="5"/>
      <c r="D66" s="20"/>
      <c r="E66" s="5"/>
      <c r="F66" s="169" t="s">
        <v>203</v>
      </c>
      <c r="G66" s="479">
        <v>0.08</v>
      </c>
      <c r="H66" s="621" t="e">
        <f>#REF!/SUM(F25:F29)</f>
        <v>#REF!</v>
      </c>
      <c r="I66" s="5"/>
      <c r="J66" s="169" t="s">
        <v>203</v>
      </c>
      <c r="K66" s="479">
        <v>0.16</v>
      </c>
      <c r="L66" s="621" t="e">
        <f>#REF!/SUM(J25:J29)</f>
        <v>#REF!</v>
      </c>
      <c r="M66" s="5"/>
      <c r="N66" s="169" t="s">
        <v>203</v>
      </c>
      <c r="O66" s="479">
        <v>0.24</v>
      </c>
      <c r="P66" s="621" t="e">
        <f>#REF!/SUM(N25:N29)</f>
        <v>#REF!</v>
      </c>
      <c r="Q66" s="5"/>
      <c r="R66" s="169" t="s">
        <v>203</v>
      </c>
      <c r="S66" s="479">
        <v>0.32</v>
      </c>
      <c r="T66" s="621" t="e">
        <f>#REF!/SUM(R25:R29)</f>
        <v>#REF!</v>
      </c>
      <c r="U66" s="5"/>
      <c r="V66" s="169" t="s">
        <v>203</v>
      </c>
      <c r="W66" s="479">
        <v>0.4</v>
      </c>
      <c r="X66" s="621" t="e">
        <f>#REF!/SUM(V25:V29)</f>
        <v>#REF!</v>
      </c>
      <c r="Y66" s="5"/>
      <c r="Z66" s="5"/>
      <c r="AA66" s="5"/>
      <c r="AB66" s="5"/>
    </row>
    <row r="67" spans="2:28" hidden="1" x14ac:dyDescent="0.2">
      <c r="B67" s="5"/>
      <c r="C67" s="5"/>
      <c r="D67" s="20"/>
      <c r="E67" s="5"/>
      <c r="F67" s="169" t="s">
        <v>204</v>
      </c>
      <c r="G67" s="479">
        <v>0</v>
      </c>
      <c r="H67" s="621" t="e">
        <f>#REF!/SUM(F25:F29)</f>
        <v>#REF!</v>
      </c>
      <c r="I67" s="5"/>
      <c r="J67" s="169" t="s">
        <v>204</v>
      </c>
      <c r="K67" s="479">
        <v>0.01</v>
      </c>
      <c r="L67" s="621" t="e">
        <f>#REF!/SUM(J25:J29)</f>
        <v>#REF!</v>
      </c>
      <c r="M67" s="5"/>
      <c r="N67" s="169" t="s">
        <v>204</v>
      </c>
      <c r="O67" s="479">
        <v>0.01</v>
      </c>
      <c r="P67" s="621" t="e">
        <f>#REF!/SUM(N25:N29)</f>
        <v>#REF!</v>
      </c>
      <c r="Q67" s="5"/>
      <c r="R67" s="169" t="s">
        <v>204</v>
      </c>
      <c r="S67" s="479">
        <v>0.01</v>
      </c>
      <c r="T67" s="621" t="e">
        <f>#REF!/SUM(R25:R29)</f>
        <v>#REF!</v>
      </c>
      <c r="U67" s="5"/>
      <c r="V67" s="169" t="s">
        <v>204</v>
      </c>
      <c r="W67" s="479">
        <v>0.02</v>
      </c>
      <c r="X67" s="621" t="e">
        <f>#REF!/SUM(V25:V29)</f>
        <v>#REF!</v>
      </c>
      <c r="Y67" s="5"/>
      <c r="Z67" s="5"/>
      <c r="AA67" s="5"/>
      <c r="AB67" s="5"/>
    </row>
    <row r="68" spans="2:28" x14ac:dyDescent="0.2">
      <c r="B68" s="5"/>
      <c r="C68" s="5"/>
      <c r="D68" s="20"/>
      <c r="E68" s="5"/>
      <c r="F68" s="237"/>
      <c r="G68" s="237"/>
      <c r="H68" s="619"/>
      <c r="I68" s="5"/>
      <c r="J68" s="239"/>
      <c r="K68" s="239"/>
      <c r="L68" s="614"/>
      <c r="M68" s="5"/>
      <c r="N68" s="476"/>
      <c r="O68" s="476"/>
      <c r="P68" s="17"/>
      <c r="Q68" s="5"/>
      <c r="R68" s="476"/>
      <c r="S68" s="476"/>
      <c r="T68" s="17"/>
      <c r="U68" s="5"/>
      <c r="V68" s="476"/>
      <c r="W68" s="476"/>
      <c r="X68" s="17"/>
      <c r="Y68" s="5"/>
      <c r="Z68" s="5"/>
      <c r="AA68" s="5"/>
      <c r="AB68" s="5"/>
    </row>
    <row r="69" spans="2:28" x14ac:dyDescent="0.2">
      <c r="B69" s="5"/>
      <c r="C69" s="5"/>
      <c r="D69" s="20"/>
      <c r="E69" s="5"/>
      <c r="F69" s="237"/>
      <c r="G69" s="237"/>
      <c r="H69" s="619"/>
      <c r="I69" s="5"/>
      <c r="J69" s="239"/>
      <c r="K69" s="239"/>
      <c r="L69" s="614"/>
      <c r="M69" s="5"/>
      <c r="N69" s="476"/>
      <c r="O69" s="476"/>
      <c r="P69" s="17"/>
      <c r="Q69" s="5"/>
      <c r="R69" s="476"/>
      <c r="S69" s="476"/>
      <c r="T69" s="17"/>
      <c r="U69" s="5"/>
      <c r="V69" s="476"/>
      <c r="W69" s="476"/>
      <c r="X69" s="17"/>
      <c r="Y69" s="5"/>
      <c r="Z69" s="5"/>
      <c r="AA69" s="5"/>
      <c r="AB69" s="5"/>
    </row>
    <row r="70" spans="2:28" x14ac:dyDescent="0.2">
      <c r="B70" s="5"/>
      <c r="C70" s="5"/>
      <c r="D70" s="20"/>
      <c r="E70" s="5"/>
      <c r="F70" s="237"/>
      <c r="G70" s="237"/>
      <c r="H70" s="619"/>
      <c r="I70" s="5"/>
      <c r="J70" s="239"/>
      <c r="K70" s="239"/>
      <c r="L70" s="614"/>
      <c r="M70" s="5"/>
      <c r="N70" s="476"/>
      <c r="O70" s="476"/>
      <c r="P70" s="17"/>
      <c r="Q70" s="5"/>
      <c r="R70" s="476"/>
      <c r="S70" s="476"/>
      <c r="T70" s="17"/>
      <c r="U70" s="5"/>
      <c r="V70" s="476"/>
      <c r="W70" s="476"/>
      <c r="X70" s="17"/>
      <c r="Y70" s="5"/>
      <c r="Z70" s="5"/>
      <c r="AA70" s="5"/>
      <c r="AB70" s="5"/>
    </row>
    <row r="71" spans="2:28" x14ac:dyDescent="0.2">
      <c r="B71" s="5"/>
      <c r="C71" s="5"/>
      <c r="D71" s="20"/>
      <c r="E71" s="5"/>
      <c r="F71" s="237"/>
      <c r="G71" s="237"/>
      <c r="H71" s="619"/>
      <c r="I71" s="5"/>
      <c r="J71" s="239"/>
      <c r="K71" s="239"/>
      <c r="L71" s="614"/>
      <c r="M71" s="5"/>
      <c r="N71" s="476"/>
      <c r="O71" s="476"/>
      <c r="P71" s="17"/>
      <c r="Q71" s="5"/>
      <c r="R71" s="476"/>
      <c r="S71" s="476"/>
      <c r="T71" s="17"/>
      <c r="U71" s="5"/>
      <c r="V71" s="476"/>
      <c r="W71" s="476"/>
      <c r="X71" s="17"/>
      <c r="Y71" s="5"/>
      <c r="Z71" s="5"/>
      <c r="AA71" s="5"/>
      <c r="AB71" s="5"/>
    </row>
    <row r="72" spans="2:28" x14ac:dyDescent="0.2">
      <c r="B72" s="5"/>
      <c r="C72" s="5"/>
      <c r="D72" s="17"/>
      <c r="E72" s="5"/>
      <c r="F72" s="22"/>
      <c r="G72" s="22"/>
      <c r="H72" s="17"/>
      <c r="I72" s="5"/>
      <c r="J72" s="22"/>
      <c r="K72" s="22"/>
      <c r="L72" s="17"/>
      <c r="M72" s="5"/>
      <c r="N72" s="5"/>
      <c r="O72" s="5"/>
      <c r="P72" s="17"/>
      <c r="Q72" s="5"/>
      <c r="R72" s="5"/>
      <c r="S72" s="5"/>
      <c r="T72" s="17"/>
      <c r="U72" s="5"/>
      <c r="V72" s="5"/>
      <c r="W72" s="5"/>
      <c r="X72" s="17"/>
      <c r="Y72" s="5"/>
      <c r="Z72" s="5"/>
      <c r="AA72" s="5"/>
      <c r="AB72" s="5"/>
    </row>
  </sheetData>
  <sheetProtection algorithmName="SHA-512" hashValue="1rnwrTLga+G8I5x8yg7zLzbPGPeJ98eWhAU/fDUfmdcPmXs7xZhRfspbsAo3wrzD9uX94FrjGjzzfrEYfPL3eQ==" saltValue="4Hw91ixg+uxkDELAG2Lr3A==" spinCount="100000" sheet="1" objects="1" scenarios="1"/>
  <mergeCells count="5">
    <mergeCell ref="U8:Y8"/>
    <mergeCell ref="Q8:T8"/>
    <mergeCell ref="M8:P8"/>
    <mergeCell ref="E8:H8"/>
    <mergeCell ref="I8:L8"/>
  </mergeCells>
  <phoneticPr fontId="0" type="noConversion"/>
  <pageMargins left="0.78740157480314965" right="0.78740157480314965" top="0.98425196850393704" bottom="0.98425196850393704" header="0.51181102362204722" footer="0.51181102362204722"/>
  <pageSetup paperSize="9" scale="59" orientation="landscape" r:id="rId1"/>
  <headerFooter alignWithMargins="0">
    <oddHeader>&amp;L&amp;"Arial,Vet"&amp;F&amp;R&amp;"Arial,Vet"&amp;A</oddHeader>
    <oddFooter>&amp;L&amp;"Arial,Vet"PO-Raad&amp;C&amp;"Arial,Vet"&amp;D&amp;R&amp;"Arial,Vet"pagina &amp;P</oddFooter>
  </headerFooter>
  <rowBreaks count="2" manualBreakCount="2">
    <brk id="1" min="1" max="37" man="1"/>
    <brk id="59" min="1" max="2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121"/>
  <sheetViews>
    <sheetView zoomScale="85" zoomScaleNormal="85" workbookViewId="0">
      <pane ySplit="10" topLeftCell="A11" activePane="bottomLeft" state="frozen"/>
      <selection activeCell="C4" sqref="C4"/>
      <selection pane="bottomLeft" activeCell="B2" sqref="B2"/>
    </sheetView>
  </sheetViews>
  <sheetFormatPr defaultColWidth="9.140625" defaultRowHeight="12.75" customHeight="1" x14ac:dyDescent="0.2"/>
  <cols>
    <col min="1" max="1" width="3.7109375" style="5" customWidth="1"/>
    <col min="2" max="3" width="2.7109375" style="5" customWidth="1"/>
    <col min="4" max="4" width="45.7109375" style="381" customWidth="1"/>
    <col min="5" max="5" width="0.85546875" style="5" customWidth="1"/>
    <col min="6" max="6" width="8.7109375" style="5" customWidth="1"/>
    <col min="7" max="7" width="1.7109375" style="5" customWidth="1"/>
    <col min="8" max="12" width="12.85546875" style="22" customWidth="1"/>
    <col min="13" max="13" width="2.5703125" style="5" customWidth="1"/>
    <col min="14" max="15" width="2.7109375" style="5" customWidth="1"/>
    <col min="16" max="17" width="13.85546875" style="5" bestFit="1" customWidth="1"/>
    <col min="18" max="16384" width="9.140625" style="5"/>
  </cols>
  <sheetData>
    <row r="2" spans="2:14" ht="12.75" customHeight="1" x14ac:dyDescent="0.2">
      <c r="B2" s="30" t="s">
        <v>185</v>
      </c>
      <c r="C2" s="31"/>
      <c r="D2" s="384"/>
      <c r="E2" s="31"/>
      <c r="F2" s="31"/>
      <c r="G2" s="31"/>
      <c r="H2" s="76"/>
      <c r="I2" s="76"/>
      <c r="J2" s="76"/>
      <c r="K2" s="76"/>
      <c r="L2" s="76"/>
      <c r="M2" s="31"/>
      <c r="N2" s="33"/>
    </row>
    <row r="3" spans="2:14" ht="12.75" customHeight="1" x14ac:dyDescent="0.2">
      <c r="B3" s="34"/>
      <c r="C3" s="35"/>
      <c r="D3" s="195"/>
      <c r="E3" s="35"/>
      <c r="F3" s="35"/>
      <c r="G3" s="35"/>
      <c r="H3" s="62"/>
      <c r="I3" s="62"/>
      <c r="J3" s="62"/>
      <c r="K3" s="62"/>
      <c r="L3" s="62"/>
      <c r="M3" s="35"/>
      <c r="N3" s="37"/>
    </row>
    <row r="4" spans="2:14" s="436" customFormat="1" ht="18" customHeight="1" x14ac:dyDescent="0.3">
      <c r="B4" s="208"/>
      <c r="C4" s="151" t="s">
        <v>45</v>
      </c>
      <c r="D4" s="173"/>
      <c r="E4" s="151"/>
      <c r="F4" s="151"/>
      <c r="G4" s="151"/>
      <c r="H4" s="213"/>
      <c r="I4" s="213"/>
      <c r="J4" s="213"/>
      <c r="K4" s="213"/>
      <c r="L4" s="213"/>
      <c r="M4" s="151"/>
      <c r="N4" s="209"/>
    </row>
    <row r="5" spans="2:14" s="231" customFormat="1" ht="18" customHeight="1" x14ac:dyDescent="0.3">
      <c r="B5" s="172"/>
      <c r="C5" s="173" t="str">
        <f>geg!G10</f>
        <v>Basisschool</v>
      </c>
      <c r="D5" s="173"/>
      <c r="E5" s="173"/>
      <c r="F5" s="173"/>
      <c r="G5" s="173"/>
      <c r="H5" s="328"/>
      <c r="I5" s="328"/>
      <c r="J5" s="328"/>
      <c r="K5" s="328"/>
      <c r="L5" s="328"/>
      <c r="M5" s="173"/>
      <c r="N5" s="174"/>
    </row>
    <row r="6" spans="2:14" s="436" customFormat="1" ht="12.75" customHeight="1" x14ac:dyDescent="0.3">
      <c r="B6" s="208"/>
      <c r="C6" s="127"/>
      <c r="D6" s="173"/>
      <c r="E6" s="151"/>
      <c r="F6" s="151"/>
      <c r="G6" s="151"/>
      <c r="H6" s="213"/>
      <c r="I6" s="213"/>
      <c r="J6" s="213"/>
      <c r="K6" s="213"/>
      <c r="L6" s="213"/>
      <c r="M6" s="151"/>
      <c r="N6" s="209"/>
    </row>
    <row r="7" spans="2:14" s="436" customFormat="1" ht="12.75" customHeight="1" x14ac:dyDescent="0.3">
      <c r="B7" s="208"/>
      <c r="C7" s="127"/>
      <c r="D7" s="173"/>
      <c r="E7" s="151"/>
      <c r="F7" s="151"/>
      <c r="G7" s="151"/>
      <c r="H7" s="213"/>
      <c r="I7" s="213"/>
      <c r="J7" s="213"/>
      <c r="K7" s="213"/>
      <c r="L7" s="213"/>
      <c r="M7" s="151"/>
      <c r="N7" s="209"/>
    </row>
    <row r="8" spans="2:14" s="165" customFormat="1" ht="12.75" customHeight="1" x14ac:dyDescent="0.2">
      <c r="B8" s="210"/>
      <c r="C8" s="153"/>
      <c r="D8" s="195"/>
      <c r="E8" s="153"/>
      <c r="F8" s="738" t="s">
        <v>114</v>
      </c>
      <c r="G8" s="751"/>
      <c r="H8" s="761" t="str">
        <f>geg!G16</f>
        <v>2016/17</v>
      </c>
      <c r="I8" s="761" t="str">
        <f>geg!H16</f>
        <v>2017/18</v>
      </c>
      <c r="J8" s="761" t="str">
        <f>geg!I16</f>
        <v>2018/19</v>
      </c>
      <c r="K8" s="761" t="str">
        <f>geg!J16</f>
        <v>2019/20</v>
      </c>
      <c r="L8" s="761" t="str">
        <f>geg!K16</f>
        <v>2020/21</v>
      </c>
      <c r="M8" s="153"/>
      <c r="N8" s="212"/>
    </row>
    <row r="9" spans="2:14" s="165" customFormat="1" ht="12.75" customHeight="1" x14ac:dyDescent="0.2">
      <c r="B9" s="210"/>
      <c r="C9" s="153"/>
      <c r="D9" s="195"/>
      <c r="E9" s="153"/>
      <c r="F9" s="738" t="s">
        <v>119</v>
      </c>
      <c r="G9" s="751"/>
      <c r="H9" s="761">
        <f>geg!G17</f>
        <v>2015</v>
      </c>
      <c r="I9" s="761">
        <f>geg!H17</f>
        <v>2016</v>
      </c>
      <c r="J9" s="761">
        <f>geg!I17</f>
        <v>2017</v>
      </c>
      <c r="K9" s="761">
        <f>geg!J17</f>
        <v>2018</v>
      </c>
      <c r="L9" s="761">
        <f>geg!K17</f>
        <v>2019</v>
      </c>
      <c r="M9" s="153"/>
      <c r="N9" s="212"/>
    </row>
    <row r="10" spans="2:14" ht="12.75" customHeight="1" x14ac:dyDescent="0.2">
      <c r="B10" s="34"/>
      <c r="C10" s="35"/>
      <c r="D10" s="195"/>
      <c r="E10" s="35"/>
      <c r="F10" s="35"/>
      <c r="G10" s="35"/>
      <c r="H10" s="62"/>
      <c r="I10" s="62"/>
      <c r="J10" s="62"/>
      <c r="K10" s="62"/>
      <c r="L10" s="62"/>
      <c r="M10" s="35"/>
      <c r="N10" s="37"/>
    </row>
    <row r="11" spans="2:14" ht="12.75" customHeight="1" x14ac:dyDescent="0.2">
      <c r="B11" s="34"/>
      <c r="C11" s="86"/>
      <c r="D11" s="397"/>
      <c r="E11" s="87"/>
      <c r="F11" s="87"/>
      <c r="G11" s="87"/>
      <c r="H11" s="144"/>
      <c r="I11" s="144"/>
      <c r="J11" s="144"/>
      <c r="K11" s="144"/>
      <c r="L11" s="144"/>
      <c r="M11" s="128"/>
      <c r="N11" s="37"/>
    </row>
    <row r="12" spans="2:14" s="165" customFormat="1" ht="12.75" customHeight="1" x14ac:dyDescent="0.2">
      <c r="B12" s="210"/>
      <c r="C12" s="225"/>
      <c r="D12" s="743" t="s">
        <v>234</v>
      </c>
      <c r="E12" s="135"/>
      <c r="F12" s="142"/>
      <c r="G12" s="142"/>
      <c r="H12" s="227"/>
      <c r="I12" s="227"/>
      <c r="J12" s="227"/>
      <c r="K12" s="227"/>
      <c r="L12" s="227"/>
      <c r="M12" s="228"/>
      <c r="N12" s="212"/>
    </row>
    <row r="13" spans="2:14" ht="12.75" customHeight="1" x14ac:dyDescent="0.2">
      <c r="B13" s="34"/>
      <c r="C13" s="91"/>
      <c r="D13" s="205"/>
      <c r="E13" s="92"/>
      <c r="F13" s="808" t="s">
        <v>153</v>
      </c>
      <c r="G13" s="92"/>
      <c r="H13" s="115"/>
      <c r="I13" s="115"/>
      <c r="J13" s="278"/>
      <c r="K13" s="278"/>
      <c r="L13" s="278"/>
      <c r="M13" s="98"/>
      <c r="N13" s="37"/>
    </row>
    <row r="14" spans="2:14" ht="12.75" customHeight="1" x14ac:dyDescent="0.2">
      <c r="B14" s="34"/>
      <c r="C14" s="91"/>
      <c r="D14" s="117" t="s">
        <v>27</v>
      </c>
      <c r="E14" s="92"/>
      <c r="F14" s="512"/>
      <c r="G14" s="92"/>
      <c r="H14" s="286"/>
      <c r="I14" s="286"/>
      <c r="J14" s="286"/>
      <c r="K14" s="286"/>
      <c r="L14" s="286"/>
      <c r="M14" s="513"/>
      <c r="N14" s="37"/>
    </row>
    <row r="15" spans="2:14" ht="12.75" customHeight="1" x14ac:dyDescent="0.2">
      <c r="B15" s="34"/>
      <c r="C15" s="91"/>
      <c r="D15" s="160" t="s">
        <v>231</v>
      </c>
      <c r="E15" s="514"/>
      <c r="F15" s="733">
        <v>0</v>
      </c>
      <c r="G15" s="514"/>
      <c r="H15" s="858">
        <f>IF(geg!G24=0,0,tab!$E$99)</f>
        <v>16414.93</v>
      </c>
      <c r="I15" s="858">
        <f>IF(geg!H24=0,0,tab!$F$99)</f>
        <v>16414.93</v>
      </c>
      <c r="J15" s="858">
        <f>IF(geg!I24=0,0,tab!$F$99)</f>
        <v>16414.93</v>
      </c>
      <c r="K15" s="858">
        <f>IF(geg!J24=0,0,tab!$F$99)</f>
        <v>16414.93</v>
      </c>
      <c r="L15" s="858">
        <f>IF(geg!K24=0,0,tab!$F$99)</f>
        <v>16414.93</v>
      </c>
      <c r="M15" s="513"/>
      <c r="N15" s="37"/>
    </row>
    <row r="16" spans="2:14" ht="12.75" customHeight="1" x14ac:dyDescent="0.2">
      <c r="B16" s="34"/>
      <c r="C16" s="91"/>
      <c r="D16" s="160" t="s">
        <v>237</v>
      </c>
      <c r="E16" s="514"/>
      <c r="F16" s="733">
        <v>0</v>
      </c>
      <c r="G16" s="514"/>
      <c r="H16" s="858">
        <f>IF(geg!G24=0,0,IF(geg!G24&lt;195,tab!$E$100,0))</f>
        <v>5304</v>
      </c>
      <c r="I16" s="858">
        <f>IF(geg!H24=0,0,IF(geg!H24&lt;195,tab!$F$100,0))</f>
        <v>5304</v>
      </c>
      <c r="J16" s="858">
        <f>IF(geg!I24=0,0,IF(geg!I24&lt;195,tab!$F$100,0))</f>
        <v>5304</v>
      </c>
      <c r="K16" s="858">
        <f>IF(geg!J24=0,0,IF(geg!J24&lt;195,tab!$F$100,0))</f>
        <v>5304</v>
      </c>
      <c r="L16" s="858">
        <f>IF(geg!K24=0,0,IF(geg!K24&lt;195,tab!$F$100,0))</f>
        <v>5304</v>
      </c>
      <c r="M16" s="513"/>
      <c r="N16" s="37"/>
    </row>
    <row r="17" spans="2:14" ht="12.75" customHeight="1" x14ac:dyDescent="0.2">
      <c r="B17" s="34"/>
      <c r="C17" s="91"/>
      <c r="D17" s="160" t="s">
        <v>287</v>
      </c>
      <c r="E17" s="514"/>
      <c r="F17" s="733">
        <v>0</v>
      </c>
      <c r="G17" s="514"/>
      <c r="H17" s="858">
        <f>IF(geg!G24=0,0,geg!G24*tab!$E$101)</f>
        <v>50279.899999999994</v>
      </c>
      <c r="I17" s="858">
        <f>IF(geg!H24=0,0,geg!H24*tab!$F$101)</f>
        <v>41138.1</v>
      </c>
      <c r="J17" s="858">
        <f>IF(geg!I24=0,0,geg!I24*tab!$F$101)</f>
        <v>41138.1</v>
      </c>
      <c r="K17" s="858">
        <f>IF(geg!J24=0,0,geg!J24*tab!$F$101)</f>
        <v>41138.1</v>
      </c>
      <c r="L17" s="858">
        <f>IF(geg!K24=0,0,geg!K24*tab!$F$101)</f>
        <v>41138.1</v>
      </c>
      <c r="M17" s="513"/>
      <c r="N17" s="37"/>
    </row>
    <row r="18" spans="2:14" ht="12.75" customHeight="1" x14ac:dyDescent="0.2">
      <c r="B18" s="34"/>
      <c r="C18" s="91"/>
      <c r="D18" s="160" t="s">
        <v>464</v>
      </c>
      <c r="E18" s="514"/>
      <c r="F18" s="733">
        <v>0</v>
      </c>
      <c r="G18" s="514"/>
      <c r="H18" s="858">
        <f>IF(geg!G28=0,0,geg!G28*tab!$E$102)</f>
        <v>0</v>
      </c>
      <c r="I18" s="858">
        <f>IF(geg!H28=0,0,geg!H28*tab!$F$102)</f>
        <v>0</v>
      </c>
      <c r="J18" s="858">
        <f>IF(geg!I28=0,0,geg!I28*tab!$F$102)</f>
        <v>0</v>
      </c>
      <c r="K18" s="858">
        <f>IF(geg!J28=0,0,geg!J28*tab!$F$102)</f>
        <v>0</v>
      </c>
      <c r="L18" s="858">
        <f>IF(geg!K28=0,0,geg!K28*tab!$F$102)</f>
        <v>0</v>
      </c>
      <c r="M18" s="513"/>
      <c r="N18" s="37"/>
    </row>
    <row r="19" spans="2:14" ht="12.75" customHeight="1" x14ac:dyDescent="0.2">
      <c r="B19" s="34"/>
      <c r="C19" s="91"/>
      <c r="D19" s="160" t="s">
        <v>288</v>
      </c>
      <c r="E19" s="514"/>
      <c r="F19" s="733">
        <v>0</v>
      </c>
      <c r="G19" s="514"/>
      <c r="H19" s="858">
        <f>IF(geg!G24=0,0,IF(geg!G24&lt;145,tab!$E$103-geg!G24*tab!$E$104,0))</f>
        <v>2888.880000000001</v>
      </c>
      <c r="I19" s="858">
        <f>IF(geg!H24=0,0,IF(geg!H24&lt;145,tab!$F$103-geg!H24*tab!$F$104,0))</f>
        <v>4540.2800000000007</v>
      </c>
      <c r="J19" s="858">
        <f>IF(geg!I24=0,0,IF(geg!I24&lt;145,tab!$F$103-geg!I24*tab!$F$104,0))</f>
        <v>4540.2800000000007</v>
      </c>
      <c r="K19" s="858">
        <f>IF(geg!J24=0,0,IF(geg!J24&lt;145,tab!$F$103-geg!J24*tab!$F$104,0))</f>
        <v>4540.2800000000007</v>
      </c>
      <c r="L19" s="858">
        <f>IF(geg!K24=0,0,IF(geg!K24&lt;145,tab!$F$103-geg!K24*tab!$F$104,0))</f>
        <v>4540.2800000000007</v>
      </c>
      <c r="M19" s="513"/>
      <c r="N19" s="37"/>
    </row>
    <row r="20" spans="2:14" s="10" customFormat="1" ht="12.75" customHeight="1" x14ac:dyDescent="0.2">
      <c r="B20" s="197"/>
      <c r="C20" s="291"/>
      <c r="D20" s="118"/>
      <c r="E20" s="295"/>
      <c r="F20" s="734"/>
      <c r="G20" s="295"/>
      <c r="H20" s="861">
        <f>SUM(H15:H19)</f>
        <v>74887.709999999992</v>
      </c>
      <c r="I20" s="861">
        <f>SUM(I15:I19)</f>
        <v>67397.31</v>
      </c>
      <c r="J20" s="861">
        <f>SUM(J15:J19)</f>
        <v>67397.31</v>
      </c>
      <c r="K20" s="861">
        <f>SUM(K15:K19)</f>
        <v>67397.31</v>
      </c>
      <c r="L20" s="861">
        <f>SUM(L15:L19)</f>
        <v>67397.31</v>
      </c>
      <c r="M20" s="516"/>
      <c r="N20" s="198"/>
    </row>
    <row r="21" spans="2:14" ht="12.75" customHeight="1" x14ac:dyDescent="0.2">
      <c r="B21" s="34"/>
      <c r="C21" s="91"/>
      <c r="D21" s="117" t="s">
        <v>515</v>
      </c>
      <c r="E21" s="117"/>
      <c r="F21" s="735"/>
      <c r="G21" s="92"/>
      <c r="H21" s="351"/>
      <c r="I21" s="351"/>
      <c r="J21" s="279"/>
      <c r="K21" s="279"/>
      <c r="L21" s="279"/>
      <c r="M21" s="513"/>
      <c r="N21" s="37"/>
    </row>
    <row r="22" spans="2:14" ht="12.75" customHeight="1" x14ac:dyDescent="0.2">
      <c r="B22" s="34"/>
      <c r="C22" s="91"/>
      <c r="D22" s="205" t="s">
        <v>453</v>
      </c>
      <c r="E22" s="92"/>
      <c r="F22" s="733">
        <v>0</v>
      </c>
      <c r="G22" s="92"/>
      <c r="H22" s="858">
        <f>(geg!G24*tab!E47)+tab!E48</f>
        <v>14166.9</v>
      </c>
      <c r="I22" s="858">
        <f>(geg!H24*tab!$F47)+tab!$F48</f>
        <v>11591.099999999999</v>
      </c>
      <c r="J22" s="858">
        <f>(geg!I24*tab!$F47)+tab!$F48</f>
        <v>11591.099999999999</v>
      </c>
      <c r="K22" s="858">
        <f>(geg!J24*tab!$F47)+tab!$F48</f>
        <v>11591.099999999999</v>
      </c>
      <c r="L22" s="858">
        <f>(geg!K24*tab!$F47)+tab!$F48</f>
        <v>11591.099999999999</v>
      </c>
      <c r="M22" s="513"/>
      <c r="N22" s="37"/>
    </row>
    <row r="23" spans="2:14" ht="12.75" customHeight="1" x14ac:dyDescent="0.2">
      <c r="B23" s="34"/>
      <c r="C23" s="91"/>
      <c r="D23" s="762"/>
      <c r="E23" s="92"/>
      <c r="F23" s="733">
        <v>0</v>
      </c>
      <c r="G23" s="92"/>
      <c r="H23" s="524">
        <v>0</v>
      </c>
      <c r="I23" s="524">
        <f t="shared" ref="I23:L25" si="0">H23</f>
        <v>0</v>
      </c>
      <c r="J23" s="524">
        <f t="shared" si="0"/>
        <v>0</v>
      </c>
      <c r="K23" s="524">
        <f t="shared" si="0"/>
        <v>0</v>
      </c>
      <c r="L23" s="524">
        <f t="shared" si="0"/>
        <v>0</v>
      </c>
      <c r="M23" s="513"/>
      <c r="N23" s="37"/>
    </row>
    <row r="24" spans="2:14" ht="12.75" customHeight="1" x14ac:dyDescent="0.2">
      <c r="B24" s="34"/>
      <c r="C24" s="91"/>
      <c r="D24" s="762"/>
      <c r="E24" s="92"/>
      <c r="F24" s="733">
        <v>0</v>
      </c>
      <c r="G24" s="92"/>
      <c r="H24" s="524">
        <v>0</v>
      </c>
      <c r="I24" s="524">
        <f t="shared" si="0"/>
        <v>0</v>
      </c>
      <c r="J24" s="524">
        <f t="shared" si="0"/>
        <v>0</v>
      </c>
      <c r="K24" s="524">
        <f t="shared" si="0"/>
        <v>0</v>
      </c>
      <c r="L24" s="524">
        <f t="shared" si="0"/>
        <v>0</v>
      </c>
      <c r="M24" s="513"/>
      <c r="N24" s="37"/>
    </row>
    <row r="25" spans="2:14" ht="12.75" customHeight="1" x14ac:dyDescent="0.2">
      <c r="B25" s="34"/>
      <c r="C25" s="91"/>
      <c r="D25" s="762"/>
      <c r="E25" s="92"/>
      <c r="F25" s="733">
        <v>0</v>
      </c>
      <c r="G25" s="92"/>
      <c r="H25" s="524">
        <v>0</v>
      </c>
      <c r="I25" s="524">
        <f t="shared" si="0"/>
        <v>0</v>
      </c>
      <c r="J25" s="524">
        <f t="shared" si="0"/>
        <v>0</v>
      </c>
      <c r="K25" s="524">
        <f t="shared" si="0"/>
        <v>0</v>
      </c>
      <c r="L25" s="524">
        <f t="shared" si="0"/>
        <v>0</v>
      </c>
      <c r="M25" s="513"/>
      <c r="N25" s="37"/>
    </row>
    <row r="26" spans="2:14" ht="12.75" customHeight="1" x14ac:dyDescent="0.2">
      <c r="B26" s="34"/>
      <c r="C26" s="91"/>
      <c r="D26" s="297"/>
      <c r="E26" s="92"/>
      <c r="F26" s="92"/>
      <c r="G26" s="92"/>
      <c r="H26" s="861">
        <f>SUM(H22:H25)</f>
        <v>14166.9</v>
      </c>
      <c r="I26" s="861">
        <f>SUM(I22:I25)</f>
        <v>11591.099999999999</v>
      </c>
      <c r="J26" s="861">
        <f>SUM(J22:J25)</f>
        <v>11591.099999999999</v>
      </c>
      <c r="K26" s="861">
        <f>SUM(K22:K25)</f>
        <v>11591.099999999999</v>
      </c>
      <c r="L26" s="861">
        <f>SUM(L22:L25)</f>
        <v>11591.099999999999</v>
      </c>
      <c r="M26" s="513"/>
      <c r="N26" s="37"/>
    </row>
    <row r="27" spans="2:14" ht="12.75" customHeight="1" x14ac:dyDescent="0.2">
      <c r="B27" s="34"/>
      <c r="C27" s="91"/>
      <c r="D27" s="117" t="s">
        <v>29</v>
      </c>
      <c r="E27" s="92"/>
      <c r="F27" s="92"/>
      <c r="G27" s="92"/>
      <c r="H27" s="103"/>
      <c r="I27" s="517"/>
      <c r="J27" s="106"/>
      <c r="K27" s="106"/>
      <c r="L27" s="106"/>
      <c r="M27" s="513"/>
      <c r="N27" s="37"/>
    </row>
    <row r="28" spans="2:14" ht="12.75" customHeight="1" x14ac:dyDescent="0.2">
      <c r="B28" s="34"/>
      <c r="C28" s="91"/>
      <c r="D28" s="108" t="s">
        <v>24</v>
      </c>
      <c r="E28" s="269"/>
      <c r="F28" s="92"/>
      <c r="G28" s="92"/>
      <c r="H28" s="515"/>
      <c r="I28" s="515"/>
      <c r="J28" s="515"/>
      <c r="K28" s="515"/>
      <c r="L28" s="515"/>
      <c r="M28" s="513"/>
      <c r="N28" s="37"/>
    </row>
    <row r="29" spans="2:14" ht="12.75" customHeight="1" x14ac:dyDescent="0.2">
      <c r="B29" s="34"/>
      <c r="C29" s="91"/>
      <c r="D29" s="160" t="s">
        <v>40</v>
      </c>
      <c r="E29" s="298"/>
      <c r="F29" s="92"/>
      <c r="G29" s="92"/>
      <c r="H29" s="858">
        <f>persbel!$F$15*persbel!H15+persbel!$F$16*persbel!H16+persbel!$F$17*persbel!H17+persbel!$F$18*persbel!H18+persbel!$F$19*persbel!H19+persbel!$F$22*persbel!H22+persbel!$F$23*persbel!H23+persbel!$F$24*persbel!H24+persbel!$F$25*persbel!H25</f>
        <v>0</v>
      </c>
      <c r="I29" s="858">
        <f>persbel!$F$15*persbel!I15+persbel!$F$16*persbel!I16+persbel!$F$17*persbel!I17+persbel!$F$18*persbel!I18+persbel!$F$19*persbel!I19+persbel!$F$22*persbel!I22+persbel!$F$23*persbel!I23+persbel!$F$24*persbel!I24+persbel!$F$25*persbel!I25</f>
        <v>0</v>
      </c>
      <c r="J29" s="858">
        <f>persbel!$F$15*persbel!J15+persbel!$F$16*persbel!J16+persbel!$F$17*persbel!J17+persbel!$F$18*persbel!J18+persbel!$F$19*persbel!J19+persbel!$F$22*persbel!J22+persbel!$F$23*persbel!J23+persbel!$F$24*persbel!J24+persbel!$F$25*persbel!J25</f>
        <v>0</v>
      </c>
      <c r="K29" s="858">
        <f>persbel!$F$15*persbel!K15+persbel!$F$16*persbel!K16+persbel!$F$17*persbel!K17+persbel!$F$18*persbel!K18+persbel!$F$19*persbel!K19+persbel!$F$22*persbel!K22+persbel!$F$23*persbel!K23+persbel!$F$24*persbel!K24+persbel!$F$25*persbel!K25</f>
        <v>0</v>
      </c>
      <c r="L29" s="858">
        <f>persbel!$F$15*persbel!L15+persbel!$F$16*persbel!L16+persbel!$F$17*persbel!L17+persbel!$F$18*persbel!L18+persbel!$F$19*persbel!L19+persbel!$F$22*persbel!L22+persbel!$F$23*persbel!L23+persbel!$F$24*persbel!L24+persbel!$F$25*persbel!L25</f>
        <v>0</v>
      </c>
      <c r="M29" s="513"/>
      <c r="N29" s="37"/>
    </row>
    <row r="30" spans="2:14" ht="12.75" customHeight="1" x14ac:dyDescent="0.2">
      <c r="B30" s="34"/>
      <c r="C30" s="91"/>
      <c r="D30" s="762"/>
      <c r="E30" s="298"/>
      <c r="F30" s="299"/>
      <c r="G30" s="92"/>
      <c r="H30" s="524">
        <v>0</v>
      </c>
      <c r="I30" s="524">
        <v>0</v>
      </c>
      <c r="J30" s="524">
        <v>0</v>
      </c>
      <c r="K30" s="524">
        <v>0</v>
      </c>
      <c r="L30" s="524">
        <v>0</v>
      </c>
      <c r="M30" s="513"/>
      <c r="N30" s="37"/>
    </row>
    <row r="31" spans="2:14" ht="12.75" customHeight="1" x14ac:dyDescent="0.2">
      <c r="B31" s="34"/>
      <c r="C31" s="91"/>
      <c r="D31" s="762"/>
      <c r="E31" s="298"/>
      <c r="F31" s="299"/>
      <c r="G31" s="92"/>
      <c r="H31" s="524">
        <v>0</v>
      </c>
      <c r="I31" s="524">
        <v>0</v>
      </c>
      <c r="J31" s="524">
        <v>0</v>
      </c>
      <c r="K31" s="524">
        <v>0</v>
      </c>
      <c r="L31" s="524">
        <v>0</v>
      </c>
      <c r="M31" s="513"/>
      <c r="N31" s="37"/>
    </row>
    <row r="32" spans="2:14" ht="12.75" customHeight="1" x14ac:dyDescent="0.2">
      <c r="B32" s="34"/>
      <c r="C32" s="91"/>
      <c r="D32" s="762"/>
      <c r="E32" s="298"/>
      <c r="F32" s="299"/>
      <c r="G32" s="92"/>
      <c r="H32" s="524">
        <v>0</v>
      </c>
      <c r="I32" s="524">
        <v>0</v>
      </c>
      <c r="J32" s="524">
        <v>0</v>
      </c>
      <c r="K32" s="524">
        <v>0</v>
      </c>
      <c r="L32" s="524">
        <v>0</v>
      </c>
      <c r="M32" s="513"/>
      <c r="N32" s="37"/>
    </row>
    <row r="33" spans="2:14" s="24" customFormat="1" ht="12.75" customHeight="1" x14ac:dyDescent="0.2">
      <c r="B33" s="179"/>
      <c r="C33" s="300"/>
      <c r="D33" s="301"/>
      <c r="E33" s="301"/>
      <c r="F33" s="302"/>
      <c r="G33" s="117"/>
      <c r="H33" s="862">
        <f>SUM(H29:H32)</f>
        <v>0</v>
      </c>
      <c r="I33" s="862">
        <f>SUM(I29:I32)</f>
        <v>0</v>
      </c>
      <c r="J33" s="862">
        <f>SUM(J29:J32)</f>
        <v>0</v>
      </c>
      <c r="K33" s="862">
        <f>SUM(K29:K32)</f>
        <v>0</v>
      </c>
      <c r="L33" s="862">
        <f>SUM(L29:L32)</f>
        <v>0</v>
      </c>
      <c r="M33" s="518"/>
      <c r="N33" s="180"/>
    </row>
    <row r="34" spans="2:14" ht="12.75" customHeight="1" x14ac:dyDescent="0.2">
      <c r="B34" s="34"/>
      <c r="C34" s="91"/>
      <c r="D34" s="117" t="s">
        <v>25</v>
      </c>
      <c r="E34" s="298"/>
      <c r="F34" s="299"/>
      <c r="G34" s="92"/>
      <c r="H34" s="351"/>
      <c r="I34" s="351"/>
      <c r="J34" s="351"/>
      <c r="K34" s="351"/>
      <c r="L34" s="351"/>
      <c r="M34" s="513"/>
      <c r="N34" s="37"/>
    </row>
    <row r="35" spans="2:14" ht="12.75" customHeight="1" x14ac:dyDescent="0.2">
      <c r="B35" s="34"/>
      <c r="C35" s="91"/>
      <c r="D35" s="762"/>
      <c r="E35" s="304"/>
      <c r="F35" s="305"/>
      <c r="G35" s="92"/>
      <c r="H35" s="524">
        <v>0</v>
      </c>
      <c r="I35" s="524">
        <v>0</v>
      </c>
      <c r="J35" s="524">
        <v>0</v>
      </c>
      <c r="K35" s="524">
        <v>0</v>
      </c>
      <c r="L35" s="524">
        <v>0</v>
      </c>
      <c r="M35" s="513"/>
      <c r="N35" s="37"/>
    </row>
    <row r="36" spans="2:14" ht="12.75" customHeight="1" x14ac:dyDescent="0.2">
      <c r="B36" s="34"/>
      <c r="C36" s="91"/>
      <c r="D36" s="762"/>
      <c r="E36" s="298"/>
      <c r="F36" s="299"/>
      <c r="G36" s="92"/>
      <c r="H36" s="524">
        <v>0</v>
      </c>
      <c r="I36" s="524">
        <v>0</v>
      </c>
      <c r="J36" s="524">
        <v>0</v>
      </c>
      <c r="K36" s="524">
        <v>0</v>
      </c>
      <c r="L36" s="524">
        <v>0</v>
      </c>
      <c r="M36" s="513"/>
      <c r="N36" s="37"/>
    </row>
    <row r="37" spans="2:14" ht="12.75" customHeight="1" x14ac:dyDescent="0.2">
      <c r="B37" s="34"/>
      <c r="C37" s="91"/>
      <c r="D37" s="762"/>
      <c r="E37" s="304"/>
      <c r="F37" s="305"/>
      <c r="G37" s="92"/>
      <c r="H37" s="524">
        <v>0</v>
      </c>
      <c r="I37" s="524">
        <v>0</v>
      </c>
      <c r="J37" s="524">
        <v>0</v>
      </c>
      <c r="K37" s="524">
        <v>0</v>
      </c>
      <c r="L37" s="524">
        <v>0</v>
      </c>
      <c r="M37" s="513"/>
      <c r="N37" s="37"/>
    </row>
    <row r="38" spans="2:14" s="24" customFormat="1" ht="12.75" customHeight="1" x14ac:dyDescent="0.2">
      <c r="B38" s="179"/>
      <c r="C38" s="300"/>
      <c r="D38" s="306"/>
      <c r="E38" s="306"/>
      <c r="F38" s="307"/>
      <c r="G38" s="117"/>
      <c r="H38" s="862">
        <f>SUM(H35:H37)</f>
        <v>0</v>
      </c>
      <c r="I38" s="862">
        <f>SUM(I35:I37)</f>
        <v>0</v>
      </c>
      <c r="J38" s="862">
        <f>SUM(J35:J37)</f>
        <v>0</v>
      </c>
      <c r="K38" s="862">
        <f>SUM(K35:K37)</f>
        <v>0</v>
      </c>
      <c r="L38" s="862">
        <f>SUM(L35:L37)</f>
        <v>0</v>
      </c>
      <c r="M38" s="518"/>
      <c r="N38" s="180"/>
    </row>
    <row r="39" spans="2:14" ht="12.75" customHeight="1" x14ac:dyDescent="0.2">
      <c r="B39" s="34"/>
      <c r="C39" s="91"/>
      <c r="D39" s="205"/>
      <c r="E39" s="92"/>
      <c r="F39" s="92"/>
      <c r="G39" s="92"/>
      <c r="H39" s="103"/>
      <c r="I39" s="517"/>
      <c r="J39" s="106"/>
      <c r="K39" s="106"/>
      <c r="L39" s="106"/>
      <c r="M39" s="513"/>
      <c r="N39" s="37"/>
    </row>
    <row r="40" spans="2:14" s="24" customFormat="1" ht="12.75" customHeight="1" x14ac:dyDescent="0.2">
      <c r="B40" s="179"/>
      <c r="C40" s="300"/>
      <c r="D40" s="117" t="s">
        <v>51</v>
      </c>
      <c r="E40" s="117"/>
      <c r="F40" s="117"/>
      <c r="G40" s="117"/>
      <c r="H40" s="861">
        <f>H33-H38</f>
        <v>0</v>
      </c>
      <c r="I40" s="861">
        <f>I33-I38</f>
        <v>0</v>
      </c>
      <c r="J40" s="861">
        <f>J33-J38</f>
        <v>0</v>
      </c>
      <c r="K40" s="861">
        <f>K33-K38</f>
        <v>0</v>
      </c>
      <c r="L40" s="861">
        <f>L33-L38</f>
        <v>0</v>
      </c>
      <c r="M40" s="516"/>
      <c r="N40" s="180"/>
    </row>
    <row r="41" spans="2:14" ht="12.75" customHeight="1" x14ac:dyDescent="0.2">
      <c r="B41" s="34"/>
      <c r="C41" s="91"/>
      <c r="D41" s="205"/>
      <c r="E41" s="92"/>
      <c r="F41" s="92"/>
      <c r="G41" s="92"/>
      <c r="H41" s="103"/>
      <c r="I41" s="517"/>
      <c r="J41" s="106"/>
      <c r="K41" s="106"/>
      <c r="L41" s="106"/>
      <c r="M41" s="513"/>
      <c r="N41" s="37"/>
    </row>
    <row r="42" spans="2:14" ht="12.75" customHeight="1" x14ac:dyDescent="0.2">
      <c r="B42" s="34"/>
      <c r="C42" s="91"/>
      <c r="D42" s="205"/>
      <c r="E42" s="92"/>
      <c r="F42" s="92"/>
      <c r="G42" s="92"/>
      <c r="H42" s="103"/>
      <c r="I42" s="517"/>
      <c r="J42" s="106"/>
      <c r="K42" s="106"/>
      <c r="L42" s="106"/>
      <c r="M42" s="513"/>
      <c r="N42" s="37"/>
    </row>
    <row r="43" spans="2:14" ht="12.75" customHeight="1" x14ac:dyDescent="0.2">
      <c r="B43" s="34"/>
      <c r="C43" s="91"/>
      <c r="D43" s="606" t="s">
        <v>145</v>
      </c>
      <c r="E43" s="116"/>
      <c r="F43" s="92"/>
      <c r="G43" s="92"/>
      <c r="H43" s="860">
        <f>H20+H26-H40</f>
        <v>89054.609999999986</v>
      </c>
      <c r="I43" s="860">
        <f>I20+I26-I40</f>
        <v>78988.41</v>
      </c>
      <c r="J43" s="860">
        <f>J20+J26-J40</f>
        <v>78988.41</v>
      </c>
      <c r="K43" s="860">
        <f>K20+K26-K40</f>
        <v>78988.41</v>
      </c>
      <c r="L43" s="860">
        <f>L20+L26-L40</f>
        <v>78988.41</v>
      </c>
      <c r="M43" s="513"/>
      <c r="N43" s="37"/>
    </row>
    <row r="44" spans="2:14" ht="12.75" customHeight="1" x14ac:dyDescent="0.2">
      <c r="B44" s="34"/>
      <c r="C44" s="124"/>
      <c r="D44" s="409"/>
      <c r="E44" s="125"/>
      <c r="F44" s="125"/>
      <c r="G44" s="125"/>
      <c r="H44" s="525"/>
      <c r="I44" s="525"/>
      <c r="J44" s="319"/>
      <c r="K44" s="319"/>
      <c r="L44" s="319"/>
      <c r="M44" s="519"/>
      <c r="N44" s="37"/>
    </row>
    <row r="45" spans="2:14" ht="12.75" customHeight="1" x14ac:dyDescent="0.2">
      <c r="B45" s="34"/>
      <c r="C45" s="35"/>
      <c r="D45" s="195"/>
      <c r="E45" s="35"/>
      <c r="F45" s="35"/>
      <c r="G45" s="35"/>
      <c r="H45" s="510"/>
      <c r="I45" s="510"/>
      <c r="J45" s="510"/>
      <c r="K45" s="510"/>
      <c r="L45" s="510"/>
      <c r="M45" s="35"/>
      <c r="N45" s="37"/>
    </row>
    <row r="46" spans="2:14" ht="12.75" customHeight="1" x14ac:dyDescent="0.2">
      <c r="B46" s="34"/>
      <c r="C46" s="86"/>
      <c r="D46" s="397"/>
      <c r="E46" s="87"/>
      <c r="F46" s="87"/>
      <c r="G46" s="87"/>
      <c r="H46" s="526"/>
      <c r="I46" s="526"/>
      <c r="J46" s="323"/>
      <c r="K46" s="323"/>
      <c r="L46" s="323"/>
      <c r="M46" s="527"/>
      <c r="N46" s="37"/>
    </row>
    <row r="47" spans="2:14" s="165" customFormat="1" ht="12.75" customHeight="1" x14ac:dyDescent="0.2">
      <c r="B47" s="210"/>
      <c r="C47" s="225"/>
      <c r="D47" s="606" t="s">
        <v>356</v>
      </c>
      <c r="E47" s="135"/>
      <c r="F47" s="135"/>
      <c r="G47" s="135"/>
      <c r="H47" s="520"/>
      <c r="I47" s="520"/>
      <c r="J47" s="520"/>
      <c r="K47" s="520"/>
      <c r="L47" s="520"/>
      <c r="M47" s="521"/>
      <c r="N47" s="212"/>
    </row>
    <row r="48" spans="2:14" ht="12.75" customHeight="1" x14ac:dyDescent="0.2">
      <c r="B48" s="34"/>
      <c r="C48" s="91"/>
      <c r="D48" s="606"/>
      <c r="E48" s="116"/>
      <c r="F48" s="116"/>
      <c r="G48" s="116"/>
      <c r="H48" s="193"/>
      <c r="I48" s="193"/>
      <c r="J48" s="193"/>
      <c r="K48" s="193"/>
      <c r="L48" s="193"/>
      <c r="M48" s="513"/>
      <c r="N48" s="37"/>
    </row>
    <row r="49" spans="2:14" ht="12.75" customHeight="1" x14ac:dyDescent="0.2">
      <c r="B49" s="34"/>
      <c r="C49" s="91"/>
      <c r="D49" s="762"/>
      <c r="E49" s="92"/>
      <c r="F49" s="92"/>
      <c r="G49" s="92"/>
      <c r="H49" s="524">
        <v>0</v>
      </c>
      <c r="I49" s="524">
        <f t="shared" ref="I49:L51" si="1">H49</f>
        <v>0</v>
      </c>
      <c r="J49" s="524">
        <f t="shared" si="1"/>
        <v>0</v>
      </c>
      <c r="K49" s="524">
        <f t="shared" si="1"/>
        <v>0</v>
      </c>
      <c r="L49" s="524">
        <f t="shared" si="1"/>
        <v>0</v>
      </c>
      <c r="M49" s="513"/>
      <c r="N49" s="37"/>
    </row>
    <row r="50" spans="2:14" ht="12.75" customHeight="1" x14ac:dyDescent="0.2">
      <c r="B50" s="34"/>
      <c r="C50" s="91"/>
      <c r="D50" s="762"/>
      <c r="E50" s="92"/>
      <c r="F50" s="92"/>
      <c r="G50" s="92"/>
      <c r="H50" s="524">
        <v>0</v>
      </c>
      <c r="I50" s="524">
        <f t="shared" si="1"/>
        <v>0</v>
      </c>
      <c r="J50" s="524">
        <f t="shared" si="1"/>
        <v>0</v>
      </c>
      <c r="K50" s="524">
        <f t="shared" si="1"/>
        <v>0</v>
      </c>
      <c r="L50" s="524">
        <f t="shared" si="1"/>
        <v>0</v>
      </c>
      <c r="M50" s="513"/>
      <c r="N50" s="37"/>
    </row>
    <row r="51" spans="2:14" ht="12.75" customHeight="1" x14ac:dyDescent="0.2">
      <c r="B51" s="34"/>
      <c r="C51" s="91"/>
      <c r="D51" s="762"/>
      <c r="E51" s="92"/>
      <c r="F51" s="92"/>
      <c r="G51" s="92"/>
      <c r="H51" s="524">
        <v>0</v>
      </c>
      <c r="I51" s="524">
        <f t="shared" si="1"/>
        <v>0</v>
      </c>
      <c r="J51" s="524">
        <f t="shared" si="1"/>
        <v>0</v>
      </c>
      <c r="K51" s="524">
        <f t="shared" si="1"/>
        <v>0</v>
      </c>
      <c r="L51" s="524">
        <f t="shared" si="1"/>
        <v>0</v>
      </c>
      <c r="M51" s="513"/>
      <c r="N51" s="37"/>
    </row>
    <row r="52" spans="2:14" ht="12.75" customHeight="1" x14ac:dyDescent="0.2">
      <c r="B52" s="34"/>
      <c r="C52" s="91"/>
      <c r="D52" s="763"/>
      <c r="E52" s="269"/>
      <c r="F52" s="92"/>
      <c r="G52" s="92"/>
      <c r="H52" s="515"/>
      <c r="I52" s="515"/>
      <c r="J52" s="515"/>
      <c r="K52" s="515"/>
      <c r="L52" s="515"/>
      <c r="M52" s="513"/>
      <c r="N52" s="37"/>
    </row>
    <row r="53" spans="2:14" ht="12.75" customHeight="1" x14ac:dyDescent="0.2">
      <c r="B53" s="58"/>
      <c r="C53" s="105"/>
      <c r="D53" s="606" t="s">
        <v>145</v>
      </c>
      <c r="E53" s="116"/>
      <c r="F53" s="116"/>
      <c r="G53" s="116"/>
      <c r="H53" s="860">
        <f>SUM(H49:H51)</f>
        <v>0</v>
      </c>
      <c r="I53" s="860">
        <f>SUM(I49:I51)</f>
        <v>0</v>
      </c>
      <c r="J53" s="860">
        <f>SUM(J49:J51)</f>
        <v>0</v>
      </c>
      <c r="K53" s="860">
        <f>SUM(K49:K51)</f>
        <v>0</v>
      </c>
      <c r="L53" s="860">
        <f>SUM(L49:L51)</f>
        <v>0</v>
      </c>
      <c r="M53" s="513"/>
      <c r="N53" s="178"/>
    </row>
    <row r="54" spans="2:14" ht="12.75" customHeight="1" x14ac:dyDescent="0.2">
      <c r="B54" s="34"/>
      <c r="C54" s="124"/>
      <c r="D54" s="764"/>
      <c r="E54" s="222"/>
      <c r="F54" s="222"/>
      <c r="G54" s="222"/>
      <c r="H54" s="319"/>
      <c r="I54" s="319"/>
      <c r="J54" s="319"/>
      <c r="K54" s="319"/>
      <c r="L54" s="319"/>
      <c r="M54" s="519"/>
      <c r="N54" s="37"/>
    </row>
    <row r="55" spans="2:14" ht="12.75" customHeight="1" x14ac:dyDescent="0.2">
      <c r="B55" s="34"/>
      <c r="C55" s="35"/>
      <c r="D55" s="737"/>
      <c r="E55" s="59"/>
      <c r="F55" s="59"/>
      <c r="G55" s="59"/>
      <c r="H55" s="253"/>
      <c r="I55" s="253"/>
      <c r="J55" s="253"/>
      <c r="K55" s="253"/>
      <c r="L55" s="253"/>
      <c r="M55" s="247"/>
      <c r="N55" s="37"/>
    </row>
    <row r="56" spans="2:14" ht="12.75" customHeight="1" x14ac:dyDescent="0.2">
      <c r="B56" s="34"/>
      <c r="C56" s="86"/>
      <c r="D56" s="765"/>
      <c r="E56" s="217"/>
      <c r="F56" s="217"/>
      <c r="G56" s="217"/>
      <c r="H56" s="323"/>
      <c r="I56" s="323"/>
      <c r="J56" s="323"/>
      <c r="K56" s="323"/>
      <c r="L56" s="323"/>
      <c r="M56" s="527"/>
      <c r="N56" s="37"/>
    </row>
    <row r="57" spans="2:14" s="165" customFormat="1" ht="12.75" customHeight="1" x14ac:dyDescent="0.2">
      <c r="B57" s="210"/>
      <c r="C57" s="225"/>
      <c r="D57" s="606" t="s">
        <v>235</v>
      </c>
      <c r="E57" s="135"/>
      <c r="F57" s="135"/>
      <c r="G57" s="135"/>
      <c r="H57" s="520"/>
      <c r="I57" s="520"/>
      <c r="J57" s="520"/>
      <c r="K57" s="520"/>
      <c r="L57" s="520"/>
      <c r="M57" s="521"/>
      <c r="N57" s="212"/>
    </row>
    <row r="58" spans="2:14" ht="12.75" customHeight="1" x14ac:dyDescent="0.2">
      <c r="B58" s="34"/>
      <c r="C58" s="91"/>
      <c r="D58" s="606"/>
      <c r="E58" s="116"/>
      <c r="F58" s="116"/>
      <c r="G58" s="116"/>
      <c r="H58" s="193"/>
      <c r="I58" s="193"/>
      <c r="J58" s="193"/>
      <c r="K58" s="193"/>
      <c r="L58" s="193"/>
      <c r="M58" s="513"/>
      <c r="N58" s="37"/>
    </row>
    <row r="59" spans="2:14" s="10" customFormat="1" ht="12.75" customHeight="1" x14ac:dyDescent="0.2">
      <c r="B59" s="34"/>
      <c r="C59" s="91"/>
      <c r="D59" s="205" t="s">
        <v>16</v>
      </c>
      <c r="E59" s="92"/>
      <c r="F59" s="92"/>
      <c r="G59" s="92"/>
      <c r="H59" s="524">
        <v>0</v>
      </c>
      <c r="I59" s="524">
        <f t="shared" ref="I59:L63" si="2">H59</f>
        <v>0</v>
      </c>
      <c r="J59" s="524">
        <f t="shared" si="2"/>
        <v>0</v>
      </c>
      <c r="K59" s="524">
        <f t="shared" si="2"/>
        <v>0</v>
      </c>
      <c r="L59" s="524">
        <f t="shared" si="2"/>
        <v>0</v>
      </c>
      <c r="M59" s="513"/>
      <c r="N59" s="37"/>
    </row>
    <row r="60" spans="2:14" s="10" customFormat="1" ht="12.75" customHeight="1" x14ac:dyDescent="0.2">
      <c r="B60" s="34"/>
      <c r="C60" s="91"/>
      <c r="D60" s="205" t="s">
        <v>71</v>
      </c>
      <c r="E60" s="92"/>
      <c r="F60" s="92"/>
      <c r="G60" s="92"/>
      <c r="H60" s="524">
        <v>0</v>
      </c>
      <c r="I60" s="524">
        <f t="shared" si="2"/>
        <v>0</v>
      </c>
      <c r="J60" s="524">
        <f t="shared" si="2"/>
        <v>0</v>
      </c>
      <c r="K60" s="524">
        <f t="shared" si="2"/>
        <v>0</v>
      </c>
      <c r="L60" s="524">
        <f t="shared" si="2"/>
        <v>0</v>
      </c>
      <c r="M60" s="513"/>
      <c r="N60" s="37"/>
    </row>
    <row r="61" spans="2:14" s="10" customFormat="1" ht="12.75" customHeight="1" x14ac:dyDescent="0.2">
      <c r="B61" s="34"/>
      <c r="C61" s="91"/>
      <c r="D61" s="205" t="s">
        <v>264</v>
      </c>
      <c r="E61" s="92"/>
      <c r="F61" s="92"/>
      <c r="G61" s="92"/>
      <c r="H61" s="524">
        <v>0</v>
      </c>
      <c r="I61" s="524">
        <f t="shared" si="2"/>
        <v>0</v>
      </c>
      <c r="J61" s="524">
        <f t="shared" si="2"/>
        <v>0</v>
      </c>
      <c r="K61" s="524">
        <f t="shared" si="2"/>
        <v>0</v>
      </c>
      <c r="L61" s="524">
        <f t="shared" si="2"/>
        <v>0</v>
      </c>
      <c r="M61" s="513"/>
      <c r="N61" s="37"/>
    </row>
    <row r="62" spans="2:14" s="10" customFormat="1" ht="12.75" customHeight="1" x14ac:dyDescent="0.2">
      <c r="B62" s="34"/>
      <c r="C62" s="91"/>
      <c r="D62" s="762"/>
      <c r="E62" s="92"/>
      <c r="F62" s="92"/>
      <c r="G62" s="92"/>
      <c r="H62" s="524">
        <v>0</v>
      </c>
      <c r="I62" s="524">
        <f t="shared" si="2"/>
        <v>0</v>
      </c>
      <c r="J62" s="524">
        <f t="shared" si="2"/>
        <v>0</v>
      </c>
      <c r="K62" s="524">
        <f t="shared" si="2"/>
        <v>0</v>
      </c>
      <c r="L62" s="524">
        <f t="shared" si="2"/>
        <v>0</v>
      </c>
      <c r="M62" s="513"/>
      <c r="N62" s="37"/>
    </row>
    <row r="63" spans="2:14" s="10" customFormat="1" ht="12.75" customHeight="1" x14ac:dyDescent="0.2">
      <c r="B63" s="34"/>
      <c r="C63" s="91"/>
      <c r="D63" s="762"/>
      <c r="E63" s="92"/>
      <c r="F63" s="92"/>
      <c r="G63" s="92"/>
      <c r="H63" s="524">
        <v>0</v>
      </c>
      <c r="I63" s="524">
        <f t="shared" si="2"/>
        <v>0</v>
      </c>
      <c r="J63" s="524">
        <f t="shared" si="2"/>
        <v>0</v>
      </c>
      <c r="K63" s="524">
        <f t="shared" si="2"/>
        <v>0</v>
      </c>
      <c r="L63" s="524">
        <f t="shared" si="2"/>
        <v>0</v>
      </c>
      <c r="M63" s="513"/>
      <c r="N63" s="37"/>
    </row>
    <row r="64" spans="2:14" ht="12.75" customHeight="1" x14ac:dyDescent="0.2">
      <c r="B64" s="34"/>
      <c r="C64" s="91"/>
      <c r="D64" s="763"/>
      <c r="E64" s="269"/>
      <c r="F64" s="92"/>
      <c r="G64" s="92"/>
      <c r="H64" s="515"/>
      <c r="I64" s="515"/>
      <c r="J64" s="515"/>
      <c r="K64" s="515"/>
      <c r="L64" s="515"/>
      <c r="M64" s="513"/>
      <c r="N64" s="37"/>
    </row>
    <row r="65" spans="2:14" ht="12.75" customHeight="1" x14ac:dyDescent="0.2">
      <c r="B65" s="58"/>
      <c r="C65" s="105"/>
      <c r="D65" s="606" t="s">
        <v>145</v>
      </c>
      <c r="E65" s="116"/>
      <c r="F65" s="116"/>
      <c r="G65" s="116"/>
      <c r="H65" s="860">
        <f>SUM(H59:H63)</f>
        <v>0</v>
      </c>
      <c r="I65" s="860">
        <f>SUM(I59:I63)</f>
        <v>0</v>
      </c>
      <c r="J65" s="860">
        <f>SUM(J59:J63)</f>
        <v>0</v>
      </c>
      <c r="K65" s="860">
        <f>SUM(K59:K63)</f>
        <v>0</v>
      </c>
      <c r="L65" s="860">
        <f>SUM(L59:L63)</f>
        <v>0</v>
      </c>
      <c r="M65" s="513"/>
      <c r="N65" s="178"/>
    </row>
    <row r="66" spans="2:14" ht="12.75" customHeight="1" x14ac:dyDescent="0.2">
      <c r="B66" s="34"/>
      <c r="C66" s="124"/>
      <c r="D66" s="409"/>
      <c r="E66" s="125"/>
      <c r="F66" s="125"/>
      <c r="G66" s="125"/>
      <c r="H66" s="143"/>
      <c r="I66" s="528"/>
      <c r="J66" s="325"/>
      <c r="K66" s="325"/>
      <c r="L66" s="325"/>
      <c r="M66" s="519"/>
      <c r="N66" s="37"/>
    </row>
    <row r="67" spans="2:14" ht="12.75" customHeight="1" x14ac:dyDescent="0.2">
      <c r="B67" s="34"/>
      <c r="C67" s="35"/>
      <c r="D67" s="195"/>
      <c r="E67" s="35"/>
      <c r="F67" s="35"/>
      <c r="G67" s="35"/>
      <c r="H67" s="55"/>
      <c r="I67" s="511"/>
      <c r="J67" s="254"/>
      <c r="K67" s="254"/>
      <c r="L67" s="254"/>
      <c r="M67" s="247"/>
      <c r="N67" s="37"/>
    </row>
    <row r="68" spans="2:14" ht="12.75" customHeight="1" x14ac:dyDescent="0.2">
      <c r="B68" s="34"/>
      <c r="C68" s="86"/>
      <c r="D68" s="397"/>
      <c r="E68" s="87"/>
      <c r="F68" s="87"/>
      <c r="G68" s="87"/>
      <c r="H68" s="338"/>
      <c r="I68" s="529"/>
      <c r="J68" s="326"/>
      <c r="K68" s="326"/>
      <c r="L68" s="326"/>
      <c r="M68" s="527"/>
      <c r="N68" s="37"/>
    </row>
    <row r="69" spans="2:14" ht="12.75" customHeight="1" x14ac:dyDescent="0.2">
      <c r="B69" s="34"/>
      <c r="C69" s="91"/>
      <c r="D69" s="606" t="s">
        <v>47</v>
      </c>
      <c r="E69" s="92"/>
      <c r="F69" s="92"/>
      <c r="G69" s="92"/>
      <c r="H69" s="832">
        <f>H43+H53+H65</f>
        <v>89054.609999999986</v>
      </c>
      <c r="I69" s="832">
        <f>I43+I53+I65</f>
        <v>78988.41</v>
      </c>
      <c r="J69" s="832">
        <f>J43+J53+J65</f>
        <v>78988.41</v>
      </c>
      <c r="K69" s="832">
        <f>K43+K53+K65</f>
        <v>78988.41</v>
      </c>
      <c r="L69" s="832">
        <f>L43+L53+L65</f>
        <v>78988.41</v>
      </c>
      <c r="M69" s="513"/>
      <c r="N69" s="37"/>
    </row>
    <row r="70" spans="2:14" ht="12.75" customHeight="1" x14ac:dyDescent="0.2">
      <c r="B70" s="34"/>
      <c r="C70" s="91"/>
      <c r="D70" s="205"/>
      <c r="E70" s="92"/>
      <c r="F70" s="92"/>
      <c r="G70" s="92"/>
      <c r="H70" s="115"/>
      <c r="I70" s="278"/>
      <c r="J70" s="220"/>
      <c r="K70" s="220"/>
      <c r="L70" s="220"/>
      <c r="M70" s="513"/>
      <c r="N70" s="37"/>
    </row>
    <row r="71" spans="2:14" ht="12.75" customHeight="1" x14ac:dyDescent="0.2">
      <c r="B71" s="34"/>
      <c r="C71" s="91"/>
      <c r="D71" s="205" t="s">
        <v>59</v>
      </c>
      <c r="E71" s="92"/>
      <c r="F71" s="92"/>
      <c r="G71" s="92"/>
      <c r="H71" s="804">
        <f>pers!H91</f>
        <v>0</v>
      </c>
      <c r="I71" s="804">
        <f>pers!I91</f>
        <v>0</v>
      </c>
      <c r="J71" s="804">
        <f>pers!J91</f>
        <v>0</v>
      </c>
      <c r="K71" s="804">
        <f>pers!K91</f>
        <v>0</v>
      </c>
      <c r="L71" s="804">
        <f>pers!L91</f>
        <v>0</v>
      </c>
      <c r="M71" s="513"/>
      <c r="N71" s="37"/>
    </row>
    <row r="72" spans="2:14" ht="12.75" customHeight="1" x14ac:dyDescent="0.2">
      <c r="B72" s="34"/>
      <c r="C72" s="91"/>
      <c r="D72" s="205" t="s">
        <v>57</v>
      </c>
      <c r="E72" s="92"/>
      <c r="F72" s="92"/>
      <c r="G72" s="92"/>
      <c r="H72" s="255">
        <v>0</v>
      </c>
      <c r="I72" s="255">
        <f>H72</f>
        <v>0</v>
      </c>
      <c r="J72" s="255">
        <f>I72</f>
        <v>0</v>
      </c>
      <c r="K72" s="255">
        <f>J72</f>
        <v>0</v>
      </c>
      <c r="L72" s="255">
        <f>K72</f>
        <v>0</v>
      </c>
      <c r="M72" s="513"/>
      <c r="N72" s="37"/>
    </row>
    <row r="73" spans="2:14" ht="12.75" customHeight="1" x14ac:dyDescent="0.2">
      <c r="B73" s="34"/>
      <c r="C73" s="91"/>
      <c r="D73" s="205" t="s">
        <v>60</v>
      </c>
      <c r="E73" s="92"/>
      <c r="F73" s="92"/>
      <c r="G73" s="92"/>
      <c r="H73" s="804">
        <f>pers!H89</f>
        <v>0</v>
      </c>
      <c r="I73" s="804">
        <f>pers!I89</f>
        <v>0</v>
      </c>
      <c r="J73" s="804">
        <f>pers!J89</f>
        <v>0</v>
      </c>
      <c r="K73" s="804">
        <f>pers!K89</f>
        <v>0</v>
      </c>
      <c r="L73" s="804">
        <f>pers!L89</f>
        <v>0</v>
      </c>
      <c r="M73" s="513"/>
      <c r="N73" s="37"/>
    </row>
    <row r="74" spans="2:14" ht="12.75" customHeight="1" x14ac:dyDescent="0.2">
      <c r="B74" s="34"/>
      <c r="C74" s="91"/>
      <c r="D74" s="205" t="s">
        <v>55</v>
      </c>
      <c r="E74" s="92"/>
      <c r="F74" s="92"/>
      <c r="G74" s="92"/>
      <c r="H74" s="255">
        <v>0</v>
      </c>
      <c r="I74" s="255">
        <f>H74</f>
        <v>0</v>
      </c>
      <c r="J74" s="255">
        <f>I74</f>
        <v>0</v>
      </c>
      <c r="K74" s="255">
        <f>J74</f>
        <v>0</v>
      </c>
      <c r="L74" s="255">
        <f>K74</f>
        <v>0</v>
      </c>
      <c r="M74" s="513"/>
      <c r="N74" s="37"/>
    </row>
    <row r="75" spans="2:14" ht="12.75" customHeight="1" x14ac:dyDescent="0.2">
      <c r="B75" s="34"/>
      <c r="C75" s="91"/>
      <c r="D75" s="205"/>
      <c r="E75" s="92"/>
      <c r="F75" s="92"/>
      <c r="G75" s="92"/>
      <c r="H75" s="103"/>
      <c r="I75" s="517"/>
      <c r="J75" s="106"/>
      <c r="K75" s="106"/>
      <c r="L75" s="106"/>
      <c r="M75" s="513"/>
      <c r="N75" s="37"/>
    </row>
    <row r="76" spans="2:14" s="19" customFormat="1" ht="12.75" customHeight="1" x14ac:dyDescent="0.2">
      <c r="B76" s="58"/>
      <c r="C76" s="105"/>
      <c r="D76" s="606" t="s">
        <v>58</v>
      </c>
      <c r="E76" s="116"/>
      <c r="F76" s="116"/>
      <c r="G76" s="116"/>
      <c r="H76" s="860">
        <f>SUM(H69:H72)-SUM(H73:H74)</f>
        <v>89054.609999999986</v>
      </c>
      <c r="I76" s="860">
        <f>SUM(I69:I72)-SUM(I73:I74)</f>
        <v>78988.41</v>
      </c>
      <c r="J76" s="860">
        <f>SUM(J69:J72)-SUM(J73:J74)</f>
        <v>78988.41</v>
      </c>
      <c r="K76" s="860">
        <f>SUM(K69:K72)-SUM(K73:K74)</f>
        <v>78988.41</v>
      </c>
      <c r="L76" s="860">
        <f>SUM(L69:L72)-SUM(L73:L74)</f>
        <v>78988.41</v>
      </c>
      <c r="M76" s="513"/>
      <c r="N76" s="178"/>
    </row>
    <row r="77" spans="2:14" s="19" customFormat="1" ht="12.75" customHeight="1" x14ac:dyDescent="0.2">
      <c r="B77" s="58"/>
      <c r="C77" s="318"/>
      <c r="D77" s="764"/>
      <c r="E77" s="222"/>
      <c r="F77" s="222"/>
      <c r="G77" s="222"/>
      <c r="H77" s="319"/>
      <c r="I77" s="319"/>
      <c r="J77" s="319"/>
      <c r="K77" s="319"/>
      <c r="L77" s="319"/>
      <c r="M77" s="519"/>
      <c r="N77" s="178"/>
    </row>
    <row r="78" spans="2:14" s="19" customFormat="1" ht="12.75" customHeight="1" x14ac:dyDescent="0.2">
      <c r="B78" s="58"/>
      <c r="C78" s="59"/>
      <c r="D78" s="737"/>
      <c r="E78" s="59"/>
      <c r="F78" s="59"/>
      <c r="G78" s="59"/>
      <c r="H78" s="253"/>
      <c r="I78" s="253"/>
      <c r="J78" s="253"/>
      <c r="K78" s="253"/>
      <c r="L78" s="253"/>
      <c r="M78" s="247"/>
      <c r="N78" s="178"/>
    </row>
    <row r="79" spans="2:14" s="19" customFormat="1" ht="12.75" customHeight="1" x14ac:dyDescent="0.2">
      <c r="B79" s="58"/>
      <c r="C79" s="86"/>
      <c r="D79" s="530"/>
      <c r="E79" s="87"/>
      <c r="F79" s="144"/>
      <c r="G79" s="87"/>
      <c r="H79" s="338"/>
      <c r="I79" s="529"/>
      <c r="J79" s="326"/>
      <c r="K79" s="326"/>
      <c r="L79" s="326"/>
      <c r="M79" s="527"/>
      <c r="N79" s="178"/>
    </row>
    <row r="80" spans="2:14" s="523" customFormat="1" ht="12.75" customHeight="1" x14ac:dyDescent="0.2">
      <c r="B80" s="373"/>
      <c r="C80" s="225"/>
      <c r="D80" s="743" t="s">
        <v>232</v>
      </c>
      <c r="E80" s="142"/>
      <c r="F80" s="808" t="s">
        <v>320</v>
      </c>
      <c r="G80" s="142"/>
      <c r="H80" s="375"/>
      <c r="I80" s="522"/>
      <c r="J80" s="226"/>
      <c r="K80" s="226"/>
      <c r="L80" s="226"/>
      <c r="M80" s="521"/>
      <c r="N80" s="377"/>
    </row>
    <row r="81" spans="2:14" s="19" customFormat="1" ht="12.75" customHeight="1" x14ac:dyDescent="0.2">
      <c r="B81" s="58"/>
      <c r="C81" s="91"/>
      <c r="D81" s="205"/>
      <c r="E81" s="92"/>
      <c r="F81" s="115"/>
      <c r="G81" s="92"/>
      <c r="H81" s="103"/>
      <c r="I81" s="517"/>
      <c r="J81" s="106"/>
      <c r="K81" s="106"/>
      <c r="L81" s="106"/>
      <c r="M81" s="513"/>
      <c r="N81" s="178"/>
    </row>
    <row r="82" spans="2:14" s="19" customFormat="1" ht="12.75" customHeight="1" x14ac:dyDescent="0.2">
      <c r="B82" s="58"/>
      <c r="C82" s="91"/>
      <c r="D82" s="206"/>
      <c r="E82" s="92"/>
      <c r="F82" s="540"/>
      <c r="G82" s="92"/>
      <c r="H82" s="524">
        <v>0</v>
      </c>
      <c r="I82" s="524">
        <f t="shared" ref="I82:L94" si="3">H82</f>
        <v>0</v>
      </c>
      <c r="J82" s="524">
        <f t="shared" si="3"/>
        <v>0</v>
      </c>
      <c r="K82" s="524">
        <f t="shared" si="3"/>
        <v>0</v>
      </c>
      <c r="L82" s="524">
        <f t="shared" si="3"/>
        <v>0</v>
      </c>
      <c r="M82" s="513"/>
      <c r="N82" s="178"/>
    </row>
    <row r="83" spans="2:14" s="19" customFormat="1" ht="12.75" customHeight="1" x14ac:dyDescent="0.2">
      <c r="B83" s="58"/>
      <c r="C83" s="91"/>
      <c r="D83" s="206"/>
      <c r="E83" s="92"/>
      <c r="F83" s="540"/>
      <c r="G83" s="92"/>
      <c r="H83" s="524">
        <v>0</v>
      </c>
      <c r="I83" s="524">
        <f t="shared" si="3"/>
        <v>0</v>
      </c>
      <c r="J83" s="524">
        <f t="shared" si="3"/>
        <v>0</v>
      </c>
      <c r="K83" s="524">
        <f t="shared" si="3"/>
        <v>0</v>
      </c>
      <c r="L83" s="524">
        <f t="shared" si="3"/>
        <v>0</v>
      </c>
      <c r="M83" s="513"/>
      <c r="N83" s="178"/>
    </row>
    <row r="84" spans="2:14" s="19" customFormat="1" ht="12.75" customHeight="1" x14ac:dyDescent="0.2">
      <c r="B84" s="58"/>
      <c r="C84" s="91"/>
      <c r="D84" s="206"/>
      <c r="E84" s="92"/>
      <c r="F84" s="540"/>
      <c r="G84" s="92"/>
      <c r="H84" s="524">
        <v>0</v>
      </c>
      <c r="I84" s="524">
        <f t="shared" si="3"/>
        <v>0</v>
      </c>
      <c r="J84" s="524">
        <f t="shared" si="3"/>
        <v>0</v>
      </c>
      <c r="K84" s="524">
        <f t="shared" si="3"/>
        <v>0</v>
      </c>
      <c r="L84" s="524">
        <f t="shared" si="3"/>
        <v>0</v>
      </c>
      <c r="M84" s="513"/>
      <c r="N84" s="178"/>
    </row>
    <row r="85" spans="2:14" s="19" customFormat="1" ht="12.75" customHeight="1" x14ac:dyDescent="0.2">
      <c r="B85" s="58"/>
      <c r="C85" s="91"/>
      <c r="D85" s="206"/>
      <c r="E85" s="92"/>
      <c r="F85" s="540"/>
      <c r="G85" s="92"/>
      <c r="H85" s="524">
        <v>0</v>
      </c>
      <c r="I85" s="524">
        <f t="shared" si="3"/>
        <v>0</v>
      </c>
      <c r="J85" s="524">
        <f t="shared" si="3"/>
        <v>0</v>
      </c>
      <c r="K85" s="524">
        <f t="shared" si="3"/>
        <v>0</v>
      </c>
      <c r="L85" s="524">
        <f t="shared" si="3"/>
        <v>0</v>
      </c>
      <c r="M85" s="513"/>
      <c r="N85" s="178"/>
    </row>
    <row r="86" spans="2:14" s="19" customFormat="1" ht="12.75" customHeight="1" x14ac:dyDescent="0.2">
      <c r="B86" s="58"/>
      <c r="C86" s="91"/>
      <c r="D86" s="206"/>
      <c r="E86" s="92"/>
      <c r="F86" s="540"/>
      <c r="G86" s="92"/>
      <c r="H86" s="524">
        <v>0</v>
      </c>
      <c r="I86" s="524">
        <f t="shared" si="3"/>
        <v>0</v>
      </c>
      <c r="J86" s="524">
        <f t="shared" si="3"/>
        <v>0</v>
      </c>
      <c r="K86" s="524">
        <f t="shared" si="3"/>
        <v>0</v>
      </c>
      <c r="L86" s="524">
        <f t="shared" si="3"/>
        <v>0</v>
      </c>
      <c r="M86" s="513"/>
      <c r="N86" s="178"/>
    </row>
    <row r="87" spans="2:14" s="19" customFormat="1" ht="12.75" customHeight="1" x14ac:dyDescent="0.2">
      <c r="B87" s="58"/>
      <c r="C87" s="91"/>
      <c r="D87" s="206"/>
      <c r="E87" s="92"/>
      <c r="F87" s="540"/>
      <c r="G87" s="92"/>
      <c r="H87" s="524">
        <v>0</v>
      </c>
      <c r="I87" s="524">
        <f t="shared" si="3"/>
        <v>0</v>
      </c>
      <c r="J87" s="524">
        <f t="shared" si="3"/>
        <v>0</v>
      </c>
      <c r="K87" s="524">
        <f t="shared" si="3"/>
        <v>0</v>
      </c>
      <c r="L87" s="524">
        <f t="shared" si="3"/>
        <v>0</v>
      </c>
      <c r="M87" s="513"/>
      <c r="N87" s="178"/>
    </row>
    <row r="88" spans="2:14" s="19" customFormat="1" ht="12.75" customHeight="1" x14ac:dyDescent="0.2">
      <c r="B88" s="58"/>
      <c r="C88" s="91"/>
      <c r="D88" s="206"/>
      <c r="E88" s="92"/>
      <c r="F88" s="540"/>
      <c r="G88" s="92"/>
      <c r="H88" s="524">
        <v>0</v>
      </c>
      <c r="I88" s="524">
        <f t="shared" si="3"/>
        <v>0</v>
      </c>
      <c r="J88" s="524">
        <f t="shared" si="3"/>
        <v>0</v>
      </c>
      <c r="K88" s="524">
        <f t="shared" si="3"/>
        <v>0</v>
      </c>
      <c r="L88" s="524">
        <f t="shared" si="3"/>
        <v>0</v>
      </c>
      <c r="M88" s="513"/>
      <c r="N88" s="178"/>
    </row>
    <row r="89" spans="2:14" s="19" customFormat="1" ht="12.75" customHeight="1" x14ac:dyDescent="0.2">
      <c r="B89" s="58"/>
      <c r="C89" s="91"/>
      <c r="D89" s="206"/>
      <c r="E89" s="92"/>
      <c r="F89" s="540"/>
      <c r="G89" s="92"/>
      <c r="H89" s="524">
        <v>0</v>
      </c>
      <c r="I89" s="524">
        <f t="shared" si="3"/>
        <v>0</v>
      </c>
      <c r="J89" s="524">
        <f t="shared" si="3"/>
        <v>0</v>
      </c>
      <c r="K89" s="524">
        <f t="shared" si="3"/>
        <v>0</v>
      </c>
      <c r="L89" s="524">
        <f t="shared" si="3"/>
        <v>0</v>
      </c>
      <c r="M89" s="513"/>
      <c r="N89" s="178"/>
    </row>
    <row r="90" spans="2:14" s="19" customFormat="1" ht="12.75" customHeight="1" x14ac:dyDescent="0.2">
      <c r="B90" s="58"/>
      <c r="C90" s="91"/>
      <c r="D90" s="206"/>
      <c r="E90" s="92"/>
      <c r="F90" s="540"/>
      <c r="G90" s="92"/>
      <c r="H90" s="524">
        <v>0</v>
      </c>
      <c r="I90" s="524">
        <f t="shared" si="3"/>
        <v>0</v>
      </c>
      <c r="J90" s="524">
        <f t="shared" si="3"/>
        <v>0</v>
      </c>
      <c r="K90" s="524">
        <f t="shared" si="3"/>
        <v>0</v>
      </c>
      <c r="L90" s="524">
        <f t="shared" si="3"/>
        <v>0</v>
      </c>
      <c r="M90" s="513"/>
      <c r="N90" s="178"/>
    </row>
    <row r="91" spans="2:14" s="19" customFormat="1" ht="12.75" customHeight="1" x14ac:dyDescent="0.2">
      <c r="B91" s="58"/>
      <c r="C91" s="91"/>
      <c r="D91" s="206"/>
      <c r="E91" s="92"/>
      <c r="F91" s="540"/>
      <c r="G91" s="92"/>
      <c r="H91" s="524">
        <v>0</v>
      </c>
      <c r="I91" s="524">
        <f t="shared" si="3"/>
        <v>0</v>
      </c>
      <c r="J91" s="524">
        <f t="shared" si="3"/>
        <v>0</v>
      </c>
      <c r="K91" s="524">
        <f t="shared" si="3"/>
        <v>0</v>
      </c>
      <c r="L91" s="524">
        <f t="shared" si="3"/>
        <v>0</v>
      </c>
      <c r="M91" s="513"/>
      <c r="N91" s="178"/>
    </row>
    <row r="92" spans="2:14" s="19" customFormat="1" ht="12.75" customHeight="1" x14ac:dyDescent="0.2">
      <c r="B92" s="58"/>
      <c r="C92" s="91"/>
      <c r="D92" s="206"/>
      <c r="E92" s="92"/>
      <c r="F92" s="540"/>
      <c r="G92" s="92"/>
      <c r="H92" s="524">
        <v>0</v>
      </c>
      <c r="I92" s="524">
        <f t="shared" si="3"/>
        <v>0</v>
      </c>
      <c r="J92" s="524">
        <f t="shared" si="3"/>
        <v>0</v>
      </c>
      <c r="K92" s="524">
        <f t="shared" si="3"/>
        <v>0</v>
      </c>
      <c r="L92" s="524">
        <f t="shared" si="3"/>
        <v>0</v>
      </c>
      <c r="M92" s="513"/>
      <c r="N92" s="178"/>
    </row>
    <row r="93" spans="2:14" s="19" customFormat="1" ht="12.75" customHeight="1" x14ac:dyDescent="0.2">
      <c r="B93" s="58"/>
      <c r="C93" s="91"/>
      <c r="D93" s="206"/>
      <c r="E93" s="92"/>
      <c r="F93" s="540"/>
      <c r="G93" s="92"/>
      <c r="H93" s="524">
        <v>0</v>
      </c>
      <c r="I93" s="524">
        <f t="shared" si="3"/>
        <v>0</v>
      </c>
      <c r="J93" s="524">
        <f t="shared" si="3"/>
        <v>0</v>
      </c>
      <c r="K93" s="524">
        <f t="shared" si="3"/>
        <v>0</v>
      </c>
      <c r="L93" s="524">
        <f t="shared" si="3"/>
        <v>0</v>
      </c>
      <c r="M93" s="513"/>
      <c r="N93" s="178"/>
    </row>
    <row r="94" spans="2:14" s="19" customFormat="1" ht="12.75" customHeight="1" x14ac:dyDescent="0.2">
      <c r="B94" s="58"/>
      <c r="C94" s="91"/>
      <c r="D94" s="206"/>
      <c r="E94" s="92"/>
      <c r="F94" s="540"/>
      <c r="G94" s="92"/>
      <c r="H94" s="524">
        <v>0</v>
      </c>
      <c r="I94" s="524">
        <f t="shared" si="3"/>
        <v>0</v>
      </c>
      <c r="J94" s="524">
        <f t="shared" si="3"/>
        <v>0</v>
      </c>
      <c r="K94" s="524">
        <f t="shared" si="3"/>
        <v>0</v>
      </c>
      <c r="L94" s="524">
        <f t="shared" si="3"/>
        <v>0</v>
      </c>
      <c r="M94" s="513"/>
      <c r="N94" s="178"/>
    </row>
    <row r="95" spans="2:14" ht="12.75" customHeight="1" x14ac:dyDescent="0.2">
      <c r="B95" s="34"/>
      <c r="C95" s="91"/>
      <c r="D95" s="763"/>
      <c r="E95" s="269"/>
      <c r="F95" s="92"/>
      <c r="G95" s="92"/>
      <c r="H95" s="515"/>
      <c r="I95" s="515"/>
      <c r="J95" s="515"/>
      <c r="K95" s="515"/>
      <c r="L95" s="515"/>
      <c r="M95" s="513"/>
      <c r="N95" s="37"/>
    </row>
    <row r="96" spans="2:14" s="19" customFormat="1" ht="12.75" customHeight="1" x14ac:dyDescent="0.2">
      <c r="B96" s="58"/>
      <c r="C96" s="105"/>
      <c r="D96" s="606" t="s">
        <v>145</v>
      </c>
      <c r="E96" s="116"/>
      <c r="F96" s="220"/>
      <c r="G96" s="116"/>
      <c r="H96" s="860">
        <f>SUM(H82:H94)</f>
        <v>0</v>
      </c>
      <c r="I96" s="860">
        <f>SUM(I82:I94)</f>
        <v>0</v>
      </c>
      <c r="J96" s="860">
        <f>SUM(J82:J94)</f>
        <v>0</v>
      </c>
      <c r="K96" s="860">
        <f>SUM(K82:K94)</f>
        <v>0</v>
      </c>
      <c r="L96" s="860">
        <f>SUM(L82:L94)</f>
        <v>0</v>
      </c>
      <c r="M96" s="513"/>
      <c r="N96" s="178"/>
    </row>
    <row r="97" spans="2:16" s="19" customFormat="1" ht="12.75" customHeight="1" x14ac:dyDescent="0.2">
      <c r="B97" s="58"/>
      <c r="C97" s="124"/>
      <c r="D97" s="768"/>
      <c r="E97" s="125"/>
      <c r="F97" s="223"/>
      <c r="G97" s="125"/>
      <c r="H97" s="143"/>
      <c r="I97" s="528"/>
      <c r="J97" s="325"/>
      <c r="K97" s="325"/>
      <c r="L97" s="325"/>
      <c r="M97" s="519"/>
      <c r="N97" s="178"/>
    </row>
    <row r="98" spans="2:16" s="19" customFormat="1" ht="12.75" customHeight="1" x14ac:dyDescent="0.2">
      <c r="B98" s="58"/>
      <c r="C98" s="59"/>
      <c r="D98" s="766"/>
      <c r="E98" s="254"/>
      <c r="F98" s="59"/>
      <c r="G98" s="59"/>
      <c r="H98" s="253"/>
      <c r="I98" s="253"/>
      <c r="J98" s="253"/>
      <c r="K98" s="253"/>
      <c r="L98" s="253"/>
      <c r="M98" s="247"/>
      <c r="N98" s="178"/>
    </row>
    <row r="99" spans="2:16" s="19" customFormat="1" ht="12.75" customHeight="1" x14ac:dyDescent="0.2">
      <c r="B99" s="58"/>
      <c r="C99" s="59"/>
      <c r="D99" s="766"/>
      <c r="E99" s="254"/>
      <c r="F99" s="59"/>
      <c r="G99" s="59"/>
      <c r="H99" s="253"/>
      <c r="I99" s="253"/>
      <c r="J99" s="253"/>
      <c r="K99" s="253"/>
      <c r="L99" s="253"/>
      <c r="M99" s="247"/>
      <c r="N99" s="178"/>
    </row>
    <row r="100" spans="2:16" s="19" customFormat="1" ht="12.75" customHeight="1" x14ac:dyDescent="0.2">
      <c r="B100" s="58"/>
      <c r="C100" s="322"/>
      <c r="D100" s="767"/>
      <c r="E100" s="326"/>
      <c r="F100" s="217"/>
      <c r="G100" s="217"/>
      <c r="H100" s="323"/>
      <c r="I100" s="323"/>
      <c r="J100" s="323"/>
      <c r="K100" s="323"/>
      <c r="L100" s="323"/>
      <c r="M100" s="527"/>
      <c r="N100" s="178"/>
    </row>
    <row r="101" spans="2:16" ht="12.75" customHeight="1" x14ac:dyDescent="0.2">
      <c r="B101" s="34"/>
      <c r="C101" s="91"/>
      <c r="D101" s="191" t="s">
        <v>48</v>
      </c>
      <c r="E101" s="106"/>
      <c r="F101" s="92"/>
      <c r="G101" s="92"/>
      <c r="H101" s="860">
        <f>H76-H96</f>
        <v>89054.609999999986</v>
      </c>
      <c r="I101" s="860">
        <f>I76-I96</f>
        <v>78988.41</v>
      </c>
      <c r="J101" s="860">
        <f>J76-J96</f>
        <v>78988.41</v>
      </c>
      <c r="K101" s="860">
        <f>K76-K96</f>
        <v>78988.41</v>
      </c>
      <c r="L101" s="860">
        <f>L76-L96</f>
        <v>78988.41</v>
      </c>
      <c r="M101" s="513"/>
      <c r="N101" s="37"/>
    </row>
    <row r="102" spans="2:16" ht="12.75" customHeight="1" x14ac:dyDescent="0.2">
      <c r="B102" s="34"/>
      <c r="C102" s="124"/>
      <c r="D102" s="768"/>
      <c r="E102" s="143"/>
      <c r="F102" s="125"/>
      <c r="G102" s="125"/>
      <c r="H102" s="223"/>
      <c r="I102" s="280"/>
      <c r="J102" s="281"/>
      <c r="K102" s="281"/>
      <c r="L102" s="281"/>
      <c r="M102" s="519"/>
      <c r="N102" s="37"/>
    </row>
    <row r="103" spans="2:16" ht="12.75" customHeight="1" x14ac:dyDescent="0.2">
      <c r="B103" s="34"/>
      <c r="C103" s="35"/>
      <c r="D103" s="769"/>
      <c r="E103" s="55"/>
      <c r="F103" s="35"/>
      <c r="G103" s="35"/>
      <c r="H103" s="62"/>
      <c r="I103" s="244"/>
      <c r="J103" s="60"/>
      <c r="K103" s="60"/>
      <c r="L103" s="60"/>
      <c r="M103" s="247"/>
      <c r="N103" s="37"/>
    </row>
    <row r="104" spans="2:16" ht="12.75" customHeight="1" x14ac:dyDescent="0.25">
      <c r="B104" s="68"/>
      <c r="C104" s="69"/>
      <c r="D104" s="200"/>
      <c r="E104" s="69"/>
      <c r="F104" s="69"/>
      <c r="G104" s="69"/>
      <c r="H104" s="189"/>
      <c r="I104" s="189"/>
      <c r="J104" s="189"/>
      <c r="K104" s="189"/>
      <c r="L104" s="189"/>
      <c r="M104" s="72" t="s">
        <v>388</v>
      </c>
      <c r="N104" s="85"/>
    </row>
    <row r="105" spans="2:16" ht="12.75" customHeight="1" x14ac:dyDescent="0.2">
      <c r="D105" s="207"/>
      <c r="E105" s="168"/>
    </row>
    <row r="106" spans="2:16" ht="12.75" customHeight="1" x14ac:dyDescent="0.2">
      <c r="D106" s="207"/>
      <c r="E106" s="168"/>
    </row>
    <row r="107" spans="2:16" ht="12.75" customHeight="1" x14ac:dyDescent="0.2">
      <c r="D107" s="207"/>
      <c r="E107" s="168"/>
    </row>
    <row r="108" spans="2:16" ht="12.75" customHeight="1" x14ac:dyDescent="0.2">
      <c r="D108" s="207"/>
      <c r="E108" s="168"/>
    </row>
    <row r="109" spans="2:16" ht="12.75" customHeight="1" x14ac:dyDescent="0.2">
      <c r="D109" s="240"/>
      <c r="E109" s="240"/>
    </row>
    <row r="110" spans="2:16" ht="12.75" customHeight="1" x14ac:dyDescent="0.2">
      <c r="D110" s="809" t="s">
        <v>334</v>
      </c>
      <c r="E110" s="809"/>
      <c r="F110" s="749"/>
      <c r="G110" s="749"/>
      <c r="H110" s="810"/>
      <c r="I110" s="811">
        <f>begr!G8</f>
        <v>2017</v>
      </c>
      <c r="J110" s="811">
        <f>begr!H8</f>
        <v>2018</v>
      </c>
      <c r="K110" s="811">
        <f>begr!I8</f>
        <v>2019</v>
      </c>
      <c r="L110" s="811">
        <f>begr!J8</f>
        <v>2020</v>
      </c>
      <c r="M110" s="749"/>
      <c r="N110" s="749"/>
      <c r="O110" s="749"/>
      <c r="P110" s="749"/>
    </row>
    <row r="111" spans="2:16" ht="12.75" customHeight="1" x14ac:dyDescent="0.2">
      <c r="D111" s="749"/>
      <c r="E111" s="749"/>
      <c r="F111" s="749"/>
      <c r="G111" s="749"/>
      <c r="H111" s="810"/>
      <c r="I111" s="810"/>
      <c r="J111" s="810"/>
      <c r="K111" s="810"/>
      <c r="L111" s="810"/>
      <c r="M111" s="749"/>
      <c r="N111" s="749"/>
      <c r="O111" s="749"/>
      <c r="P111" s="749"/>
    </row>
    <row r="112" spans="2:16" ht="12.75" customHeight="1" x14ac:dyDescent="0.2">
      <c r="D112" s="749" t="s">
        <v>65</v>
      </c>
      <c r="E112" s="749"/>
      <c r="F112" s="749"/>
      <c r="G112" s="749"/>
      <c r="H112" s="810"/>
      <c r="I112" s="812">
        <f>7/12*H43+5/12*I43</f>
        <v>84860.359999999986</v>
      </c>
      <c r="J112" s="812">
        <f>7/12*I43+5/12*J43</f>
        <v>78988.41</v>
      </c>
      <c r="K112" s="812">
        <f>7/12*J43+5/12*K43</f>
        <v>78988.41</v>
      </c>
      <c r="L112" s="812">
        <f>7/12*K43+5/12*L43</f>
        <v>78988.41</v>
      </c>
      <c r="M112" s="749"/>
      <c r="N112" s="749"/>
      <c r="O112" s="749"/>
      <c r="P112" s="749"/>
    </row>
    <row r="113" spans="4:16" ht="12.75" customHeight="1" x14ac:dyDescent="0.2">
      <c r="D113" s="749" t="s">
        <v>356</v>
      </c>
      <c r="E113" s="749"/>
      <c r="F113" s="749"/>
      <c r="G113" s="749"/>
      <c r="H113" s="810"/>
      <c r="I113" s="812">
        <f>7/12*H53+5/12*I53</f>
        <v>0</v>
      </c>
      <c r="J113" s="812">
        <f>7/12*I53+5/12*J53</f>
        <v>0</v>
      </c>
      <c r="K113" s="812">
        <f>7/12*J53+5/12*K53</f>
        <v>0</v>
      </c>
      <c r="L113" s="812">
        <f>7/12*K53+5/12*L53</f>
        <v>0</v>
      </c>
      <c r="M113" s="749"/>
      <c r="N113" s="749"/>
      <c r="O113" s="749"/>
      <c r="P113" s="749"/>
    </row>
    <row r="114" spans="4:16" ht="12.75" customHeight="1" x14ac:dyDescent="0.2">
      <c r="D114" s="749" t="s">
        <v>358</v>
      </c>
      <c r="E114" s="749"/>
      <c r="F114" s="749"/>
      <c r="G114" s="749"/>
      <c r="H114" s="810"/>
      <c r="I114" s="812">
        <f t="shared" ref="I114:L116" si="4">7/12*H59+5/12*I59</f>
        <v>0</v>
      </c>
      <c r="J114" s="812">
        <f t="shared" si="4"/>
        <v>0</v>
      </c>
      <c r="K114" s="812">
        <f t="shared" si="4"/>
        <v>0</v>
      </c>
      <c r="L114" s="812">
        <f t="shared" si="4"/>
        <v>0</v>
      </c>
      <c r="M114" s="749"/>
      <c r="N114" s="749"/>
      <c r="O114" s="749"/>
      <c r="P114" s="749"/>
    </row>
    <row r="115" spans="4:16" ht="12.75" customHeight="1" x14ac:dyDescent="0.2">
      <c r="D115" s="749" t="s">
        <v>72</v>
      </c>
      <c r="E115" s="749"/>
      <c r="F115" s="749"/>
      <c r="G115" s="749"/>
      <c r="H115" s="810"/>
      <c r="I115" s="812">
        <f t="shared" si="4"/>
        <v>0</v>
      </c>
      <c r="J115" s="812">
        <f t="shared" si="4"/>
        <v>0</v>
      </c>
      <c r="K115" s="812">
        <f t="shared" si="4"/>
        <v>0</v>
      </c>
      <c r="L115" s="812">
        <f t="shared" si="4"/>
        <v>0</v>
      </c>
      <c r="M115" s="749"/>
      <c r="N115" s="749"/>
      <c r="O115" s="749"/>
      <c r="P115" s="749"/>
    </row>
    <row r="116" spans="4:16" ht="12.75" customHeight="1" x14ac:dyDescent="0.2">
      <c r="D116" s="749" t="s">
        <v>73</v>
      </c>
      <c r="E116" s="749"/>
      <c r="F116" s="749"/>
      <c r="G116" s="749"/>
      <c r="H116" s="810"/>
      <c r="I116" s="812">
        <f t="shared" si="4"/>
        <v>0</v>
      </c>
      <c r="J116" s="812">
        <f t="shared" si="4"/>
        <v>0</v>
      </c>
      <c r="K116" s="812">
        <f t="shared" si="4"/>
        <v>0</v>
      </c>
      <c r="L116" s="812">
        <f t="shared" si="4"/>
        <v>0</v>
      </c>
      <c r="M116" s="749"/>
      <c r="N116" s="749"/>
      <c r="O116" s="749"/>
      <c r="P116" s="749"/>
    </row>
    <row r="117" spans="4:16" ht="12.75" customHeight="1" x14ac:dyDescent="0.2">
      <c r="D117" s="749" t="s">
        <v>235</v>
      </c>
      <c r="E117" s="749"/>
      <c r="F117" s="749"/>
      <c r="G117" s="749"/>
      <c r="H117" s="810"/>
      <c r="I117" s="812">
        <f>7/12*H65+5/12*I65-I114</f>
        <v>0</v>
      </c>
      <c r="J117" s="812">
        <f>7/12*I65+5/12*J65-J114</f>
        <v>0</v>
      </c>
      <c r="K117" s="812">
        <f>7/12*J65+5/12*K65-K114</f>
        <v>0</v>
      </c>
      <c r="L117" s="812">
        <f>7/12*K65+5/12*L65-L114</f>
        <v>0</v>
      </c>
      <c r="M117" s="749"/>
      <c r="N117" s="749"/>
      <c r="O117" s="749"/>
      <c r="P117" s="749"/>
    </row>
    <row r="118" spans="4:16" ht="12.75" customHeight="1" x14ac:dyDescent="0.2">
      <c r="D118" s="749" t="s">
        <v>46</v>
      </c>
      <c r="E118" s="749"/>
      <c r="F118" s="749"/>
      <c r="G118" s="749"/>
      <c r="H118" s="810"/>
      <c r="I118" s="812">
        <f>7/12*H40+5/12*I40</f>
        <v>0</v>
      </c>
      <c r="J118" s="812">
        <f>7/12*I40+5/12*J40</f>
        <v>0</v>
      </c>
      <c r="K118" s="812">
        <f>7/12*J40+5/12*K40</f>
        <v>0</v>
      </c>
      <c r="L118" s="812">
        <f>7/12*K40+5/12*L40</f>
        <v>0</v>
      </c>
      <c r="M118" s="749"/>
      <c r="N118" s="749"/>
      <c r="O118" s="749"/>
      <c r="P118" s="749"/>
    </row>
    <row r="119" spans="4:16" ht="12.75" customHeight="1" x14ac:dyDescent="0.2">
      <c r="D119" s="749" t="s">
        <v>232</v>
      </c>
      <c r="E119" s="749"/>
      <c r="F119" s="749"/>
      <c r="G119" s="749"/>
      <c r="H119" s="810"/>
      <c r="I119" s="812">
        <f>7/12*persbel!H96+5/12*persbel!I96</f>
        <v>0</v>
      </c>
      <c r="J119" s="812">
        <f>7/12*persbel!I96+5/12*persbel!J96</f>
        <v>0</v>
      </c>
      <c r="K119" s="812">
        <f>7/12*persbel!J96+5/12*persbel!K96</f>
        <v>0</v>
      </c>
      <c r="L119" s="812">
        <f>7/12*persbel!K96+5/12*persbel!L96</f>
        <v>0</v>
      </c>
      <c r="M119" s="749"/>
      <c r="N119" s="749"/>
      <c r="O119" s="749"/>
      <c r="P119" s="749"/>
    </row>
    <row r="120" spans="4:16" ht="12.75" customHeight="1" x14ac:dyDescent="0.2">
      <c r="D120" s="749"/>
      <c r="E120" s="749"/>
      <c r="F120" s="749"/>
      <c r="G120" s="749"/>
      <c r="H120" s="810"/>
      <c r="I120" s="810"/>
      <c r="J120" s="810"/>
      <c r="K120" s="810"/>
      <c r="L120" s="810"/>
      <c r="M120" s="749"/>
      <c r="N120" s="749"/>
      <c r="O120" s="749"/>
      <c r="P120" s="749"/>
    </row>
    <row r="121" spans="4:16" ht="12.75" customHeight="1" x14ac:dyDescent="0.2">
      <c r="D121" s="749"/>
      <c r="E121" s="749"/>
      <c r="F121" s="749"/>
      <c r="G121" s="749"/>
      <c r="H121" s="810"/>
      <c r="I121" s="810"/>
      <c r="J121" s="810"/>
      <c r="K121" s="810"/>
      <c r="L121" s="810"/>
      <c r="M121" s="749"/>
      <c r="N121" s="749"/>
      <c r="O121" s="749"/>
      <c r="P121" s="749"/>
    </row>
  </sheetData>
  <sheetProtection algorithmName="SHA-512" hashValue="JCHg45bjF9sbW1q8rMc0BOHI75kfYmNUekfbOKHJoCfTmAbepNv3831Z0hKkjemsJMKBvNyfHM8nt0wgWOb5Iw==" saltValue="4uQaMOYZM+KIpDFbwYGUKg==" spinCount="100000" sheet="1" objects="1" scenarios="1"/>
  <phoneticPr fontId="0" type="noConversion"/>
  <pageMargins left="0.78740157480314965" right="0.78740157480314965" top="0.98425196850393704" bottom="0.98425196850393704" header="0.51181102362204722" footer="0.51181102362204722"/>
  <pageSetup paperSize="9" scale="54" orientation="portrait" r:id="rId1"/>
  <headerFooter alignWithMargins="0">
    <oddHeader>&amp;L&amp;"Arial,Vet"&amp;F&amp;R&amp;"Arial,Vet"&amp;A</oddHeader>
    <oddFooter>&amp;L&amp;"Arial,Vet"PO-Raad&amp;C&amp;"Arial,Vet"&amp;D&amp;R&amp;"Arial,Vet"pagina &amp;P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A2:P1200"/>
  <sheetViews>
    <sheetView showGridLines="0" zoomScale="85" zoomScaleNormal="85" zoomScaleSheetLayoutView="85" workbookViewId="0">
      <pane ySplit="10" topLeftCell="A11" activePane="bottomLeft" state="frozen"/>
      <selection activeCell="C4" sqref="C4"/>
      <selection pane="bottomLeft" activeCell="B2" sqref="B2"/>
    </sheetView>
  </sheetViews>
  <sheetFormatPr defaultColWidth="9.140625" defaultRowHeight="12.75" x14ac:dyDescent="0.2"/>
  <cols>
    <col min="1" max="1" width="3.7109375" style="5" customWidth="1"/>
    <col min="2" max="3" width="2.7109375" style="5" customWidth="1"/>
    <col min="4" max="4" width="40.7109375" style="634" customWidth="1"/>
    <col min="5" max="5" width="1" style="5" customWidth="1"/>
    <col min="6" max="6" width="8.7109375" style="22" customWidth="1"/>
    <col min="7" max="7" width="1.7109375" style="168" customWidth="1"/>
    <col min="8" max="12" width="12.85546875" style="6" customWidth="1"/>
    <col min="13" max="14" width="2.7109375" style="5" customWidth="1"/>
    <col min="15" max="16" width="12.28515625" style="5" customWidth="1"/>
    <col min="17" max="25" width="11.7109375" style="5" customWidth="1"/>
    <col min="26" max="16384" width="9.140625" style="5"/>
  </cols>
  <sheetData>
    <row r="2" spans="2:14" x14ac:dyDescent="0.2">
      <c r="B2" s="30"/>
      <c r="C2" s="31"/>
      <c r="D2" s="770"/>
      <c r="E2" s="31"/>
      <c r="F2" s="76"/>
      <c r="G2" s="31"/>
      <c r="H2" s="32"/>
      <c r="I2" s="32"/>
      <c r="J2" s="32"/>
      <c r="K2" s="32"/>
      <c r="L2" s="32"/>
      <c r="M2" s="31"/>
      <c r="N2" s="33"/>
    </row>
    <row r="3" spans="2:14" x14ac:dyDescent="0.2">
      <c r="B3" s="34"/>
      <c r="C3" s="35"/>
      <c r="D3" s="756"/>
      <c r="E3" s="35"/>
      <c r="F3" s="62"/>
      <c r="G3" s="35"/>
      <c r="H3" s="36"/>
      <c r="I3" s="36"/>
      <c r="J3" s="36"/>
      <c r="K3" s="36"/>
      <c r="L3" s="36"/>
      <c r="M3" s="35"/>
      <c r="N3" s="37"/>
    </row>
    <row r="4" spans="2:14" s="165" customFormat="1" ht="18" customHeight="1" x14ac:dyDescent="0.3">
      <c r="B4" s="365"/>
      <c r="C4" s="151" t="s">
        <v>439</v>
      </c>
      <c r="D4" s="756"/>
      <c r="E4" s="153"/>
      <c r="F4" s="224"/>
      <c r="G4" s="153"/>
      <c r="H4" s="366"/>
      <c r="I4" s="366"/>
      <c r="J4" s="366"/>
      <c r="K4" s="366"/>
      <c r="L4" s="366"/>
      <c r="M4" s="153"/>
      <c r="N4" s="367"/>
    </row>
    <row r="5" spans="2:14" ht="18" customHeight="1" x14ac:dyDescent="0.3">
      <c r="B5" s="172"/>
      <c r="C5" s="173" t="str">
        <f>geg!G10</f>
        <v>Basisschool</v>
      </c>
      <c r="D5" s="756"/>
      <c r="E5" s="35"/>
      <c r="F5" s="62"/>
      <c r="G5" s="35"/>
      <c r="H5" s="36"/>
      <c r="I5" s="36"/>
      <c r="J5" s="36"/>
      <c r="K5" s="36"/>
      <c r="L5" s="36"/>
      <c r="M5" s="35"/>
      <c r="N5" s="174"/>
    </row>
    <row r="6" spans="2:14" s="8" customFormat="1" ht="12.75" customHeight="1" x14ac:dyDescent="0.2">
      <c r="B6" s="175"/>
      <c r="C6" s="40"/>
      <c r="D6" s="863"/>
      <c r="E6" s="40"/>
      <c r="F6" s="170"/>
      <c r="G6" s="40"/>
      <c r="H6" s="41"/>
      <c r="I6" s="41"/>
      <c r="J6" s="41"/>
      <c r="K6" s="41"/>
      <c r="L6" s="41"/>
      <c r="M6" s="40"/>
      <c r="N6" s="42"/>
    </row>
    <row r="7" spans="2:14" s="8" customFormat="1" ht="12.75" customHeight="1" x14ac:dyDescent="0.2">
      <c r="B7" s="175"/>
      <c r="C7" s="40"/>
      <c r="D7" s="863"/>
      <c r="E7" s="40"/>
      <c r="F7" s="170"/>
      <c r="G7" s="40"/>
      <c r="H7" s="41"/>
      <c r="I7" s="41"/>
      <c r="J7" s="41"/>
      <c r="K7" s="41"/>
      <c r="L7" s="41"/>
      <c r="M7" s="40"/>
      <c r="N7" s="42"/>
    </row>
    <row r="8" spans="2:14" s="165" customFormat="1" ht="12.75" customHeight="1" x14ac:dyDescent="0.2">
      <c r="B8" s="210"/>
      <c r="C8" s="153"/>
      <c r="D8" s="864"/>
      <c r="E8" s="368"/>
      <c r="F8" s="878" t="s">
        <v>140</v>
      </c>
      <c r="G8" s="751"/>
      <c r="H8" s="752">
        <f>tab!E4</f>
        <v>2016</v>
      </c>
      <c r="I8" s="879">
        <f t="shared" ref="I8:L9" si="0">H8+1</f>
        <v>2017</v>
      </c>
      <c r="J8" s="879">
        <f t="shared" si="0"/>
        <v>2018</v>
      </c>
      <c r="K8" s="879">
        <f t="shared" si="0"/>
        <v>2019</v>
      </c>
      <c r="L8" s="879">
        <f t="shared" si="0"/>
        <v>2020</v>
      </c>
      <c r="M8" s="153"/>
      <c r="N8" s="212"/>
    </row>
    <row r="9" spans="2:14" s="165" customFormat="1" ht="12.75" customHeight="1" x14ac:dyDescent="0.2">
      <c r="B9" s="210"/>
      <c r="C9" s="153"/>
      <c r="D9" s="756"/>
      <c r="E9" s="153"/>
      <c r="F9" s="738" t="s">
        <v>119</v>
      </c>
      <c r="G9" s="751"/>
      <c r="H9" s="879">
        <f>geg!G17</f>
        <v>2015</v>
      </c>
      <c r="I9" s="879">
        <f t="shared" si="0"/>
        <v>2016</v>
      </c>
      <c r="J9" s="879">
        <f t="shared" si="0"/>
        <v>2017</v>
      </c>
      <c r="K9" s="879">
        <f t="shared" si="0"/>
        <v>2018</v>
      </c>
      <c r="L9" s="879">
        <f t="shared" si="0"/>
        <v>2019</v>
      </c>
      <c r="M9" s="370"/>
      <c r="N9" s="212"/>
    </row>
    <row r="10" spans="2:14" ht="12.75" customHeight="1" x14ac:dyDescent="0.2">
      <c r="B10" s="34"/>
      <c r="C10" s="35"/>
      <c r="D10" s="756"/>
      <c r="E10" s="43"/>
      <c r="F10" s="177"/>
      <c r="G10" s="35"/>
      <c r="H10" s="45"/>
      <c r="I10" s="45"/>
      <c r="J10" s="45"/>
      <c r="K10" s="45"/>
      <c r="L10" s="45"/>
      <c r="M10" s="46"/>
      <c r="N10" s="37"/>
    </row>
    <row r="11" spans="2:14" ht="12.75" customHeight="1" x14ac:dyDescent="0.2">
      <c r="B11" s="58"/>
      <c r="C11" s="322"/>
      <c r="D11" s="786"/>
      <c r="E11" s="338"/>
      <c r="F11" s="144"/>
      <c r="G11" s="87"/>
      <c r="H11" s="339"/>
      <c r="I11" s="340"/>
      <c r="J11" s="340"/>
      <c r="K11" s="340"/>
      <c r="L11" s="340"/>
      <c r="M11" s="128"/>
      <c r="N11" s="178"/>
    </row>
    <row r="12" spans="2:14" s="165" customFormat="1" ht="12.75" customHeight="1" x14ac:dyDescent="0.2">
      <c r="B12" s="373"/>
      <c r="C12" s="374"/>
      <c r="D12" s="743" t="s">
        <v>234</v>
      </c>
      <c r="E12" s="375"/>
      <c r="F12" s="227"/>
      <c r="G12" s="142"/>
      <c r="H12" s="313"/>
      <c r="I12" s="376"/>
      <c r="J12" s="376"/>
      <c r="K12" s="376"/>
      <c r="L12" s="376"/>
      <c r="M12" s="228"/>
      <c r="N12" s="377"/>
    </row>
    <row r="13" spans="2:14" ht="12.75" customHeight="1" x14ac:dyDescent="0.2">
      <c r="B13" s="58"/>
      <c r="C13" s="105"/>
      <c r="D13" s="772"/>
      <c r="E13" s="341"/>
      <c r="F13" s="808" t="s">
        <v>153</v>
      </c>
      <c r="G13" s="92"/>
      <c r="H13" s="97"/>
      <c r="I13" s="342"/>
      <c r="J13" s="342"/>
      <c r="K13" s="342"/>
      <c r="L13" s="342"/>
      <c r="M13" s="98"/>
      <c r="N13" s="178"/>
    </row>
    <row r="14" spans="2:14" ht="12.75" customHeight="1" x14ac:dyDescent="0.2">
      <c r="B14" s="58"/>
      <c r="C14" s="105"/>
      <c r="D14" s="773" t="s">
        <v>380</v>
      </c>
      <c r="E14" s="341"/>
      <c r="F14" s="285"/>
      <c r="G14" s="92"/>
      <c r="H14" s="97"/>
      <c r="I14" s="342"/>
      <c r="J14" s="342"/>
      <c r="K14" s="342"/>
      <c r="L14" s="342"/>
      <c r="M14" s="98"/>
      <c r="N14" s="178"/>
    </row>
    <row r="15" spans="2:14" ht="12.75" customHeight="1" x14ac:dyDescent="0.2">
      <c r="B15" s="34"/>
      <c r="C15" s="91"/>
      <c r="D15" s="645" t="s">
        <v>107</v>
      </c>
      <c r="E15" s="92"/>
      <c r="F15" s="285"/>
      <c r="G15" s="92"/>
      <c r="H15" s="889">
        <f>IF(geg!G24=0,0,(IF(geg!G85=0,(VLOOKUP(geg!G56,tab!$E$122:$F$171,2,FALSE)),(VLOOKUP(geg!G57,tab!$E$122:$F$171,2,FALSE))+(VLOOKUP(geg!G58,tab!$E$122:$F$171,2,FALSE))+(VLOOKUP(geg!G59,tab!$E$122:$F$171,2,FALSE))+(VLOOKUP(geg!G60,tab!$E$122:$F$171,2,FALSE)))))</f>
        <v>49766</v>
      </c>
      <c r="I15" s="889">
        <f>IF(geg!H24=0,0,(IF(geg!H85=0,(VLOOKUP(geg!H56,tab!$J$122:$K$171,2,FALSE)),(VLOOKUP(geg!H57,tab!$J$122:$K$171,2,FALSE))+(VLOOKUP(geg!H58,tab!$J$122:$K$171,2,FALSE))+(VLOOKUP(geg!H59,tab!$J$122:$K$171,2,FALSE))+(VLOOKUP(geg!H60,tab!$J$122:$K$171,2,FALSE)))))</f>
        <v>41630</v>
      </c>
      <c r="J15" s="889">
        <f>IF(geg!I24=0,0,(IF(geg!I85=0,(VLOOKUP(geg!I56,tab!$J$122:$K$171,2,FALSE)),(VLOOKUP(geg!I57,tab!$J$122:$K$171,2,FALSE))+(VLOOKUP(geg!I58,tab!$J$122:$K$171,2,FALSE))+(VLOOKUP(geg!I59,tab!$J$122:$K$171,2,FALSE))+(VLOOKUP(geg!I60,tab!$J$122:$K$171,2,FALSE)))))</f>
        <v>41630</v>
      </c>
      <c r="K15" s="889">
        <f>IF(geg!J24=0,0,(IF(geg!J85=0,(VLOOKUP(geg!J56,tab!$J$122:$K$171,2,FALSE)),(VLOOKUP(geg!J57,tab!$J$122:$K$171,2,FALSE))+(VLOOKUP(geg!J58,tab!$J$122:$K$171,2,FALSE))+(VLOOKUP(geg!J59,tab!$J$122:$K$171,2,FALSE))+(VLOOKUP(geg!J60,tab!$J$122:$K$171,2,FALSE)))))</f>
        <v>41630</v>
      </c>
      <c r="L15" s="889">
        <f>IF(geg!K24=0,0,(IF(geg!K85=0,(VLOOKUP(geg!K56,tab!$J$122:$K$171,2,FALSE)),(VLOOKUP(geg!K57,tab!$J$122:$K$171,2,FALSE))+(VLOOKUP(geg!K58,tab!$J$122:$K$171,2,FALSE))+(VLOOKUP(geg!K59,tab!$J$122:$K$171,2,FALSE))+(VLOOKUP(geg!K60,tab!$J$122:$K$171,2,FALSE)))))</f>
        <v>41630</v>
      </c>
      <c r="M15" s="98"/>
      <c r="N15" s="37"/>
    </row>
    <row r="16" spans="2:14" ht="12.75" customHeight="1" x14ac:dyDescent="0.2">
      <c r="B16" s="34"/>
      <c r="C16" s="91"/>
      <c r="D16" s="645" t="s">
        <v>108</v>
      </c>
      <c r="E16" s="92"/>
      <c r="F16" s="343"/>
      <c r="G16" s="92"/>
      <c r="H16" s="889">
        <f>IF(geg!G33=0,0,(tab!$D110+(tab!$E110*geg!G33)))</f>
        <v>49454.810000000005</v>
      </c>
      <c r="I16" s="889">
        <f>IF(geg!H33=0,0,(tab!$J110+(tab!$K110*geg!H33)))</f>
        <v>43269.09</v>
      </c>
      <c r="J16" s="889">
        <f>IF(geg!I33=0,0,(tab!$J110+(tab!$K110*geg!I33)))</f>
        <v>43269.09</v>
      </c>
      <c r="K16" s="889">
        <f>IF(geg!J33=0,0,(tab!$J110+(tab!$K110*geg!J33)))</f>
        <v>43269.09</v>
      </c>
      <c r="L16" s="889">
        <f>IF(geg!K33=0,0,(tab!$J110+(tab!$K110*geg!K33)))</f>
        <v>43269.09</v>
      </c>
      <c r="M16" s="344"/>
      <c r="N16" s="37"/>
    </row>
    <row r="17" spans="2:16" s="24" customFormat="1" ht="12.75" customHeight="1" x14ac:dyDescent="0.2">
      <c r="B17" s="179"/>
      <c r="C17" s="300"/>
      <c r="D17" s="645" t="s">
        <v>152</v>
      </c>
      <c r="E17" s="117"/>
      <c r="F17" s="343"/>
      <c r="G17" s="117"/>
      <c r="H17" s="889">
        <f>IF(geg!G53=0,0,(+tab!$D111+(tab!$E111*geg!G53)))</f>
        <v>0</v>
      </c>
      <c r="I17" s="889">
        <f>IF(geg!H53=0,0,(+tab!$J111+(tab!$K111*geg!H53)))</f>
        <v>0</v>
      </c>
      <c r="J17" s="889">
        <f>IF(geg!I53=0,0,(+tab!$J111+(tab!$K111*geg!I53)))</f>
        <v>0</v>
      </c>
      <c r="K17" s="889">
        <f>IF(geg!J53=0,0,(+tab!$J111+(tab!$K111*geg!J53)))</f>
        <v>0</v>
      </c>
      <c r="L17" s="889">
        <f>IF(geg!K53=0,0,(+tab!$J111+(tab!$K111*geg!K53)))</f>
        <v>0</v>
      </c>
      <c r="M17" s="344"/>
      <c r="N17" s="180"/>
    </row>
    <row r="18" spans="2:16" ht="12.75" hidden="1" customHeight="1" x14ac:dyDescent="0.2">
      <c r="B18" s="34"/>
      <c r="C18" s="91"/>
      <c r="D18" s="865" t="s">
        <v>442</v>
      </c>
      <c r="E18" s="116"/>
      <c r="F18" s="343"/>
      <c r="G18" s="293"/>
      <c r="H18" s="663" t="e">
        <f>IF(geg!#REF!="ja",(ROUND(geg!H33*2%,0)),0)</f>
        <v>#REF!</v>
      </c>
      <c r="I18" s="663" t="e">
        <f>IF(geg!#REF!="ja",(ROUND(geg!I33*2%,0)),0)</f>
        <v>#REF!</v>
      </c>
      <c r="J18" s="663" t="e">
        <f>IF(geg!#REF!="ja",(ROUND(geg!J33*2%,0)),0)</f>
        <v>#REF!</v>
      </c>
      <c r="K18" s="663" t="e">
        <f>IF(geg!#REF!="ja",(ROUND(geg!K33*2%,0)),0)</f>
        <v>#REF!</v>
      </c>
      <c r="L18" s="663" t="e">
        <f>IF(geg!#REF!="ja",(ROUND(geg!L33*2%,0)),0)</f>
        <v>#REF!</v>
      </c>
      <c r="M18" s="346"/>
      <c r="N18" s="37"/>
    </row>
    <row r="19" spans="2:16" ht="12.75" customHeight="1" x14ac:dyDescent="0.2">
      <c r="B19" s="34"/>
      <c r="C19" s="91"/>
      <c r="D19" s="774"/>
      <c r="E19" s="116"/>
      <c r="F19" s="312">
        <v>0</v>
      </c>
      <c r="G19" s="293"/>
      <c r="H19" s="897">
        <f>SUM(H15:H17)</f>
        <v>99220.81</v>
      </c>
      <c r="I19" s="897">
        <f>SUM(I15:I17)</f>
        <v>84899.09</v>
      </c>
      <c r="J19" s="897">
        <f>SUM(J15:J17)</f>
        <v>84899.09</v>
      </c>
      <c r="K19" s="897">
        <f>SUM(K15:K17)</f>
        <v>84899.09</v>
      </c>
      <c r="L19" s="897">
        <f>SUM(L15:L17)</f>
        <v>84899.09</v>
      </c>
      <c r="M19" s="346"/>
      <c r="N19" s="37"/>
      <c r="P19" s="381"/>
    </row>
    <row r="20" spans="2:16" ht="12.75" customHeight="1" x14ac:dyDescent="0.2">
      <c r="B20" s="34"/>
      <c r="C20" s="91"/>
      <c r="D20" s="773" t="s">
        <v>515</v>
      </c>
      <c r="E20" s="116"/>
      <c r="F20" s="220"/>
      <c r="G20" s="347"/>
      <c r="H20" s="347"/>
      <c r="I20" s="347"/>
      <c r="J20" s="347"/>
      <c r="K20" s="347"/>
      <c r="L20" s="347"/>
      <c r="M20" s="346"/>
      <c r="N20" s="37"/>
    </row>
    <row r="21" spans="2:16" ht="12.75" customHeight="1" x14ac:dyDescent="0.2">
      <c r="B21" s="34"/>
      <c r="C21" s="91"/>
      <c r="D21" s="866"/>
      <c r="E21" s="116"/>
      <c r="F21" s="312">
        <v>0</v>
      </c>
      <c r="G21" s="92"/>
      <c r="H21" s="532">
        <v>0</v>
      </c>
      <c r="I21" s="531">
        <f t="shared" ref="I21:L22" si="1">H21</f>
        <v>0</v>
      </c>
      <c r="J21" s="531">
        <f t="shared" si="1"/>
        <v>0</v>
      </c>
      <c r="K21" s="531">
        <f t="shared" si="1"/>
        <v>0</v>
      </c>
      <c r="L21" s="531">
        <f t="shared" si="1"/>
        <v>0</v>
      </c>
      <c r="M21" s="98"/>
      <c r="N21" s="37"/>
      <c r="P21" s="24"/>
    </row>
    <row r="22" spans="2:16" ht="12.75" customHeight="1" x14ac:dyDescent="0.2">
      <c r="B22" s="34"/>
      <c r="C22" s="91"/>
      <c r="D22" s="866"/>
      <c r="E22" s="116"/>
      <c r="F22" s="312">
        <v>0</v>
      </c>
      <c r="G22" s="92"/>
      <c r="H22" s="532">
        <v>0</v>
      </c>
      <c r="I22" s="531">
        <f t="shared" si="1"/>
        <v>0</v>
      </c>
      <c r="J22" s="531">
        <f t="shared" si="1"/>
        <v>0</v>
      </c>
      <c r="K22" s="531">
        <f t="shared" si="1"/>
        <v>0</v>
      </c>
      <c r="L22" s="531">
        <f t="shared" si="1"/>
        <v>0</v>
      </c>
      <c r="M22" s="98"/>
      <c r="N22" s="37"/>
    </row>
    <row r="23" spans="2:16" ht="12.75" customHeight="1" x14ac:dyDescent="0.2">
      <c r="B23" s="34"/>
      <c r="C23" s="91"/>
      <c r="D23" s="866"/>
      <c r="E23" s="116"/>
      <c r="F23" s="312">
        <v>0</v>
      </c>
      <c r="G23" s="92"/>
      <c r="H23" s="532">
        <v>0</v>
      </c>
      <c r="I23" s="531">
        <f t="shared" ref="I23:I24" si="2">H23</f>
        <v>0</v>
      </c>
      <c r="J23" s="531">
        <f t="shared" ref="J23:J24" si="3">I23</f>
        <v>0</v>
      </c>
      <c r="K23" s="531">
        <f t="shared" ref="K23:K24" si="4">J23</f>
        <v>0</v>
      </c>
      <c r="L23" s="531">
        <f t="shared" ref="L23:L24" si="5">K23</f>
        <v>0</v>
      </c>
      <c r="M23" s="98"/>
      <c r="N23" s="37"/>
    </row>
    <row r="24" spans="2:16" ht="12.75" customHeight="1" x14ac:dyDescent="0.2">
      <c r="B24" s="34"/>
      <c r="C24" s="91"/>
      <c r="D24" s="866"/>
      <c r="E24" s="116"/>
      <c r="F24" s="312">
        <v>0</v>
      </c>
      <c r="G24" s="92"/>
      <c r="H24" s="532">
        <v>0</v>
      </c>
      <c r="I24" s="531">
        <f t="shared" si="2"/>
        <v>0</v>
      </c>
      <c r="J24" s="531">
        <f t="shared" si="3"/>
        <v>0</v>
      </c>
      <c r="K24" s="531">
        <f t="shared" si="4"/>
        <v>0</v>
      </c>
      <c r="L24" s="531">
        <f t="shared" si="5"/>
        <v>0</v>
      </c>
      <c r="M24" s="98"/>
      <c r="N24" s="37"/>
    </row>
    <row r="25" spans="2:16" ht="12.75" customHeight="1" x14ac:dyDescent="0.2">
      <c r="B25" s="34"/>
      <c r="C25" s="91"/>
      <c r="D25" s="645"/>
      <c r="E25" s="116"/>
      <c r="F25" s="736"/>
      <c r="G25" s="92"/>
      <c r="H25" s="898">
        <f>SUM(H21:H24)</f>
        <v>0</v>
      </c>
      <c r="I25" s="898">
        <f>SUM(I21:I24)</f>
        <v>0</v>
      </c>
      <c r="J25" s="898">
        <f>SUM(J21:J24)</f>
        <v>0</v>
      </c>
      <c r="K25" s="898">
        <f>SUM(K21:K24)</f>
        <v>0</v>
      </c>
      <c r="L25" s="898">
        <f>SUM(L21:L24)</f>
        <v>0</v>
      </c>
      <c r="M25" s="98"/>
      <c r="N25" s="37"/>
    </row>
    <row r="26" spans="2:16" ht="12.75" customHeight="1" x14ac:dyDescent="0.2">
      <c r="B26" s="34"/>
      <c r="C26" s="91"/>
      <c r="D26" s="773" t="s">
        <v>516</v>
      </c>
      <c r="E26" s="116"/>
      <c r="F26" s="220"/>
      <c r="G26" s="347"/>
      <c r="H26" s="347"/>
      <c r="I26" s="347"/>
      <c r="J26" s="347"/>
      <c r="K26" s="347"/>
      <c r="L26" s="347"/>
      <c r="M26" s="98"/>
      <c r="N26" s="37"/>
    </row>
    <row r="27" spans="2:16" ht="12.75" customHeight="1" x14ac:dyDescent="0.2">
      <c r="B27" s="34"/>
      <c r="C27" s="91"/>
      <c r="D27" s="866"/>
      <c r="E27" s="116"/>
      <c r="F27" s="350"/>
      <c r="G27" s="92"/>
      <c r="H27" s="532">
        <v>0</v>
      </c>
      <c r="I27" s="531">
        <f t="shared" ref="I27" si="6">H27</f>
        <v>0</v>
      </c>
      <c r="J27" s="531">
        <f t="shared" ref="J27" si="7">I27</f>
        <v>0</v>
      </c>
      <c r="K27" s="531">
        <f t="shared" ref="K27" si="8">J27</f>
        <v>0</v>
      </c>
      <c r="L27" s="531">
        <f>K27</f>
        <v>0</v>
      </c>
      <c r="M27" s="98"/>
      <c r="N27" s="37"/>
    </row>
    <row r="28" spans="2:16" ht="12.75" customHeight="1" x14ac:dyDescent="0.2">
      <c r="B28" s="34"/>
      <c r="C28" s="91"/>
      <c r="D28" s="866"/>
      <c r="E28" s="116"/>
      <c r="F28" s="350"/>
      <c r="G28" s="92"/>
      <c r="H28" s="532">
        <v>0</v>
      </c>
      <c r="I28" s="531">
        <f t="shared" ref="I28:K29" si="9">H28</f>
        <v>0</v>
      </c>
      <c r="J28" s="531">
        <f t="shared" si="9"/>
        <v>0</v>
      </c>
      <c r="K28" s="531">
        <f t="shared" si="9"/>
        <v>0</v>
      </c>
      <c r="L28" s="531">
        <f>K28</f>
        <v>0</v>
      </c>
      <c r="M28" s="98"/>
      <c r="N28" s="37"/>
    </row>
    <row r="29" spans="2:16" ht="12.75" customHeight="1" x14ac:dyDescent="0.2">
      <c r="B29" s="34"/>
      <c r="C29" s="91"/>
      <c r="D29" s="866"/>
      <c r="E29" s="116"/>
      <c r="F29" s="350"/>
      <c r="G29" s="92"/>
      <c r="H29" s="532">
        <v>0</v>
      </c>
      <c r="I29" s="531">
        <f t="shared" si="9"/>
        <v>0</v>
      </c>
      <c r="J29" s="531">
        <f t="shared" si="9"/>
        <v>0</v>
      </c>
      <c r="K29" s="531">
        <f t="shared" si="9"/>
        <v>0</v>
      </c>
      <c r="L29" s="531">
        <f>K29</f>
        <v>0</v>
      </c>
      <c r="M29" s="98"/>
      <c r="N29" s="37"/>
    </row>
    <row r="30" spans="2:16" ht="12.75" customHeight="1" x14ac:dyDescent="0.2">
      <c r="B30" s="34"/>
      <c r="C30" s="91"/>
      <c r="D30" s="866"/>
      <c r="E30" s="116"/>
      <c r="F30" s="350"/>
      <c r="G30" s="92"/>
      <c r="H30" s="532">
        <v>0</v>
      </c>
      <c r="I30" s="531">
        <f t="shared" ref="I30:I31" si="10">H30</f>
        <v>0</v>
      </c>
      <c r="J30" s="531">
        <f t="shared" ref="J30:J31" si="11">I30</f>
        <v>0</v>
      </c>
      <c r="K30" s="531">
        <f t="shared" ref="K30:K31" si="12">J30</f>
        <v>0</v>
      </c>
      <c r="L30" s="531">
        <f t="shared" ref="L30:L31" si="13">K30</f>
        <v>0</v>
      </c>
      <c r="M30" s="98"/>
      <c r="N30" s="37"/>
    </row>
    <row r="31" spans="2:16" ht="12.75" customHeight="1" x14ac:dyDescent="0.2">
      <c r="B31" s="34"/>
      <c r="C31" s="91"/>
      <c r="D31" s="866"/>
      <c r="E31" s="116"/>
      <c r="F31" s="350"/>
      <c r="G31" s="92"/>
      <c r="H31" s="532">
        <v>0</v>
      </c>
      <c r="I31" s="531">
        <f t="shared" si="10"/>
        <v>0</v>
      </c>
      <c r="J31" s="531">
        <f t="shared" si="11"/>
        <v>0</v>
      </c>
      <c r="K31" s="531">
        <f t="shared" si="12"/>
        <v>0</v>
      </c>
      <c r="L31" s="531">
        <f t="shared" si="13"/>
        <v>0</v>
      </c>
      <c r="M31" s="98"/>
      <c r="N31" s="37"/>
    </row>
    <row r="32" spans="2:16" ht="12.75" customHeight="1" x14ac:dyDescent="0.2">
      <c r="B32" s="34"/>
      <c r="C32" s="91"/>
      <c r="D32" s="645"/>
      <c r="E32" s="116"/>
      <c r="F32" s="645"/>
      <c r="G32" s="92"/>
      <c r="H32" s="899">
        <f>SUM(H27:H31)</f>
        <v>0</v>
      </c>
      <c r="I32" s="899">
        <f>SUM(I27:I31)</f>
        <v>0</v>
      </c>
      <c r="J32" s="899">
        <f>SUM(J27:J31)</f>
        <v>0</v>
      </c>
      <c r="K32" s="899">
        <f>SUM(K27:K31)</f>
        <v>0</v>
      </c>
      <c r="L32" s="899">
        <f>SUM(L27:L31)</f>
        <v>0</v>
      </c>
      <c r="M32" s="98"/>
      <c r="N32" s="37"/>
    </row>
    <row r="33" spans="2:14" ht="12.75" customHeight="1" x14ac:dyDescent="0.2">
      <c r="B33" s="34"/>
      <c r="C33" s="91"/>
      <c r="D33" s="773" t="s">
        <v>29</v>
      </c>
      <c r="E33" s="116"/>
      <c r="F33" s="736"/>
      <c r="G33" s="92"/>
      <c r="H33" s="116"/>
      <c r="I33" s="116"/>
      <c r="J33" s="116"/>
      <c r="K33" s="97"/>
      <c r="L33" s="97"/>
      <c r="M33" s="349"/>
      <c r="N33" s="37"/>
    </row>
    <row r="34" spans="2:14" ht="12.75" customHeight="1" x14ac:dyDescent="0.2">
      <c r="B34" s="34"/>
      <c r="C34" s="91"/>
      <c r="D34" s="777" t="s">
        <v>24</v>
      </c>
      <c r="E34" s="116"/>
      <c r="F34" s="299"/>
      <c r="G34" s="92"/>
      <c r="H34" s="350"/>
      <c r="I34" s="350"/>
      <c r="J34" s="350"/>
      <c r="K34" s="97"/>
      <c r="L34" s="97"/>
      <c r="M34" s="346"/>
      <c r="N34" s="37"/>
    </row>
    <row r="35" spans="2:14" ht="12.75" customHeight="1" x14ac:dyDescent="0.2">
      <c r="B35" s="34"/>
      <c r="C35" s="91"/>
      <c r="D35" s="778" t="s">
        <v>517</v>
      </c>
      <c r="E35" s="116"/>
      <c r="F35" s="5"/>
      <c r="G35" s="92"/>
      <c r="H35" s="858">
        <f>$F$19*H19+$F$21*H21+$F$22*H22+$F$23*H23+$F$24*H24</f>
        <v>0</v>
      </c>
      <c r="I35" s="858">
        <f>$F$19*I19+$F$21*I21+$F$22*I22+$F$23*I23+$F$24*I24</f>
        <v>0</v>
      </c>
      <c r="J35" s="858">
        <f>$F$19*J19+$F$21*J21+$F$22*J22+$F$23*J23+$F$24*J24</f>
        <v>0</v>
      </c>
      <c r="K35" s="858">
        <f>$F$19*K19+$F$21*K21+$F$22*K22+$F$23*K23+$F$24*K24</f>
        <v>0</v>
      </c>
      <c r="L35" s="858">
        <f>$F$19*L19+$F$21*L21+$F$22*L22+$F$23*L23+$F$24*L24</f>
        <v>0</v>
      </c>
      <c r="M35" s="346"/>
      <c r="N35" s="37"/>
    </row>
    <row r="36" spans="2:14" ht="12.75" customHeight="1" x14ac:dyDescent="0.2">
      <c r="B36" s="34"/>
      <c r="C36" s="91"/>
      <c r="D36" s="867"/>
      <c r="E36" s="92"/>
      <c r="F36" s="115"/>
      <c r="G36" s="92"/>
      <c r="H36" s="532">
        <v>0</v>
      </c>
      <c r="I36" s="532">
        <v>0</v>
      </c>
      <c r="J36" s="532">
        <v>0</v>
      </c>
      <c r="K36" s="532">
        <v>0</v>
      </c>
      <c r="L36" s="532">
        <v>0</v>
      </c>
      <c r="M36" s="346"/>
      <c r="N36" s="37"/>
    </row>
    <row r="37" spans="2:14" ht="12.75" customHeight="1" x14ac:dyDescent="0.2">
      <c r="B37" s="34"/>
      <c r="C37" s="91"/>
      <c r="D37" s="867"/>
      <c r="E37" s="92"/>
      <c r="F37" s="115"/>
      <c r="G37" s="92"/>
      <c r="H37" s="532">
        <v>0</v>
      </c>
      <c r="I37" s="532">
        <v>0</v>
      </c>
      <c r="J37" s="532">
        <v>0</v>
      </c>
      <c r="K37" s="532">
        <v>0</v>
      </c>
      <c r="L37" s="532">
        <v>0</v>
      </c>
      <c r="M37" s="346"/>
      <c r="N37" s="37"/>
    </row>
    <row r="38" spans="2:14" ht="12.75" customHeight="1" x14ac:dyDescent="0.2">
      <c r="B38" s="34"/>
      <c r="C38" s="91"/>
      <c r="D38" s="867"/>
      <c r="E38" s="92"/>
      <c r="F38" s="115"/>
      <c r="G38" s="92"/>
      <c r="H38" s="532">
        <v>0</v>
      </c>
      <c r="I38" s="532">
        <v>0</v>
      </c>
      <c r="J38" s="532">
        <v>0</v>
      </c>
      <c r="K38" s="532">
        <v>0</v>
      </c>
      <c r="L38" s="532">
        <v>0</v>
      </c>
      <c r="M38" s="346"/>
      <c r="N38" s="37"/>
    </row>
    <row r="39" spans="2:14" ht="12.75" customHeight="1" x14ac:dyDescent="0.2">
      <c r="B39" s="34"/>
      <c r="C39" s="91"/>
      <c r="D39" s="645"/>
      <c r="E39" s="92"/>
      <c r="F39" s="115"/>
      <c r="G39" s="92"/>
      <c r="H39" s="896">
        <f>SUM(H35:H38)</f>
        <v>0</v>
      </c>
      <c r="I39" s="896">
        <f>SUM(I35:I38)</f>
        <v>0</v>
      </c>
      <c r="J39" s="896">
        <f>SUM(J35:J38)</f>
        <v>0</v>
      </c>
      <c r="K39" s="896">
        <f>SUM(K35:K38)</f>
        <v>0</v>
      </c>
      <c r="L39" s="896">
        <f>SUM(L35:L38)</f>
        <v>0</v>
      </c>
      <c r="M39" s="352"/>
      <c r="N39" s="37"/>
    </row>
    <row r="40" spans="2:14" ht="12.75" customHeight="1" x14ac:dyDescent="0.2">
      <c r="B40" s="34"/>
      <c r="C40" s="91"/>
      <c r="D40" s="773" t="s">
        <v>25</v>
      </c>
      <c r="E40" s="92"/>
      <c r="F40" s="115"/>
      <c r="G40" s="92"/>
      <c r="H40" s="286"/>
      <c r="I40" s="351"/>
      <c r="J40" s="351"/>
      <c r="K40" s="351"/>
      <c r="L40" s="351"/>
      <c r="M40" s="346"/>
      <c r="N40" s="37"/>
    </row>
    <row r="41" spans="2:14" ht="12.75" customHeight="1" x14ac:dyDescent="0.2">
      <c r="B41" s="34"/>
      <c r="C41" s="91"/>
      <c r="D41" s="867"/>
      <c r="E41" s="92"/>
      <c r="F41" s="115"/>
      <c r="G41" s="92"/>
      <c r="H41" s="532">
        <v>0</v>
      </c>
      <c r="I41" s="532">
        <v>0</v>
      </c>
      <c r="J41" s="532">
        <v>0</v>
      </c>
      <c r="K41" s="532">
        <v>0</v>
      </c>
      <c r="L41" s="532">
        <v>0</v>
      </c>
      <c r="M41" s="346"/>
      <c r="N41" s="37"/>
    </row>
    <row r="42" spans="2:14" ht="12.75" customHeight="1" x14ac:dyDescent="0.2">
      <c r="B42" s="34"/>
      <c r="C42" s="91"/>
      <c r="D42" s="867"/>
      <c r="E42" s="92"/>
      <c r="F42" s="115"/>
      <c r="G42" s="92"/>
      <c r="H42" s="532">
        <v>0</v>
      </c>
      <c r="I42" s="532">
        <v>0</v>
      </c>
      <c r="J42" s="532">
        <v>0</v>
      </c>
      <c r="K42" s="532">
        <v>0</v>
      </c>
      <c r="L42" s="532">
        <v>0</v>
      </c>
      <c r="M42" s="346"/>
      <c r="N42" s="37"/>
    </row>
    <row r="43" spans="2:14" ht="12.75" customHeight="1" x14ac:dyDescent="0.2">
      <c r="B43" s="34"/>
      <c r="C43" s="91"/>
      <c r="D43" s="867"/>
      <c r="E43" s="92"/>
      <c r="F43" s="115"/>
      <c r="G43" s="92"/>
      <c r="H43" s="532">
        <v>0</v>
      </c>
      <c r="I43" s="532">
        <v>0</v>
      </c>
      <c r="J43" s="532">
        <v>0</v>
      </c>
      <c r="K43" s="532">
        <v>0</v>
      </c>
      <c r="L43" s="532">
        <v>0</v>
      </c>
      <c r="M43" s="346"/>
      <c r="N43" s="37"/>
    </row>
    <row r="44" spans="2:14" ht="12.75" customHeight="1" x14ac:dyDescent="0.2">
      <c r="B44" s="34"/>
      <c r="C44" s="91"/>
      <c r="D44" s="867"/>
      <c r="E44" s="92"/>
      <c r="F44" s="115"/>
      <c r="G44" s="92"/>
      <c r="H44" s="532">
        <v>0</v>
      </c>
      <c r="I44" s="532">
        <v>0</v>
      </c>
      <c r="J44" s="532">
        <v>0</v>
      </c>
      <c r="K44" s="532">
        <v>0</v>
      </c>
      <c r="L44" s="532">
        <v>0</v>
      </c>
      <c r="M44" s="346"/>
      <c r="N44" s="37"/>
    </row>
    <row r="45" spans="2:14" ht="12.75" customHeight="1" x14ac:dyDescent="0.2">
      <c r="B45" s="34"/>
      <c r="C45" s="91"/>
      <c r="D45" s="867"/>
      <c r="E45" s="92"/>
      <c r="F45" s="115"/>
      <c r="G45" s="92"/>
      <c r="H45" s="532">
        <v>0</v>
      </c>
      <c r="I45" s="532">
        <v>0</v>
      </c>
      <c r="J45" s="532">
        <v>0</v>
      </c>
      <c r="K45" s="532">
        <v>0</v>
      </c>
      <c r="L45" s="532">
        <v>0</v>
      </c>
      <c r="M45" s="346"/>
      <c r="N45" s="37"/>
    </row>
    <row r="46" spans="2:14" ht="12.75" customHeight="1" x14ac:dyDescent="0.2">
      <c r="B46" s="34"/>
      <c r="C46" s="91"/>
      <c r="D46" s="645"/>
      <c r="E46" s="92"/>
      <c r="F46" s="115"/>
      <c r="G46" s="92"/>
      <c r="H46" s="896">
        <f>SUM(H41:H45)</f>
        <v>0</v>
      </c>
      <c r="I46" s="896">
        <f>SUM(I41:I45)</f>
        <v>0</v>
      </c>
      <c r="J46" s="896">
        <f>SUM(J41:J45)</f>
        <v>0</v>
      </c>
      <c r="K46" s="896">
        <f>SUM(K41:K45)</f>
        <v>0</v>
      </c>
      <c r="L46" s="896">
        <f>SUM(L41:L45)</f>
        <v>0</v>
      </c>
      <c r="M46" s="352"/>
      <c r="N46" s="37"/>
    </row>
    <row r="47" spans="2:14" ht="12.75" customHeight="1" x14ac:dyDescent="0.2">
      <c r="B47" s="34"/>
      <c r="C47" s="91"/>
      <c r="D47" s="645"/>
      <c r="E47" s="116"/>
      <c r="F47" s="220"/>
      <c r="G47" s="92"/>
      <c r="H47" s="353"/>
      <c r="I47" s="353"/>
      <c r="J47" s="353"/>
      <c r="K47" s="353"/>
      <c r="L47" s="353"/>
      <c r="M47" s="346"/>
      <c r="N47" s="37"/>
    </row>
    <row r="48" spans="2:14" s="24" customFormat="1" ht="12.75" customHeight="1" x14ac:dyDescent="0.2">
      <c r="B48" s="179"/>
      <c r="C48" s="300"/>
      <c r="D48" s="773" t="s">
        <v>51</v>
      </c>
      <c r="E48" s="297"/>
      <c r="F48" s="354"/>
      <c r="G48" s="117"/>
      <c r="H48" s="896">
        <f>H39-H46</f>
        <v>0</v>
      </c>
      <c r="I48" s="896">
        <f>I39-I46</f>
        <v>0</v>
      </c>
      <c r="J48" s="896">
        <f>J39-J46</f>
        <v>0</v>
      </c>
      <c r="K48" s="896">
        <f>K39-K46</f>
        <v>0</v>
      </c>
      <c r="L48" s="896">
        <f>L39-L46</f>
        <v>0</v>
      </c>
      <c r="M48" s="345"/>
      <c r="N48" s="180"/>
    </row>
    <row r="49" spans="2:14" ht="12.75" customHeight="1" x14ac:dyDescent="0.2">
      <c r="B49" s="34"/>
      <c r="C49" s="91"/>
      <c r="D49" s="645"/>
      <c r="E49" s="116"/>
      <c r="F49" s="220"/>
      <c r="G49" s="92"/>
      <c r="H49" s="348"/>
      <c r="I49" s="348"/>
      <c r="J49" s="348"/>
      <c r="K49" s="348"/>
      <c r="L49" s="348"/>
      <c r="M49" s="346"/>
      <c r="N49" s="37"/>
    </row>
    <row r="50" spans="2:14" ht="12.75" customHeight="1" x14ac:dyDescent="0.2">
      <c r="B50" s="34"/>
      <c r="C50" s="91"/>
      <c r="D50" s="645"/>
      <c r="E50" s="116"/>
      <c r="F50" s="220"/>
      <c r="G50" s="92"/>
      <c r="H50" s="348"/>
      <c r="I50" s="348"/>
      <c r="J50" s="348"/>
      <c r="K50" s="348"/>
      <c r="L50" s="348"/>
      <c r="M50" s="346"/>
      <c r="N50" s="37"/>
    </row>
    <row r="51" spans="2:14" s="19" customFormat="1" ht="12.75" customHeight="1" x14ac:dyDescent="0.2">
      <c r="B51" s="58"/>
      <c r="C51" s="105"/>
      <c r="D51" s="791" t="s">
        <v>145</v>
      </c>
      <c r="E51" s="116"/>
      <c r="F51" s="220"/>
      <c r="G51" s="116"/>
      <c r="H51" s="895">
        <f>H19+H25+H32-H48</f>
        <v>99220.81</v>
      </c>
      <c r="I51" s="895">
        <f>I19+I25+I32-I48</f>
        <v>84899.09</v>
      </c>
      <c r="J51" s="895">
        <f>J19+J25+J32-J48</f>
        <v>84899.09</v>
      </c>
      <c r="K51" s="895">
        <f>K19+K25+K32-K48</f>
        <v>84899.09</v>
      </c>
      <c r="L51" s="895">
        <f>L19+L25+L32-L48</f>
        <v>84899.09</v>
      </c>
      <c r="M51" s="346"/>
      <c r="N51" s="178"/>
    </row>
    <row r="52" spans="2:14" ht="12.75" customHeight="1" x14ac:dyDescent="0.2">
      <c r="B52" s="34"/>
      <c r="C52" s="91"/>
      <c r="D52" s="645"/>
      <c r="E52" s="116"/>
      <c r="F52" s="220"/>
      <c r="G52" s="92"/>
      <c r="H52" s="116"/>
      <c r="I52" s="116"/>
      <c r="J52" s="116"/>
      <c r="K52" s="97"/>
      <c r="L52" s="97"/>
      <c r="M52" s="349"/>
      <c r="N52" s="37"/>
    </row>
    <row r="53" spans="2:14" ht="12.75" customHeight="1" x14ac:dyDescent="0.2">
      <c r="B53" s="34"/>
      <c r="C53" s="35"/>
      <c r="D53" s="756"/>
      <c r="E53" s="59"/>
      <c r="F53" s="62"/>
      <c r="G53" s="35"/>
      <c r="H53" s="188"/>
      <c r="I53" s="188"/>
      <c r="J53" s="188"/>
      <c r="K53" s="36"/>
      <c r="L53" s="36"/>
      <c r="M53" s="35"/>
      <c r="N53" s="37"/>
    </row>
    <row r="54" spans="2:14" ht="12.75" customHeight="1" x14ac:dyDescent="0.2">
      <c r="B54" s="34"/>
      <c r="C54" s="91"/>
      <c r="D54" s="645"/>
      <c r="E54" s="116"/>
      <c r="F54" s="220"/>
      <c r="G54" s="92"/>
      <c r="H54" s="116"/>
      <c r="I54" s="116"/>
      <c r="J54" s="116"/>
      <c r="K54" s="116"/>
      <c r="L54" s="116"/>
      <c r="M54" s="349"/>
      <c r="N54" s="37"/>
    </row>
    <row r="55" spans="2:14" s="165" customFormat="1" ht="12.75" customHeight="1" x14ac:dyDescent="0.2">
      <c r="B55" s="210"/>
      <c r="C55" s="225"/>
      <c r="D55" s="743" t="s">
        <v>356</v>
      </c>
      <c r="E55" s="135"/>
      <c r="F55" s="371"/>
      <c r="G55" s="142"/>
      <c r="H55" s="135"/>
      <c r="I55" s="135"/>
      <c r="J55" s="135"/>
      <c r="K55" s="135"/>
      <c r="L55" s="135"/>
      <c r="M55" s="372"/>
      <c r="N55" s="212"/>
    </row>
    <row r="56" spans="2:14" ht="12.75" customHeight="1" x14ac:dyDescent="0.2">
      <c r="B56" s="34"/>
      <c r="C56" s="91"/>
      <c r="D56" s="773"/>
      <c r="E56" s="116"/>
      <c r="F56" s="220"/>
      <c r="G56" s="92"/>
      <c r="H56" s="116"/>
      <c r="I56" s="116"/>
      <c r="J56" s="116"/>
      <c r="K56" s="116"/>
      <c r="L56" s="116"/>
      <c r="M56" s="349"/>
      <c r="N56" s="37"/>
    </row>
    <row r="57" spans="2:14" ht="12.75" customHeight="1" x14ac:dyDescent="0.2">
      <c r="B57" s="34"/>
      <c r="C57" s="91"/>
      <c r="D57" s="867"/>
      <c r="E57" s="116"/>
      <c r="F57" s="220"/>
      <c r="G57" s="92"/>
      <c r="H57" s="531">
        <v>0</v>
      </c>
      <c r="I57" s="531">
        <f t="shared" ref="I57:K61" si="14">H57</f>
        <v>0</v>
      </c>
      <c r="J57" s="531">
        <f t="shared" si="14"/>
        <v>0</v>
      </c>
      <c r="K57" s="531">
        <f t="shared" si="14"/>
        <v>0</v>
      </c>
      <c r="L57" s="531">
        <f>K57</f>
        <v>0</v>
      </c>
      <c r="M57" s="349"/>
      <c r="N57" s="37"/>
    </row>
    <row r="58" spans="2:14" ht="12.75" customHeight="1" x14ac:dyDescent="0.2">
      <c r="B58" s="34"/>
      <c r="C58" s="91"/>
      <c r="D58" s="867"/>
      <c r="E58" s="116"/>
      <c r="F58" s="220"/>
      <c r="G58" s="92"/>
      <c r="H58" s="531">
        <v>0</v>
      </c>
      <c r="I58" s="531">
        <f t="shared" si="14"/>
        <v>0</v>
      </c>
      <c r="J58" s="531">
        <f t="shared" si="14"/>
        <v>0</v>
      </c>
      <c r="K58" s="531">
        <f t="shared" si="14"/>
        <v>0</v>
      </c>
      <c r="L58" s="531">
        <f>K58</f>
        <v>0</v>
      </c>
      <c r="M58" s="349"/>
      <c r="N58" s="37"/>
    </row>
    <row r="59" spans="2:14" ht="12.75" customHeight="1" x14ac:dyDescent="0.2">
      <c r="B59" s="34"/>
      <c r="C59" s="91"/>
      <c r="D59" s="867"/>
      <c r="E59" s="116"/>
      <c r="F59" s="220"/>
      <c r="G59" s="92"/>
      <c r="H59" s="531">
        <v>0</v>
      </c>
      <c r="I59" s="531">
        <f t="shared" si="14"/>
        <v>0</v>
      </c>
      <c r="J59" s="531">
        <f t="shared" si="14"/>
        <v>0</v>
      </c>
      <c r="K59" s="531">
        <f t="shared" si="14"/>
        <v>0</v>
      </c>
      <c r="L59" s="531">
        <f>K59</f>
        <v>0</v>
      </c>
      <c r="M59" s="349"/>
      <c r="N59" s="37"/>
    </row>
    <row r="60" spans="2:14" ht="12.75" customHeight="1" x14ac:dyDescent="0.2">
      <c r="B60" s="34"/>
      <c r="C60" s="91"/>
      <c r="D60" s="867"/>
      <c r="E60" s="116"/>
      <c r="F60" s="220"/>
      <c r="G60" s="92"/>
      <c r="H60" s="531">
        <v>0</v>
      </c>
      <c r="I60" s="531">
        <f t="shared" si="14"/>
        <v>0</v>
      </c>
      <c r="J60" s="531">
        <f t="shared" si="14"/>
        <v>0</v>
      </c>
      <c r="K60" s="531">
        <f t="shared" si="14"/>
        <v>0</v>
      </c>
      <c r="L60" s="531">
        <f>K60</f>
        <v>0</v>
      </c>
      <c r="M60" s="349"/>
      <c r="N60" s="37"/>
    </row>
    <row r="61" spans="2:14" ht="12.75" customHeight="1" x14ac:dyDescent="0.2">
      <c r="B61" s="34"/>
      <c r="C61" s="91"/>
      <c r="D61" s="867"/>
      <c r="E61" s="116"/>
      <c r="F61" s="220"/>
      <c r="G61" s="92"/>
      <c r="H61" s="531">
        <v>0</v>
      </c>
      <c r="I61" s="531">
        <f t="shared" si="14"/>
        <v>0</v>
      </c>
      <c r="J61" s="531">
        <f t="shared" si="14"/>
        <v>0</v>
      </c>
      <c r="K61" s="531">
        <f t="shared" si="14"/>
        <v>0</v>
      </c>
      <c r="L61" s="531">
        <f>K61</f>
        <v>0</v>
      </c>
      <c r="M61" s="349"/>
      <c r="N61" s="37"/>
    </row>
    <row r="62" spans="2:14" ht="12.75" customHeight="1" x14ac:dyDescent="0.2">
      <c r="B62" s="34"/>
      <c r="C62" s="91"/>
      <c r="D62" s="645"/>
      <c r="E62" s="116"/>
      <c r="F62" s="220"/>
      <c r="G62" s="92"/>
      <c r="H62" s="348"/>
      <c r="I62" s="348"/>
      <c r="J62" s="348"/>
      <c r="K62" s="348"/>
      <c r="L62" s="348"/>
      <c r="M62" s="349"/>
      <c r="N62" s="37"/>
    </row>
    <row r="63" spans="2:14" ht="12.75" customHeight="1" x14ac:dyDescent="0.2">
      <c r="B63" s="34"/>
      <c r="C63" s="91"/>
      <c r="D63" s="791" t="s">
        <v>145</v>
      </c>
      <c r="E63" s="116"/>
      <c r="F63" s="220"/>
      <c r="G63" s="92"/>
      <c r="H63" s="894">
        <f>SUM(H57:H61)</f>
        <v>0</v>
      </c>
      <c r="I63" s="894">
        <f>SUM(I57:I61)</f>
        <v>0</v>
      </c>
      <c r="J63" s="894">
        <f>SUM(J57:J61)</f>
        <v>0</v>
      </c>
      <c r="K63" s="894">
        <f>SUM(K57:K61)</f>
        <v>0</v>
      </c>
      <c r="L63" s="894">
        <f>SUM(L57:L61)</f>
        <v>0</v>
      </c>
      <c r="M63" s="349"/>
      <c r="N63" s="37"/>
    </row>
    <row r="64" spans="2:14" ht="12.75" customHeight="1" x14ac:dyDescent="0.2">
      <c r="B64" s="34"/>
      <c r="C64" s="91"/>
      <c r="D64" s="645"/>
      <c r="E64" s="116"/>
      <c r="F64" s="220"/>
      <c r="G64" s="92"/>
      <c r="H64" s="116"/>
      <c r="I64" s="116"/>
      <c r="J64" s="116"/>
      <c r="K64" s="116"/>
      <c r="L64" s="116"/>
      <c r="M64" s="349"/>
      <c r="N64" s="37"/>
    </row>
    <row r="65" spans="2:14" ht="12.75" customHeight="1" x14ac:dyDescent="0.2">
      <c r="B65" s="34"/>
      <c r="C65" s="35"/>
      <c r="D65" s="756"/>
      <c r="E65" s="59"/>
      <c r="F65" s="62"/>
      <c r="G65" s="35"/>
      <c r="H65" s="188"/>
      <c r="I65" s="188"/>
      <c r="J65" s="188"/>
      <c r="K65" s="36"/>
      <c r="L65" s="36"/>
      <c r="M65" s="35"/>
      <c r="N65" s="37"/>
    </row>
    <row r="66" spans="2:14" ht="12.75" customHeight="1" x14ac:dyDescent="0.2">
      <c r="B66" s="34"/>
      <c r="C66" s="91"/>
      <c r="D66" s="645"/>
      <c r="E66" s="116"/>
      <c r="F66" s="220"/>
      <c r="G66" s="92"/>
      <c r="H66" s="116"/>
      <c r="I66" s="116"/>
      <c r="J66" s="116"/>
      <c r="K66" s="116"/>
      <c r="L66" s="116"/>
      <c r="M66" s="349"/>
      <c r="N66" s="37"/>
    </row>
    <row r="67" spans="2:14" s="165" customFormat="1" ht="12.75" customHeight="1" x14ac:dyDescent="0.2">
      <c r="B67" s="210"/>
      <c r="C67" s="225"/>
      <c r="D67" s="743" t="s">
        <v>15</v>
      </c>
      <c r="E67" s="135"/>
      <c r="F67" s="371"/>
      <c r="G67" s="142"/>
      <c r="H67" s="378"/>
      <c r="I67" s="378"/>
      <c r="J67" s="378"/>
      <c r="K67" s="378"/>
      <c r="L67" s="378"/>
      <c r="M67" s="372"/>
      <c r="N67" s="212"/>
    </row>
    <row r="68" spans="2:14" ht="12.75" customHeight="1" x14ac:dyDescent="0.2">
      <c r="B68" s="34"/>
      <c r="C68" s="91"/>
      <c r="D68" s="645"/>
      <c r="E68" s="116"/>
      <c r="F68" s="220"/>
      <c r="G68" s="219"/>
      <c r="H68" s="219"/>
      <c r="I68" s="219"/>
      <c r="J68" s="219"/>
      <c r="K68" s="219"/>
      <c r="L68" s="219"/>
      <c r="M68" s="349"/>
      <c r="N68" s="37"/>
    </row>
    <row r="69" spans="2:14" ht="12.75" customHeight="1" x14ac:dyDescent="0.2">
      <c r="B69" s="34"/>
      <c r="C69" s="91"/>
      <c r="D69" s="645" t="s">
        <v>16</v>
      </c>
      <c r="E69" s="116"/>
      <c r="F69" s="220"/>
      <c r="G69" s="219"/>
      <c r="H69" s="531">
        <v>0</v>
      </c>
      <c r="I69" s="531">
        <f>H69</f>
        <v>0</v>
      </c>
      <c r="J69" s="531">
        <f>I69</f>
        <v>0</v>
      </c>
      <c r="K69" s="531">
        <f>J69</f>
        <v>0</v>
      </c>
      <c r="L69" s="531">
        <f>K69</f>
        <v>0</v>
      </c>
      <c r="M69" s="349"/>
      <c r="N69" s="37"/>
    </row>
    <row r="70" spans="2:14" ht="12.75" customHeight="1" x14ac:dyDescent="0.2">
      <c r="B70" s="34"/>
      <c r="C70" s="91"/>
      <c r="D70" s="645" t="s">
        <v>71</v>
      </c>
      <c r="E70" s="116"/>
      <c r="F70" s="220"/>
      <c r="G70" s="219"/>
      <c r="H70" s="531">
        <v>0</v>
      </c>
      <c r="I70" s="531">
        <f t="shared" ref="I70:K77" si="15">H70</f>
        <v>0</v>
      </c>
      <c r="J70" s="531">
        <f t="shared" si="15"/>
        <v>0</v>
      </c>
      <c r="K70" s="531">
        <f t="shared" si="15"/>
        <v>0</v>
      </c>
      <c r="L70" s="531">
        <f t="shared" ref="L70:L77" si="16">K70</f>
        <v>0</v>
      </c>
      <c r="M70" s="349"/>
      <c r="N70" s="37"/>
    </row>
    <row r="71" spans="2:14" ht="12.75" customHeight="1" x14ac:dyDescent="0.2">
      <c r="B71" s="34"/>
      <c r="C71" s="91"/>
      <c r="D71" s="645" t="s">
        <v>264</v>
      </c>
      <c r="E71" s="116"/>
      <c r="F71" s="220"/>
      <c r="G71" s="219"/>
      <c r="H71" s="531">
        <v>0</v>
      </c>
      <c r="I71" s="531">
        <f t="shared" si="15"/>
        <v>0</v>
      </c>
      <c r="J71" s="531">
        <f t="shared" si="15"/>
        <v>0</v>
      </c>
      <c r="K71" s="531">
        <f t="shared" si="15"/>
        <v>0</v>
      </c>
      <c r="L71" s="531">
        <f t="shared" si="16"/>
        <v>0</v>
      </c>
      <c r="M71" s="349"/>
      <c r="N71" s="37"/>
    </row>
    <row r="72" spans="2:14" ht="12.75" customHeight="1" x14ac:dyDescent="0.2">
      <c r="B72" s="34"/>
      <c r="C72" s="91"/>
      <c r="D72" s="787"/>
      <c r="E72" s="116"/>
      <c r="F72" s="220"/>
      <c r="G72" s="219"/>
      <c r="H72" s="531">
        <v>0</v>
      </c>
      <c r="I72" s="531">
        <f t="shared" si="15"/>
        <v>0</v>
      </c>
      <c r="J72" s="531">
        <f t="shared" si="15"/>
        <v>0</v>
      </c>
      <c r="K72" s="531">
        <f t="shared" si="15"/>
        <v>0</v>
      </c>
      <c r="L72" s="531">
        <f t="shared" si="16"/>
        <v>0</v>
      </c>
      <c r="M72" s="349"/>
      <c r="N72" s="37"/>
    </row>
    <row r="73" spans="2:14" ht="12.75" customHeight="1" x14ac:dyDescent="0.2">
      <c r="B73" s="34"/>
      <c r="C73" s="91"/>
      <c r="D73" s="787"/>
      <c r="E73" s="116"/>
      <c r="F73" s="220"/>
      <c r="G73" s="219"/>
      <c r="H73" s="531">
        <v>0</v>
      </c>
      <c r="I73" s="531">
        <f t="shared" si="15"/>
        <v>0</v>
      </c>
      <c r="J73" s="531">
        <f t="shared" si="15"/>
        <v>0</v>
      </c>
      <c r="K73" s="531">
        <f t="shared" si="15"/>
        <v>0</v>
      </c>
      <c r="L73" s="531">
        <f t="shared" si="16"/>
        <v>0</v>
      </c>
      <c r="M73" s="349"/>
      <c r="N73" s="37"/>
    </row>
    <row r="74" spans="2:14" ht="12.75" customHeight="1" x14ac:dyDescent="0.2">
      <c r="B74" s="34"/>
      <c r="C74" s="91"/>
      <c r="D74" s="867"/>
      <c r="E74" s="116"/>
      <c r="F74" s="220"/>
      <c r="G74" s="219"/>
      <c r="H74" s="531">
        <v>0</v>
      </c>
      <c r="I74" s="531">
        <f t="shared" ref="I74:K76" si="17">H74</f>
        <v>0</v>
      </c>
      <c r="J74" s="531">
        <f t="shared" si="17"/>
        <v>0</v>
      </c>
      <c r="K74" s="531">
        <f t="shared" si="17"/>
        <v>0</v>
      </c>
      <c r="L74" s="531">
        <f t="shared" si="16"/>
        <v>0</v>
      </c>
      <c r="M74" s="349"/>
      <c r="N74" s="37"/>
    </row>
    <row r="75" spans="2:14" ht="12.75" customHeight="1" x14ac:dyDescent="0.2">
      <c r="B75" s="34"/>
      <c r="C75" s="91"/>
      <c r="D75" s="867"/>
      <c r="E75" s="116"/>
      <c r="F75" s="220"/>
      <c r="G75" s="219"/>
      <c r="H75" s="531">
        <v>0</v>
      </c>
      <c r="I75" s="531">
        <f t="shared" si="17"/>
        <v>0</v>
      </c>
      <c r="J75" s="531">
        <f t="shared" si="17"/>
        <v>0</v>
      </c>
      <c r="K75" s="531">
        <f t="shared" si="17"/>
        <v>0</v>
      </c>
      <c r="L75" s="531">
        <f>K75</f>
        <v>0</v>
      </c>
      <c r="M75" s="349"/>
      <c r="N75" s="37"/>
    </row>
    <row r="76" spans="2:14" ht="12.75" customHeight="1" x14ac:dyDescent="0.2">
      <c r="B76" s="34"/>
      <c r="C76" s="91"/>
      <c r="D76" s="867"/>
      <c r="E76" s="116"/>
      <c r="F76" s="220"/>
      <c r="G76" s="219"/>
      <c r="H76" s="531">
        <v>0</v>
      </c>
      <c r="I76" s="531">
        <f t="shared" si="17"/>
        <v>0</v>
      </c>
      <c r="J76" s="531">
        <f t="shared" si="17"/>
        <v>0</v>
      </c>
      <c r="K76" s="531">
        <f t="shared" si="17"/>
        <v>0</v>
      </c>
      <c r="L76" s="531">
        <f>K76</f>
        <v>0</v>
      </c>
      <c r="M76" s="349"/>
      <c r="N76" s="37"/>
    </row>
    <row r="77" spans="2:14" ht="12.75" customHeight="1" x14ac:dyDescent="0.2">
      <c r="B77" s="34"/>
      <c r="C77" s="91"/>
      <c r="D77" s="867"/>
      <c r="E77" s="116"/>
      <c r="F77" s="220"/>
      <c r="G77" s="219"/>
      <c r="H77" s="531">
        <v>0</v>
      </c>
      <c r="I77" s="531">
        <f t="shared" si="15"/>
        <v>0</v>
      </c>
      <c r="J77" s="531">
        <f t="shared" si="15"/>
        <v>0</v>
      </c>
      <c r="K77" s="531">
        <f t="shared" si="15"/>
        <v>0</v>
      </c>
      <c r="L77" s="531">
        <f t="shared" si="16"/>
        <v>0</v>
      </c>
      <c r="M77" s="349"/>
      <c r="N77" s="37"/>
    </row>
    <row r="78" spans="2:14" ht="12.75" customHeight="1" x14ac:dyDescent="0.2">
      <c r="B78" s="34"/>
      <c r="C78" s="91"/>
      <c r="D78" s="645"/>
      <c r="E78" s="116"/>
      <c r="F78" s="220"/>
      <c r="G78" s="92"/>
      <c r="H78" s="348"/>
      <c r="I78" s="348"/>
      <c r="J78" s="348"/>
      <c r="K78" s="348"/>
      <c r="L78" s="348"/>
      <c r="M78" s="349"/>
      <c r="N78" s="37"/>
    </row>
    <row r="79" spans="2:14" ht="12.75" customHeight="1" x14ac:dyDescent="0.2">
      <c r="B79" s="34"/>
      <c r="C79" s="91"/>
      <c r="D79" s="791" t="s">
        <v>145</v>
      </c>
      <c r="E79" s="116"/>
      <c r="F79" s="220"/>
      <c r="G79" s="92"/>
      <c r="H79" s="894">
        <f>SUM(H69:H77)</f>
        <v>0</v>
      </c>
      <c r="I79" s="894">
        <f>SUM(I69:I77)</f>
        <v>0</v>
      </c>
      <c r="J79" s="894">
        <f>SUM(J69:J77)</f>
        <v>0</v>
      </c>
      <c r="K79" s="894">
        <f>SUM(K69:K77)</f>
        <v>0</v>
      </c>
      <c r="L79" s="894">
        <f>SUM(L69:L77)</f>
        <v>0</v>
      </c>
      <c r="M79" s="349"/>
      <c r="N79" s="37"/>
    </row>
    <row r="80" spans="2:14" ht="12.75" customHeight="1" x14ac:dyDescent="0.2">
      <c r="B80" s="34"/>
      <c r="C80" s="91"/>
      <c r="D80" s="645"/>
      <c r="E80" s="116"/>
      <c r="F80" s="220"/>
      <c r="G80" s="92"/>
      <c r="H80" s="116"/>
      <c r="I80" s="116"/>
      <c r="J80" s="116"/>
      <c r="K80" s="97"/>
      <c r="L80" s="97"/>
      <c r="M80" s="349"/>
      <c r="N80" s="37"/>
    </row>
    <row r="81" spans="2:14" ht="12.75" customHeight="1" x14ac:dyDescent="0.2">
      <c r="B81" s="34"/>
      <c r="C81" s="35"/>
      <c r="D81" s="756"/>
      <c r="E81" s="59"/>
      <c r="F81" s="62"/>
      <c r="G81" s="35"/>
      <c r="H81" s="188"/>
      <c r="I81" s="188"/>
      <c r="J81" s="188"/>
      <c r="K81" s="36"/>
      <c r="L81" s="36"/>
      <c r="M81" s="35"/>
      <c r="N81" s="37"/>
    </row>
    <row r="82" spans="2:14" ht="12.75" customHeight="1" x14ac:dyDescent="0.2">
      <c r="B82" s="34"/>
      <c r="C82" s="91"/>
      <c r="D82" s="645"/>
      <c r="E82" s="116"/>
      <c r="F82" s="220"/>
      <c r="G82" s="92"/>
      <c r="H82" s="116"/>
      <c r="I82" s="116"/>
      <c r="J82" s="116"/>
      <c r="K82" s="97"/>
      <c r="L82" s="97"/>
      <c r="M82" s="349"/>
      <c r="N82" s="37"/>
    </row>
    <row r="83" spans="2:14" ht="12.75" customHeight="1" x14ac:dyDescent="0.2">
      <c r="B83" s="34"/>
      <c r="C83" s="91"/>
      <c r="D83" s="743" t="s">
        <v>61</v>
      </c>
      <c r="E83" s="116"/>
      <c r="F83" s="220"/>
      <c r="G83" s="92"/>
      <c r="H83" s="894">
        <f>H51+H63+H79</f>
        <v>99220.81</v>
      </c>
      <c r="I83" s="894">
        <f>I51+I63+I79</f>
        <v>84899.09</v>
      </c>
      <c r="J83" s="894">
        <f>J51+J63+J79</f>
        <v>84899.09</v>
      </c>
      <c r="K83" s="894">
        <f>K51+K63+K79</f>
        <v>84899.09</v>
      </c>
      <c r="L83" s="894">
        <f>L51+L63+L79</f>
        <v>84899.09</v>
      </c>
      <c r="M83" s="349"/>
      <c r="N83" s="37"/>
    </row>
    <row r="84" spans="2:14" ht="12.75" customHeight="1" x14ac:dyDescent="0.2">
      <c r="B84" s="34"/>
      <c r="C84" s="91"/>
      <c r="D84" s="645"/>
      <c r="E84" s="116"/>
      <c r="F84" s="220"/>
      <c r="G84" s="92"/>
      <c r="H84" s="116"/>
      <c r="I84" s="116"/>
      <c r="J84" s="116"/>
      <c r="K84" s="97"/>
      <c r="L84" s="97"/>
      <c r="M84" s="349"/>
      <c r="N84" s="37"/>
    </row>
    <row r="85" spans="2:14" ht="12.75" customHeight="1" x14ac:dyDescent="0.2">
      <c r="B85" s="34"/>
      <c r="C85" s="91"/>
      <c r="D85" s="645" t="s">
        <v>59</v>
      </c>
      <c r="E85" s="116"/>
      <c r="F85" s="220"/>
      <c r="G85" s="92"/>
      <c r="H85" s="888">
        <f>pers!H92</f>
        <v>0</v>
      </c>
      <c r="I85" s="888">
        <f>pers!I92</f>
        <v>0</v>
      </c>
      <c r="J85" s="888">
        <f>pers!J92</f>
        <v>0</v>
      </c>
      <c r="K85" s="888">
        <f>pers!K92</f>
        <v>0</v>
      </c>
      <c r="L85" s="888">
        <f>pers!L92</f>
        <v>0</v>
      </c>
      <c r="M85" s="349"/>
      <c r="N85" s="37"/>
    </row>
    <row r="86" spans="2:14" ht="12.75" customHeight="1" x14ac:dyDescent="0.2">
      <c r="B86" s="34"/>
      <c r="C86" s="91"/>
      <c r="D86" s="645" t="s">
        <v>56</v>
      </c>
      <c r="E86" s="116"/>
      <c r="F86" s="220"/>
      <c r="G86" s="92"/>
      <c r="H86" s="888">
        <f>persbel!H74</f>
        <v>0</v>
      </c>
      <c r="I86" s="888">
        <f>persbel!I74</f>
        <v>0</v>
      </c>
      <c r="J86" s="888">
        <f>persbel!J74</f>
        <v>0</v>
      </c>
      <c r="K86" s="888">
        <f>persbel!K74</f>
        <v>0</v>
      </c>
      <c r="L86" s="888">
        <f>persbel!L74</f>
        <v>0</v>
      </c>
      <c r="M86" s="349"/>
      <c r="N86" s="37"/>
    </row>
    <row r="87" spans="2:14" ht="12.75" customHeight="1" x14ac:dyDescent="0.2">
      <c r="B87" s="34"/>
      <c r="C87" s="91"/>
      <c r="D87" s="645" t="s">
        <v>60</v>
      </c>
      <c r="E87" s="116"/>
      <c r="F87" s="220"/>
      <c r="G87" s="92"/>
      <c r="H87" s="888">
        <f>pers!H90</f>
        <v>0</v>
      </c>
      <c r="I87" s="888">
        <f>pers!I90</f>
        <v>0</v>
      </c>
      <c r="J87" s="888">
        <f>pers!J90</f>
        <v>0</v>
      </c>
      <c r="K87" s="888">
        <f>pers!K90</f>
        <v>0</v>
      </c>
      <c r="L87" s="888">
        <f>pers!L90</f>
        <v>0</v>
      </c>
      <c r="M87" s="349"/>
      <c r="N87" s="37"/>
    </row>
    <row r="88" spans="2:14" ht="12.75" customHeight="1" x14ac:dyDescent="0.2">
      <c r="B88" s="34"/>
      <c r="C88" s="91"/>
      <c r="D88" s="645" t="s">
        <v>54</v>
      </c>
      <c r="E88" s="116"/>
      <c r="F88" s="220"/>
      <c r="G88" s="92"/>
      <c r="H88" s="888">
        <f>persbel!H72</f>
        <v>0</v>
      </c>
      <c r="I88" s="888">
        <f>persbel!I72</f>
        <v>0</v>
      </c>
      <c r="J88" s="888">
        <f>persbel!J72</f>
        <v>0</v>
      </c>
      <c r="K88" s="888">
        <f>persbel!K72</f>
        <v>0</v>
      </c>
      <c r="L88" s="888">
        <f>persbel!L72</f>
        <v>0</v>
      </c>
      <c r="M88" s="349"/>
      <c r="N88" s="37"/>
    </row>
    <row r="89" spans="2:14" ht="12.75" customHeight="1" x14ac:dyDescent="0.2">
      <c r="B89" s="34"/>
      <c r="C89" s="91"/>
      <c r="D89" s="645"/>
      <c r="E89" s="116"/>
      <c r="F89" s="220"/>
      <c r="G89" s="92"/>
      <c r="H89" s="116"/>
      <c r="I89" s="116"/>
      <c r="J89" s="116"/>
      <c r="K89" s="97"/>
      <c r="L89" s="97"/>
      <c r="M89" s="349"/>
      <c r="N89" s="37"/>
    </row>
    <row r="90" spans="2:14" ht="12.75" customHeight="1" x14ac:dyDescent="0.2">
      <c r="B90" s="34"/>
      <c r="C90" s="91"/>
      <c r="D90" s="772" t="s">
        <v>58</v>
      </c>
      <c r="E90" s="116"/>
      <c r="F90" s="220"/>
      <c r="G90" s="92"/>
      <c r="H90" s="893">
        <f>SUM(H83:H86)-SUM(H87:H88)</f>
        <v>99220.81</v>
      </c>
      <c r="I90" s="893">
        <f>SUM(I83:I86)-SUM(I87:I88)</f>
        <v>84899.09</v>
      </c>
      <c r="J90" s="893">
        <f>SUM(J83:J86)-SUM(J87:J88)</f>
        <v>84899.09</v>
      </c>
      <c r="K90" s="893">
        <f>SUM(K83:K86)-SUM(K87:K88)</f>
        <v>84899.09</v>
      </c>
      <c r="L90" s="893">
        <f>SUM(L83:L86)-SUM(L87:L88)</f>
        <v>84899.09</v>
      </c>
      <c r="M90" s="349"/>
      <c r="N90" s="37"/>
    </row>
    <row r="91" spans="2:14" ht="12.75" customHeight="1" x14ac:dyDescent="0.2">
      <c r="B91" s="34"/>
      <c r="C91" s="124"/>
      <c r="D91" s="783"/>
      <c r="E91" s="222"/>
      <c r="F91" s="281"/>
      <c r="G91" s="125"/>
      <c r="H91" s="222"/>
      <c r="I91" s="222"/>
      <c r="J91" s="222"/>
      <c r="K91" s="222"/>
      <c r="L91" s="222"/>
      <c r="M91" s="355"/>
      <c r="N91" s="37"/>
    </row>
    <row r="92" spans="2:14" ht="12.75" customHeight="1" x14ac:dyDescent="0.2">
      <c r="B92" s="34"/>
      <c r="C92" s="35"/>
      <c r="D92" s="756"/>
      <c r="E92" s="59"/>
      <c r="F92" s="60"/>
      <c r="G92" s="35"/>
      <c r="H92" s="59"/>
      <c r="I92" s="59"/>
      <c r="J92" s="59"/>
      <c r="K92" s="59"/>
      <c r="L92" s="59"/>
      <c r="M92" s="182"/>
      <c r="N92" s="37"/>
    </row>
    <row r="93" spans="2:14" ht="12.75" customHeight="1" x14ac:dyDescent="0.25">
      <c r="B93" s="68"/>
      <c r="C93" s="69"/>
      <c r="D93" s="794"/>
      <c r="E93" s="183"/>
      <c r="F93" s="184"/>
      <c r="G93" s="69"/>
      <c r="H93" s="183"/>
      <c r="I93" s="183"/>
      <c r="J93" s="183"/>
      <c r="K93" s="183"/>
      <c r="L93" s="183"/>
      <c r="M93" s="72" t="s">
        <v>388</v>
      </c>
      <c r="N93" s="85"/>
    </row>
    <row r="94" spans="2:14" ht="12.75" customHeight="1" x14ac:dyDescent="0.2">
      <c r="B94" s="30"/>
      <c r="C94" s="31"/>
      <c r="D94" s="770"/>
      <c r="E94" s="185"/>
      <c r="F94" s="186"/>
      <c r="G94" s="31"/>
      <c r="H94" s="185"/>
      <c r="I94" s="185"/>
      <c r="J94" s="185"/>
      <c r="K94" s="185"/>
      <c r="L94" s="185"/>
      <c r="M94" s="187"/>
      <c r="N94" s="33"/>
    </row>
    <row r="95" spans="2:14" ht="12.75" customHeight="1" x14ac:dyDescent="0.2">
      <c r="B95" s="34"/>
      <c r="C95" s="35"/>
      <c r="D95" s="756"/>
      <c r="E95" s="59"/>
      <c r="F95" s="60"/>
      <c r="G95" s="35"/>
      <c r="H95" s="59"/>
      <c r="I95" s="59"/>
      <c r="J95" s="59"/>
      <c r="K95" s="59"/>
      <c r="L95" s="59"/>
      <c r="M95" s="182"/>
      <c r="N95" s="37"/>
    </row>
    <row r="96" spans="2:14" ht="12.75" customHeight="1" x14ac:dyDescent="0.2">
      <c r="B96" s="34"/>
      <c r="C96" s="35"/>
      <c r="D96" s="756"/>
      <c r="E96" s="59"/>
      <c r="F96" s="60"/>
      <c r="G96" s="35"/>
      <c r="H96" s="752">
        <f>H8</f>
        <v>2016</v>
      </c>
      <c r="I96" s="752">
        <f>I8</f>
        <v>2017</v>
      </c>
      <c r="J96" s="752">
        <f>J8</f>
        <v>2018</v>
      </c>
      <c r="K96" s="752">
        <f>K8</f>
        <v>2019</v>
      </c>
      <c r="L96" s="752">
        <f>L8</f>
        <v>2020</v>
      </c>
      <c r="M96" s="182"/>
      <c r="N96" s="37"/>
    </row>
    <row r="97" spans="2:14" ht="12.75" customHeight="1" x14ac:dyDescent="0.2">
      <c r="B97" s="34"/>
      <c r="C97" s="35"/>
      <c r="D97" s="756"/>
      <c r="E97" s="59"/>
      <c r="F97" s="60"/>
      <c r="G97" s="35"/>
      <c r="H97" s="59"/>
      <c r="I97" s="59"/>
      <c r="J97" s="59"/>
      <c r="K97" s="59"/>
      <c r="L97" s="59"/>
      <c r="M97" s="182"/>
      <c r="N97" s="37"/>
    </row>
    <row r="98" spans="2:14" ht="12.75" customHeight="1" x14ac:dyDescent="0.2">
      <c r="B98" s="34"/>
      <c r="C98" s="86"/>
      <c r="D98" s="771"/>
      <c r="E98" s="356"/>
      <c r="F98" s="144"/>
      <c r="G98" s="87"/>
      <c r="H98" s="89"/>
      <c r="I98" s="89"/>
      <c r="J98" s="89"/>
      <c r="K98" s="339"/>
      <c r="L98" s="339"/>
      <c r="M98" s="128"/>
      <c r="N98" s="37"/>
    </row>
    <row r="99" spans="2:14" s="165" customFormat="1" ht="12.75" customHeight="1" x14ac:dyDescent="0.2">
      <c r="B99" s="210"/>
      <c r="C99" s="225"/>
      <c r="D99" s="880" t="s">
        <v>141</v>
      </c>
      <c r="E99" s="142"/>
      <c r="F99" s="808" t="s">
        <v>320</v>
      </c>
      <c r="G99" s="142"/>
      <c r="H99" s="380"/>
      <c r="I99" s="380"/>
      <c r="J99" s="380"/>
      <c r="K99" s="380"/>
      <c r="L99" s="380"/>
      <c r="M99" s="228"/>
      <c r="N99" s="212"/>
    </row>
    <row r="100" spans="2:14" ht="12.75" customHeight="1" x14ac:dyDescent="0.2">
      <c r="B100" s="34"/>
      <c r="C100" s="91"/>
      <c r="D100" s="869"/>
      <c r="E100" s="92"/>
      <c r="F100" s="115"/>
      <c r="G100" s="92"/>
      <c r="H100" s="357"/>
      <c r="I100" s="357"/>
      <c r="J100" s="357"/>
      <c r="K100" s="97"/>
      <c r="L100" s="97"/>
      <c r="M100" s="98"/>
      <c r="N100" s="37"/>
    </row>
    <row r="101" spans="2:14" ht="12.75" customHeight="1" x14ac:dyDescent="0.2">
      <c r="B101" s="34"/>
      <c r="C101" s="91"/>
      <c r="D101" s="778" t="s">
        <v>134</v>
      </c>
      <c r="E101" s="92"/>
      <c r="F101" s="540"/>
      <c r="G101" s="92"/>
      <c r="H101" s="890">
        <f>act!F34+act!F42</f>
        <v>0</v>
      </c>
      <c r="I101" s="890">
        <f>act!G34+act!G42</f>
        <v>0</v>
      </c>
      <c r="J101" s="890">
        <f>act!H34+act!H42</f>
        <v>0</v>
      </c>
      <c r="K101" s="890">
        <f>act!I34+act!I42</f>
        <v>0</v>
      </c>
      <c r="L101" s="890">
        <f>act!J34+act!J42</f>
        <v>0</v>
      </c>
      <c r="M101" s="98"/>
      <c r="N101" s="37"/>
    </row>
    <row r="102" spans="2:14" ht="12.75" customHeight="1" x14ac:dyDescent="0.2">
      <c r="B102" s="34"/>
      <c r="C102" s="91"/>
      <c r="D102" s="778" t="s">
        <v>135</v>
      </c>
      <c r="E102" s="92"/>
      <c r="F102" s="540"/>
      <c r="G102" s="92"/>
      <c r="H102" s="890">
        <f>act!F35+act!F43</f>
        <v>0</v>
      </c>
      <c r="I102" s="890">
        <f>act!G35+act!G43</f>
        <v>0</v>
      </c>
      <c r="J102" s="890">
        <f>act!H35+act!H43</f>
        <v>0</v>
      </c>
      <c r="K102" s="890">
        <f>act!I35+act!I43</f>
        <v>0</v>
      </c>
      <c r="L102" s="890">
        <f>act!J35+act!J43</f>
        <v>0</v>
      </c>
      <c r="M102" s="98"/>
      <c r="N102" s="37"/>
    </row>
    <row r="103" spans="2:14" ht="12.75" customHeight="1" x14ac:dyDescent="0.2">
      <c r="B103" s="34"/>
      <c r="C103" s="91"/>
      <c r="D103" s="870" t="s">
        <v>324</v>
      </c>
      <c r="E103" s="92"/>
      <c r="F103" s="540"/>
      <c r="G103" s="92"/>
      <c r="H103" s="890">
        <f>act!F36+act!F44</f>
        <v>0</v>
      </c>
      <c r="I103" s="890">
        <f>act!G36+act!G44</f>
        <v>0</v>
      </c>
      <c r="J103" s="890">
        <f>act!H36+act!H44</f>
        <v>0</v>
      </c>
      <c r="K103" s="890">
        <f>act!I36+act!I44</f>
        <v>0</v>
      </c>
      <c r="L103" s="890">
        <f>act!J36+act!J44</f>
        <v>0</v>
      </c>
      <c r="M103" s="98"/>
      <c r="N103" s="37"/>
    </row>
    <row r="104" spans="2:14" ht="12.75" customHeight="1" x14ac:dyDescent="0.2">
      <c r="B104" s="34"/>
      <c r="C104" s="91"/>
      <c r="D104" s="870" t="s">
        <v>325</v>
      </c>
      <c r="E104" s="92"/>
      <c r="F104" s="540"/>
      <c r="G104" s="92"/>
      <c r="H104" s="890">
        <f>act!F37+act!F45</f>
        <v>0</v>
      </c>
      <c r="I104" s="890">
        <f>act!G37+act!G45</f>
        <v>0</v>
      </c>
      <c r="J104" s="890">
        <f>act!H37+act!H45</f>
        <v>0</v>
      </c>
      <c r="K104" s="890">
        <f>act!I37+act!I45</f>
        <v>0</v>
      </c>
      <c r="L104" s="890">
        <f>act!J37+act!J45</f>
        <v>0</v>
      </c>
      <c r="M104" s="98"/>
      <c r="N104" s="37"/>
    </row>
    <row r="105" spans="2:14" ht="12.75" customHeight="1" x14ac:dyDescent="0.2">
      <c r="B105" s="34"/>
      <c r="C105" s="91"/>
      <c r="D105" s="778" t="s">
        <v>142</v>
      </c>
      <c r="E105" s="92"/>
      <c r="F105" s="540"/>
      <c r="G105" s="92"/>
      <c r="H105" s="890">
        <f>act!F38+act!F46</f>
        <v>0</v>
      </c>
      <c r="I105" s="890">
        <f>act!G38+act!G46</f>
        <v>0</v>
      </c>
      <c r="J105" s="890">
        <f>act!H38+act!H46</f>
        <v>0</v>
      </c>
      <c r="K105" s="890">
        <f>act!I38+act!I46</f>
        <v>0</v>
      </c>
      <c r="L105" s="890">
        <f>act!J38+act!J46</f>
        <v>0</v>
      </c>
      <c r="M105" s="98"/>
      <c r="N105" s="37"/>
    </row>
    <row r="106" spans="2:14" ht="12.75" customHeight="1" x14ac:dyDescent="0.2">
      <c r="B106" s="34"/>
      <c r="C106" s="91"/>
      <c r="D106" s="778" t="s">
        <v>136</v>
      </c>
      <c r="E106" s="92"/>
      <c r="F106" s="540"/>
      <c r="G106" s="92"/>
      <c r="H106" s="890">
        <f>act!F39+act!F47</f>
        <v>0</v>
      </c>
      <c r="I106" s="890">
        <f>act!G39+act!G47</f>
        <v>0</v>
      </c>
      <c r="J106" s="890">
        <f>act!H39+act!H47</f>
        <v>0</v>
      </c>
      <c r="K106" s="890">
        <f>act!I39+act!I47</f>
        <v>0</v>
      </c>
      <c r="L106" s="890">
        <f>act!J39+act!J47</f>
        <v>0</v>
      </c>
      <c r="M106" s="98"/>
      <c r="N106" s="37"/>
    </row>
    <row r="107" spans="2:14" ht="12.75" customHeight="1" x14ac:dyDescent="0.2">
      <c r="B107" s="34"/>
      <c r="C107" s="91"/>
      <c r="D107" s="645"/>
      <c r="E107" s="92"/>
      <c r="F107" s="115"/>
      <c r="G107" s="92"/>
      <c r="H107" s="358"/>
      <c r="I107" s="358"/>
      <c r="J107" s="358"/>
      <c r="K107" s="97"/>
      <c r="L107" s="97"/>
      <c r="M107" s="98"/>
      <c r="N107" s="37"/>
    </row>
    <row r="108" spans="2:14" ht="12.75" customHeight="1" x14ac:dyDescent="0.2">
      <c r="B108" s="34"/>
      <c r="C108" s="91"/>
      <c r="D108" s="871" t="s">
        <v>180</v>
      </c>
      <c r="E108" s="92"/>
      <c r="F108" s="115"/>
      <c r="G108" s="92"/>
      <c r="H108" s="891">
        <f>SUM(H101:H106)</f>
        <v>0</v>
      </c>
      <c r="I108" s="891">
        <f>SUM(I101:I106)</f>
        <v>0</v>
      </c>
      <c r="J108" s="891">
        <f>SUM(J101:J106)</f>
        <v>0</v>
      </c>
      <c r="K108" s="891">
        <f>SUM(K101:K106)</f>
        <v>0</v>
      </c>
      <c r="L108" s="891">
        <f>SUM(L101:L106)</f>
        <v>0</v>
      </c>
      <c r="M108" s="98"/>
      <c r="N108" s="37"/>
    </row>
    <row r="109" spans="2:14" ht="12.75" customHeight="1" x14ac:dyDescent="0.2">
      <c r="B109" s="34"/>
      <c r="C109" s="91"/>
      <c r="D109" s="645"/>
      <c r="E109" s="297"/>
      <c r="F109" s="115"/>
      <c r="G109" s="92"/>
      <c r="H109" s="95"/>
      <c r="I109" s="95"/>
      <c r="J109" s="95"/>
      <c r="K109" s="95"/>
      <c r="L109" s="95"/>
      <c r="M109" s="98"/>
      <c r="N109" s="37"/>
    </row>
    <row r="110" spans="2:14" ht="12.75" customHeight="1" x14ac:dyDescent="0.2">
      <c r="B110" s="34"/>
      <c r="C110" s="35"/>
      <c r="D110" s="756"/>
      <c r="E110" s="59"/>
      <c r="F110" s="62"/>
      <c r="G110" s="35"/>
      <c r="H110" s="188"/>
      <c r="I110" s="188"/>
      <c r="J110" s="188"/>
      <c r="K110" s="36"/>
      <c r="L110" s="36"/>
      <c r="M110" s="35"/>
      <c r="N110" s="37"/>
    </row>
    <row r="111" spans="2:14" ht="12.75" customHeight="1" x14ac:dyDescent="0.2">
      <c r="B111" s="34"/>
      <c r="C111" s="91"/>
      <c r="D111" s="645"/>
      <c r="E111" s="92"/>
      <c r="F111" s="115"/>
      <c r="G111" s="92"/>
      <c r="H111" s="358"/>
      <c r="I111" s="358"/>
      <c r="J111" s="358"/>
      <c r="K111" s="97"/>
      <c r="L111" s="97"/>
      <c r="M111" s="98"/>
      <c r="N111" s="37"/>
    </row>
    <row r="112" spans="2:14" s="165" customFormat="1" ht="12.75" customHeight="1" x14ac:dyDescent="0.2">
      <c r="B112" s="210"/>
      <c r="C112" s="225"/>
      <c r="D112" s="743" t="s">
        <v>161</v>
      </c>
      <c r="E112" s="142"/>
      <c r="F112" s="808" t="s">
        <v>320</v>
      </c>
      <c r="G112" s="142"/>
      <c r="H112" s="380"/>
      <c r="I112" s="380"/>
      <c r="J112" s="380"/>
      <c r="K112" s="380"/>
      <c r="L112" s="380"/>
      <c r="M112" s="228"/>
      <c r="N112" s="212"/>
    </row>
    <row r="113" spans="2:16" ht="12.75" customHeight="1" x14ac:dyDescent="0.2">
      <c r="B113" s="34"/>
      <c r="C113" s="91"/>
      <c r="D113" s="776"/>
      <c r="E113" s="92"/>
      <c r="F113" s="115"/>
      <c r="G113" s="92"/>
      <c r="H113" s="360"/>
      <c r="I113" s="360"/>
      <c r="J113" s="360"/>
      <c r="K113" s="97"/>
      <c r="L113" s="97"/>
      <c r="M113" s="98"/>
      <c r="N113" s="37"/>
      <c r="P113" s="166"/>
    </row>
    <row r="114" spans="2:16" ht="12.75" customHeight="1" x14ac:dyDescent="0.2">
      <c r="B114" s="34"/>
      <c r="C114" s="91"/>
      <c r="D114" s="872" t="s">
        <v>53</v>
      </c>
      <c r="E114" s="92"/>
      <c r="F114" s="540"/>
      <c r="G114" s="92"/>
      <c r="H114" s="889">
        <f>mop!F17</f>
        <v>0</v>
      </c>
      <c r="I114" s="889">
        <f>mop!G17</f>
        <v>0</v>
      </c>
      <c r="J114" s="889">
        <f>mop!H17</f>
        <v>0</v>
      </c>
      <c r="K114" s="889">
        <f>mop!I17</f>
        <v>0</v>
      </c>
      <c r="L114" s="889">
        <f>mop!J17</f>
        <v>0</v>
      </c>
      <c r="M114" s="98"/>
      <c r="N114" s="37"/>
    </row>
    <row r="115" spans="2:16" ht="12.75" customHeight="1" x14ac:dyDescent="0.2">
      <c r="B115" s="34"/>
      <c r="C115" s="91"/>
      <c r="D115" s="873"/>
      <c r="E115" s="92"/>
      <c r="F115" s="540"/>
      <c r="G115" s="92"/>
      <c r="H115" s="533">
        <v>0</v>
      </c>
      <c r="I115" s="533">
        <f t="shared" ref="I115:K119" si="18">H115</f>
        <v>0</v>
      </c>
      <c r="J115" s="533">
        <f t="shared" si="18"/>
        <v>0</v>
      </c>
      <c r="K115" s="533">
        <f t="shared" si="18"/>
        <v>0</v>
      </c>
      <c r="L115" s="533">
        <f t="shared" ref="L115:L123" si="19">K115</f>
        <v>0</v>
      </c>
      <c r="M115" s="98"/>
      <c r="N115" s="37"/>
    </row>
    <row r="116" spans="2:16" ht="12.75" customHeight="1" x14ac:dyDescent="0.2">
      <c r="B116" s="34"/>
      <c r="C116" s="91"/>
      <c r="D116" s="775"/>
      <c r="E116" s="92"/>
      <c r="F116" s="540"/>
      <c r="G116" s="92"/>
      <c r="H116" s="533">
        <v>0</v>
      </c>
      <c r="I116" s="533">
        <f t="shared" si="18"/>
        <v>0</v>
      </c>
      <c r="J116" s="533">
        <f t="shared" si="18"/>
        <v>0</v>
      </c>
      <c r="K116" s="533">
        <f t="shared" si="18"/>
        <v>0</v>
      </c>
      <c r="L116" s="533">
        <f t="shared" si="19"/>
        <v>0</v>
      </c>
      <c r="M116" s="98"/>
      <c r="N116" s="37"/>
    </row>
    <row r="117" spans="2:16" ht="12.75" customHeight="1" x14ac:dyDescent="0.2">
      <c r="B117" s="34"/>
      <c r="C117" s="91"/>
      <c r="D117" s="775"/>
      <c r="E117" s="92"/>
      <c r="F117" s="540"/>
      <c r="G117" s="92"/>
      <c r="H117" s="533">
        <v>0</v>
      </c>
      <c r="I117" s="533">
        <f t="shared" si="18"/>
        <v>0</v>
      </c>
      <c r="J117" s="533">
        <f t="shared" si="18"/>
        <v>0</v>
      </c>
      <c r="K117" s="533">
        <f t="shared" si="18"/>
        <v>0</v>
      </c>
      <c r="L117" s="533">
        <f t="shared" si="19"/>
        <v>0</v>
      </c>
      <c r="M117" s="98"/>
      <c r="N117" s="37"/>
    </row>
    <row r="118" spans="2:16" ht="12.75" customHeight="1" x14ac:dyDescent="0.2">
      <c r="B118" s="34"/>
      <c r="C118" s="91"/>
      <c r="D118" s="775"/>
      <c r="E118" s="92"/>
      <c r="F118" s="540"/>
      <c r="G118" s="92"/>
      <c r="H118" s="533">
        <v>0</v>
      </c>
      <c r="I118" s="533">
        <f t="shared" si="18"/>
        <v>0</v>
      </c>
      <c r="J118" s="533">
        <f t="shared" si="18"/>
        <v>0</v>
      </c>
      <c r="K118" s="533">
        <f t="shared" si="18"/>
        <v>0</v>
      </c>
      <c r="L118" s="533">
        <f t="shared" si="19"/>
        <v>0</v>
      </c>
      <c r="M118" s="98"/>
      <c r="N118" s="37"/>
    </row>
    <row r="119" spans="2:16" ht="12.75" customHeight="1" x14ac:dyDescent="0.2">
      <c r="B119" s="34"/>
      <c r="C119" s="91"/>
      <c r="D119" s="775"/>
      <c r="E119" s="92"/>
      <c r="F119" s="540"/>
      <c r="G119" s="92"/>
      <c r="H119" s="533">
        <v>0</v>
      </c>
      <c r="I119" s="533">
        <f t="shared" si="18"/>
        <v>0</v>
      </c>
      <c r="J119" s="533">
        <f t="shared" si="18"/>
        <v>0</v>
      </c>
      <c r="K119" s="533">
        <f t="shared" si="18"/>
        <v>0</v>
      </c>
      <c r="L119" s="533">
        <f t="shared" si="19"/>
        <v>0</v>
      </c>
      <c r="M119" s="98"/>
      <c r="N119" s="37"/>
    </row>
    <row r="120" spans="2:16" ht="12.75" customHeight="1" x14ac:dyDescent="0.2">
      <c r="B120" s="34"/>
      <c r="C120" s="91"/>
      <c r="D120" s="775"/>
      <c r="E120" s="92"/>
      <c r="F120" s="540"/>
      <c r="G120" s="92"/>
      <c r="H120" s="533">
        <v>0</v>
      </c>
      <c r="I120" s="533">
        <f t="shared" ref="I120:K123" si="20">H120</f>
        <v>0</v>
      </c>
      <c r="J120" s="533">
        <f t="shared" si="20"/>
        <v>0</v>
      </c>
      <c r="K120" s="533">
        <f t="shared" si="20"/>
        <v>0</v>
      </c>
      <c r="L120" s="533">
        <f t="shared" si="19"/>
        <v>0</v>
      </c>
      <c r="M120" s="98"/>
      <c r="N120" s="37"/>
    </row>
    <row r="121" spans="2:16" ht="12.75" customHeight="1" x14ac:dyDescent="0.2">
      <c r="B121" s="34"/>
      <c r="C121" s="91"/>
      <c r="D121" s="775"/>
      <c r="E121" s="92"/>
      <c r="F121" s="540"/>
      <c r="G121" s="92"/>
      <c r="H121" s="533">
        <v>0</v>
      </c>
      <c r="I121" s="533">
        <f t="shared" si="20"/>
        <v>0</v>
      </c>
      <c r="J121" s="533">
        <f t="shared" si="20"/>
        <v>0</v>
      </c>
      <c r="K121" s="533">
        <f t="shared" si="20"/>
        <v>0</v>
      </c>
      <c r="L121" s="533">
        <f t="shared" si="19"/>
        <v>0</v>
      </c>
      <c r="M121" s="98"/>
      <c r="N121" s="37"/>
    </row>
    <row r="122" spans="2:16" ht="12.75" customHeight="1" x14ac:dyDescent="0.2">
      <c r="B122" s="34"/>
      <c r="C122" s="91"/>
      <c r="D122" s="775"/>
      <c r="E122" s="92"/>
      <c r="F122" s="540"/>
      <c r="G122" s="92"/>
      <c r="H122" s="533">
        <v>0</v>
      </c>
      <c r="I122" s="533">
        <f t="shared" si="20"/>
        <v>0</v>
      </c>
      <c r="J122" s="533">
        <f t="shared" si="20"/>
        <v>0</v>
      </c>
      <c r="K122" s="533">
        <f t="shared" si="20"/>
        <v>0</v>
      </c>
      <c r="L122" s="533">
        <f t="shared" si="19"/>
        <v>0</v>
      </c>
      <c r="M122" s="98"/>
      <c r="N122" s="37"/>
    </row>
    <row r="123" spans="2:16" ht="12.75" customHeight="1" x14ac:dyDescent="0.2">
      <c r="B123" s="34"/>
      <c r="C123" s="91"/>
      <c r="D123" s="775"/>
      <c r="E123" s="92"/>
      <c r="F123" s="540"/>
      <c r="G123" s="92"/>
      <c r="H123" s="533">
        <v>0</v>
      </c>
      <c r="I123" s="533">
        <f t="shared" si="20"/>
        <v>0</v>
      </c>
      <c r="J123" s="533">
        <f t="shared" si="20"/>
        <v>0</v>
      </c>
      <c r="K123" s="533">
        <f t="shared" si="20"/>
        <v>0</v>
      </c>
      <c r="L123" s="533">
        <f t="shared" si="19"/>
        <v>0</v>
      </c>
      <c r="M123" s="98"/>
      <c r="N123" s="37"/>
    </row>
    <row r="124" spans="2:16" ht="12.75" customHeight="1" x14ac:dyDescent="0.2">
      <c r="B124" s="34"/>
      <c r="C124" s="91"/>
      <c r="D124" s="645"/>
      <c r="E124" s="92"/>
      <c r="F124" s="115"/>
      <c r="G124" s="92"/>
      <c r="H124" s="358"/>
      <c r="I124" s="358"/>
      <c r="J124" s="358"/>
      <c r="K124" s="97"/>
      <c r="L124" s="97"/>
      <c r="M124" s="98"/>
      <c r="N124" s="37"/>
    </row>
    <row r="125" spans="2:16" ht="12.75" customHeight="1" x14ac:dyDescent="0.2">
      <c r="B125" s="34"/>
      <c r="C125" s="91"/>
      <c r="D125" s="871" t="s">
        <v>180</v>
      </c>
      <c r="E125" s="92"/>
      <c r="F125" s="115"/>
      <c r="G125" s="92"/>
      <c r="H125" s="892">
        <f>SUM(H114:H123)</f>
        <v>0</v>
      </c>
      <c r="I125" s="892">
        <f>SUM(I114:I123)</f>
        <v>0</v>
      </c>
      <c r="J125" s="892">
        <f>SUM(J114:J123)</f>
        <v>0</v>
      </c>
      <c r="K125" s="892">
        <f>SUM(K114:K123)</f>
        <v>0</v>
      </c>
      <c r="L125" s="892">
        <f>SUM(L114:L123)</f>
        <v>0</v>
      </c>
      <c r="M125" s="98"/>
      <c r="N125" s="37"/>
    </row>
    <row r="126" spans="2:16" ht="12.75" customHeight="1" x14ac:dyDescent="0.2">
      <c r="B126" s="34"/>
      <c r="C126" s="91"/>
      <c r="D126" s="868"/>
      <c r="E126" s="92"/>
      <c r="F126" s="115"/>
      <c r="G126" s="92"/>
      <c r="H126" s="357"/>
      <c r="I126" s="357"/>
      <c r="J126" s="357"/>
      <c r="K126" s="97"/>
      <c r="L126" s="97"/>
      <c r="M126" s="98"/>
      <c r="N126" s="37"/>
    </row>
    <row r="127" spans="2:16" ht="12.75" customHeight="1" x14ac:dyDescent="0.2">
      <c r="B127" s="34"/>
      <c r="C127" s="35"/>
      <c r="D127" s="756"/>
      <c r="E127" s="59"/>
      <c r="F127" s="62"/>
      <c r="G127" s="35"/>
      <c r="H127" s="188"/>
      <c r="I127" s="188"/>
      <c r="J127" s="188"/>
      <c r="K127" s="36"/>
      <c r="L127" s="36"/>
      <c r="M127" s="35"/>
      <c r="N127" s="37"/>
    </row>
    <row r="128" spans="2:16" ht="12.75" customHeight="1" x14ac:dyDescent="0.2">
      <c r="B128" s="34"/>
      <c r="C128" s="91"/>
      <c r="D128" s="772"/>
      <c r="E128" s="103"/>
      <c r="F128" s="115"/>
      <c r="G128" s="92"/>
      <c r="H128" s="97"/>
      <c r="I128" s="342"/>
      <c r="J128" s="342"/>
      <c r="K128" s="97"/>
      <c r="L128" s="97"/>
      <c r="M128" s="98"/>
      <c r="N128" s="37"/>
    </row>
    <row r="129" spans="2:16" s="165" customFormat="1" ht="12.75" customHeight="1" x14ac:dyDescent="0.2">
      <c r="B129" s="373"/>
      <c r="C129" s="374"/>
      <c r="D129" s="743" t="s">
        <v>355</v>
      </c>
      <c r="E129" s="379"/>
      <c r="F129" s="808" t="s">
        <v>320</v>
      </c>
      <c r="G129" s="142"/>
      <c r="H129" s="380"/>
      <c r="I129" s="380"/>
      <c r="J129" s="380"/>
      <c r="K129" s="380"/>
      <c r="L129" s="380"/>
      <c r="M129" s="228"/>
      <c r="N129" s="212"/>
    </row>
    <row r="130" spans="2:16" ht="12.75" customHeight="1" x14ac:dyDescent="0.2">
      <c r="B130" s="58"/>
      <c r="C130" s="105"/>
      <c r="D130" s="772"/>
      <c r="E130" s="362"/>
      <c r="F130" s="115"/>
      <c r="G130" s="92"/>
      <c r="H130" s="359"/>
      <c r="I130" s="359"/>
      <c r="J130" s="359"/>
      <c r="K130" s="97"/>
      <c r="L130" s="97"/>
      <c r="M130" s="98"/>
      <c r="N130" s="37"/>
    </row>
    <row r="131" spans="2:16" ht="12.75" customHeight="1" x14ac:dyDescent="0.2">
      <c r="B131" s="34"/>
      <c r="C131" s="91"/>
      <c r="D131" s="873"/>
      <c r="E131" s="361"/>
      <c r="F131" s="540"/>
      <c r="G131" s="92"/>
      <c r="H131" s="533">
        <v>0</v>
      </c>
      <c r="I131" s="534">
        <f t="shared" ref="I131:J138" si="21">H131</f>
        <v>0</v>
      </c>
      <c r="J131" s="534">
        <f t="shared" si="21"/>
        <v>0</v>
      </c>
      <c r="K131" s="534">
        <f t="shared" ref="K131:L145" si="22">J131</f>
        <v>0</v>
      </c>
      <c r="L131" s="534">
        <f t="shared" si="22"/>
        <v>0</v>
      </c>
      <c r="M131" s="98"/>
      <c r="N131" s="37"/>
      <c r="P131" s="166"/>
    </row>
    <row r="132" spans="2:16" ht="12.75" customHeight="1" x14ac:dyDescent="0.2">
      <c r="B132" s="34"/>
      <c r="C132" s="91"/>
      <c r="D132" s="873"/>
      <c r="E132" s="361"/>
      <c r="F132" s="540"/>
      <c r="G132" s="92"/>
      <c r="H132" s="533">
        <v>0</v>
      </c>
      <c r="I132" s="534">
        <f t="shared" si="21"/>
        <v>0</v>
      </c>
      <c r="J132" s="534">
        <f t="shared" si="21"/>
        <v>0</v>
      </c>
      <c r="K132" s="534">
        <f t="shared" si="22"/>
        <v>0</v>
      </c>
      <c r="L132" s="534">
        <f t="shared" si="22"/>
        <v>0</v>
      </c>
      <c r="M132" s="98"/>
      <c r="N132" s="37"/>
      <c r="P132" s="166"/>
    </row>
    <row r="133" spans="2:16" ht="12.75" customHeight="1" x14ac:dyDescent="0.2">
      <c r="B133" s="34"/>
      <c r="C133" s="91"/>
      <c r="D133" s="873"/>
      <c r="E133" s="361"/>
      <c r="F133" s="540"/>
      <c r="G133" s="92"/>
      <c r="H133" s="533">
        <v>0</v>
      </c>
      <c r="I133" s="534">
        <f t="shared" si="21"/>
        <v>0</v>
      </c>
      <c r="J133" s="534">
        <f t="shared" si="21"/>
        <v>0</v>
      </c>
      <c r="K133" s="534">
        <f t="shared" si="22"/>
        <v>0</v>
      </c>
      <c r="L133" s="534">
        <f t="shared" si="22"/>
        <v>0</v>
      </c>
      <c r="M133" s="98"/>
      <c r="N133" s="37"/>
      <c r="P133" s="166"/>
    </row>
    <row r="134" spans="2:16" ht="12.75" customHeight="1" x14ac:dyDescent="0.2">
      <c r="B134" s="34"/>
      <c r="C134" s="91"/>
      <c r="D134" s="873"/>
      <c r="E134" s="361"/>
      <c r="F134" s="540"/>
      <c r="G134" s="92"/>
      <c r="H134" s="533">
        <v>0</v>
      </c>
      <c r="I134" s="534">
        <f t="shared" si="21"/>
        <v>0</v>
      </c>
      <c r="J134" s="534">
        <f t="shared" si="21"/>
        <v>0</v>
      </c>
      <c r="K134" s="534">
        <f t="shared" si="22"/>
        <v>0</v>
      </c>
      <c r="L134" s="534">
        <f t="shared" si="22"/>
        <v>0</v>
      </c>
      <c r="M134" s="98"/>
      <c r="N134" s="37"/>
      <c r="P134" s="166"/>
    </row>
    <row r="135" spans="2:16" ht="12.75" customHeight="1" x14ac:dyDescent="0.2">
      <c r="B135" s="34"/>
      <c r="C135" s="91"/>
      <c r="D135" s="873"/>
      <c r="E135" s="361"/>
      <c r="F135" s="540"/>
      <c r="G135" s="92"/>
      <c r="H135" s="533">
        <v>0</v>
      </c>
      <c r="I135" s="534">
        <f t="shared" si="21"/>
        <v>0</v>
      </c>
      <c r="J135" s="534">
        <f t="shared" si="21"/>
        <v>0</v>
      </c>
      <c r="K135" s="534">
        <f t="shared" si="22"/>
        <v>0</v>
      </c>
      <c r="L135" s="534">
        <f t="shared" si="22"/>
        <v>0</v>
      </c>
      <c r="M135" s="98"/>
      <c r="N135" s="37"/>
      <c r="P135" s="166"/>
    </row>
    <row r="136" spans="2:16" ht="12.75" customHeight="1" x14ac:dyDescent="0.2">
      <c r="B136" s="34"/>
      <c r="C136" s="91"/>
      <c r="D136" s="873"/>
      <c r="E136" s="361"/>
      <c r="F136" s="540"/>
      <c r="G136" s="92"/>
      <c r="H136" s="533">
        <v>0</v>
      </c>
      <c r="I136" s="534">
        <f t="shared" si="21"/>
        <v>0</v>
      </c>
      <c r="J136" s="534">
        <f t="shared" si="21"/>
        <v>0</v>
      </c>
      <c r="K136" s="534">
        <f t="shared" si="22"/>
        <v>0</v>
      </c>
      <c r="L136" s="534">
        <f t="shared" si="22"/>
        <v>0</v>
      </c>
      <c r="M136" s="98"/>
      <c r="N136" s="37"/>
      <c r="P136" s="166"/>
    </row>
    <row r="137" spans="2:16" ht="12.75" customHeight="1" x14ac:dyDescent="0.2">
      <c r="B137" s="34"/>
      <c r="C137" s="91"/>
      <c r="D137" s="873"/>
      <c r="E137" s="361"/>
      <c r="F137" s="540"/>
      <c r="G137" s="92"/>
      <c r="H137" s="533">
        <v>0</v>
      </c>
      <c r="I137" s="534">
        <f t="shared" si="21"/>
        <v>0</v>
      </c>
      <c r="J137" s="534">
        <f t="shared" si="21"/>
        <v>0</v>
      </c>
      <c r="K137" s="534">
        <f t="shared" si="22"/>
        <v>0</v>
      </c>
      <c r="L137" s="534">
        <f t="shared" si="22"/>
        <v>0</v>
      </c>
      <c r="M137" s="98"/>
      <c r="N137" s="37"/>
      <c r="P137" s="166"/>
    </row>
    <row r="138" spans="2:16" ht="12.75" customHeight="1" x14ac:dyDescent="0.2">
      <c r="B138" s="34"/>
      <c r="C138" s="91"/>
      <c r="D138" s="873"/>
      <c r="E138" s="361"/>
      <c r="F138" s="540"/>
      <c r="G138" s="92"/>
      <c r="H138" s="533">
        <v>0</v>
      </c>
      <c r="I138" s="534">
        <f t="shared" si="21"/>
        <v>0</v>
      </c>
      <c r="J138" s="534">
        <f t="shared" si="21"/>
        <v>0</v>
      </c>
      <c r="K138" s="534">
        <f t="shared" si="22"/>
        <v>0</v>
      </c>
      <c r="L138" s="534">
        <f t="shared" si="22"/>
        <v>0</v>
      </c>
      <c r="M138" s="98"/>
      <c r="N138" s="37"/>
      <c r="P138" s="166"/>
    </row>
    <row r="139" spans="2:16" ht="12.75" customHeight="1" x14ac:dyDescent="0.2">
      <c r="B139" s="34"/>
      <c r="C139" s="91"/>
      <c r="D139" s="873"/>
      <c r="E139" s="361"/>
      <c r="F139" s="540"/>
      <c r="G139" s="92"/>
      <c r="H139" s="533">
        <v>0</v>
      </c>
      <c r="I139" s="534">
        <f t="shared" ref="I139:J145" si="23">H139</f>
        <v>0</v>
      </c>
      <c r="J139" s="534">
        <f t="shared" si="23"/>
        <v>0</v>
      </c>
      <c r="K139" s="534">
        <f t="shared" si="22"/>
        <v>0</v>
      </c>
      <c r="L139" s="534">
        <f t="shared" si="22"/>
        <v>0</v>
      </c>
      <c r="M139" s="98"/>
      <c r="N139" s="37"/>
      <c r="P139" s="166"/>
    </row>
    <row r="140" spans="2:16" ht="12.75" customHeight="1" x14ac:dyDescent="0.2">
      <c r="B140" s="34"/>
      <c r="C140" s="91"/>
      <c r="D140" s="873"/>
      <c r="E140" s="361"/>
      <c r="F140" s="540"/>
      <c r="G140" s="92"/>
      <c r="H140" s="533">
        <v>0</v>
      </c>
      <c r="I140" s="534">
        <f t="shared" si="23"/>
        <v>0</v>
      </c>
      <c r="J140" s="534">
        <f t="shared" si="23"/>
        <v>0</v>
      </c>
      <c r="K140" s="534">
        <f t="shared" si="22"/>
        <v>0</v>
      </c>
      <c r="L140" s="534">
        <f t="shared" si="22"/>
        <v>0</v>
      </c>
      <c r="M140" s="98"/>
      <c r="N140" s="37"/>
      <c r="P140" s="166"/>
    </row>
    <row r="141" spans="2:16" ht="12.75" customHeight="1" x14ac:dyDescent="0.2">
      <c r="B141" s="34"/>
      <c r="C141" s="91"/>
      <c r="D141" s="873"/>
      <c r="E141" s="361"/>
      <c r="F141" s="540"/>
      <c r="G141" s="92"/>
      <c r="H141" s="533">
        <v>0</v>
      </c>
      <c r="I141" s="534">
        <f t="shared" si="23"/>
        <v>0</v>
      </c>
      <c r="J141" s="534">
        <f t="shared" si="23"/>
        <v>0</v>
      </c>
      <c r="K141" s="534">
        <f t="shared" si="22"/>
        <v>0</v>
      </c>
      <c r="L141" s="534">
        <f t="shared" si="22"/>
        <v>0</v>
      </c>
      <c r="M141" s="98"/>
      <c r="N141" s="37"/>
      <c r="P141" s="166"/>
    </row>
    <row r="142" spans="2:16" ht="12.75" customHeight="1" x14ac:dyDescent="0.2">
      <c r="B142" s="34"/>
      <c r="C142" s="91"/>
      <c r="D142" s="873"/>
      <c r="E142" s="361"/>
      <c r="F142" s="540"/>
      <c r="G142" s="92"/>
      <c r="H142" s="533">
        <v>0</v>
      </c>
      <c r="I142" s="534">
        <f t="shared" si="23"/>
        <v>0</v>
      </c>
      <c r="J142" s="534">
        <f t="shared" si="23"/>
        <v>0</v>
      </c>
      <c r="K142" s="534">
        <f t="shared" si="22"/>
        <v>0</v>
      </c>
      <c r="L142" s="534">
        <f t="shared" si="22"/>
        <v>0</v>
      </c>
      <c r="M142" s="98"/>
      <c r="N142" s="37"/>
      <c r="P142" s="166"/>
    </row>
    <row r="143" spans="2:16" ht="12.75" customHeight="1" x14ac:dyDescent="0.2">
      <c r="B143" s="34"/>
      <c r="C143" s="91"/>
      <c r="D143" s="873"/>
      <c r="E143" s="361"/>
      <c r="F143" s="540"/>
      <c r="G143" s="92"/>
      <c r="H143" s="533">
        <v>0</v>
      </c>
      <c r="I143" s="534">
        <f t="shared" si="23"/>
        <v>0</v>
      </c>
      <c r="J143" s="534">
        <f t="shared" si="23"/>
        <v>0</v>
      </c>
      <c r="K143" s="534">
        <f t="shared" si="22"/>
        <v>0</v>
      </c>
      <c r="L143" s="534">
        <f t="shared" si="22"/>
        <v>0</v>
      </c>
      <c r="M143" s="98"/>
      <c r="N143" s="37"/>
      <c r="P143" s="166"/>
    </row>
    <row r="144" spans="2:16" ht="12.75" customHeight="1" x14ac:dyDescent="0.2">
      <c r="B144" s="34"/>
      <c r="C144" s="91"/>
      <c r="D144" s="873"/>
      <c r="E144" s="361"/>
      <c r="F144" s="540"/>
      <c r="G144" s="92"/>
      <c r="H144" s="533">
        <v>0</v>
      </c>
      <c r="I144" s="534">
        <f t="shared" si="23"/>
        <v>0</v>
      </c>
      <c r="J144" s="534">
        <f t="shared" si="23"/>
        <v>0</v>
      </c>
      <c r="K144" s="534">
        <f t="shared" si="22"/>
        <v>0</v>
      </c>
      <c r="L144" s="534">
        <f t="shared" si="22"/>
        <v>0</v>
      </c>
      <c r="M144" s="98"/>
      <c r="N144" s="37"/>
      <c r="P144" s="166"/>
    </row>
    <row r="145" spans="2:16" ht="12.75" customHeight="1" x14ac:dyDescent="0.2">
      <c r="B145" s="34"/>
      <c r="C145" s="91"/>
      <c r="D145" s="873"/>
      <c r="E145" s="361"/>
      <c r="F145" s="540"/>
      <c r="G145" s="92"/>
      <c r="H145" s="533">
        <v>0</v>
      </c>
      <c r="I145" s="534">
        <f t="shared" si="23"/>
        <v>0</v>
      </c>
      <c r="J145" s="534">
        <f t="shared" si="23"/>
        <v>0</v>
      </c>
      <c r="K145" s="534">
        <f t="shared" si="22"/>
        <v>0</v>
      </c>
      <c r="L145" s="534">
        <f t="shared" si="22"/>
        <v>0</v>
      </c>
      <c r="M145" s="98"/>
      <c r="N145" s="37"/>
      <c r="P145" s="166"/>
    </row>
    <row r="146" spans="2:16" ht="12.75" customHeight="1" x14ac:dyDescent="0.2">
      <c r="B146" s="34"/>
      <c r="C146" s="91"/>
      <c r="D146" s="873"/>
      <c r="E146" s="361"/>
      <c r="F146" s="540"/>
      <c r="G146" s="92"/>
      <c r="H146" s="533">
        <v>0</v>
      </c>
      <c r="I146" s="534">
        <f t="shared" ref="I146:J162" si="24">H146</f>
        <v>0</v>
      </c>
      <c r="J146" s="534">
        <f t="shared" si="24"/>
        <v>0</v>
      </c>
      <c r="K146" s="534">
        <f t="shared" ref="K146:L161" si="25">J146</f>
        <v>0</v>
      </c>
      <c r="L146" s="534">
        <f t="shared" si="25"/>
        <v>0</v>
      </c>
      <c r="M146" s="98"/>
      <c r="N146" s="37"/>
      <c r="P146" s="166"/>
    </row>
    <row r="147" spans="2:16" ht="12.75" customHeight="1" x14ac:dyDescent="0.2">
      <c r="B147" s="34"/>
      <c r="C147" s="91"/>
      <c r="D147" s="873"/>
      <c r="E147" s="361"/>
      <c r="F147" s="540"/>
      <c r="G147" s="92"/>
      <c r="H147" s="533">
        <v>0</v>
      </c>
      <c r="I147" s="534">
        <f t="shared" si="24"/>
        <v>0</v>
      </c>
      <c r="J147" s="534">
        <f t="shared" si="24"/>
        <v>0</v>
      </c>
      <c r="K147" s="534">
        <f t="shared" si="25"/>
        <v>0</v>
      </c>
      <c r="L147" s="534">
        <f t="shared" si="25"/>
        <v>0</v>
      </c>
      <c r="M147" s="98"/>
      <c r="N147" s="37"/>
      <c r="P147" s="166"/>
    </row>
    <row r="148" spans="2:16" ht="12.75" customHeight="1" x14ac:dyDescent="0.2">
      <c r="B148" s="34"/>
      <c r="C148" s="91"/>
      <c r="D148" s="873"/>
      <c r="E148" s="361"/>
      <c r="F148" s="540"/>
      <c r="G148" s="92"/>
      <c r="H148" s="533">
        <v>0</v>
      </c>
      <c r="I148" s="534">
        <f t="shared" si="24"/>
        <v>0</v>
      </c>
      <c r="J148" s="534">
        <f t="shared" si="24"/>
        <v>0</v>
      </c>
      <c r="K148" s="534">
        <f t="shared" si="25"/>
        <v>0</v>
      </c>
      <c r="L148" s="534">
        <f t="shared" si="25"/>
        <v>0</v>
      </c>
      <c r="M148" s="98"/>
      <c r="N148" s="37"/>
      <c r="P148" s="166"/>
    </row>
    <row r="149" spans="2:16" ht="12.75" customHeight="1" x14ac:dyDescent="0.2">
      <c r="B149" s="34"/>
      <c r="C149" s="91"/>
      <c r="D149" s="873"/>
      <c r="E149" s="361"/>
      <c r="F149" s="540"/>
      <c r="G149" s="92"/>
      <c r="H149" s="533">
        <v>0</v>
      </c>
      <c r="I149" s="534">
        <f t="shared" si="24"/>
        <v>0</v>
      </c>
      <c r="J149" s="534">
        <f t="shared" si="24"/>
        <v>0</v>
      </c>
      <c r="K149" s="534">
        <f t="shared" si="25"/>
        <v>0</v>
      </c>
      <c r="L149" s="534">
        <f t="shared" si="25"/>
        <v>0</v>
      </c>
      <c r="M149" s="98"/>
      <c r="N149" s="37"/>
      <c r="P149" s="166"/>
    </row>
    <row r="150" spans="2:16" ht="12.75" customHeight="1" x14ac:dyDescent="0.2">
      <c r="B150" s="34"/>
      <c r="C150" s="91"/>
      <c r="D150" s="873"/>
      <c r="E150" s="361"/>
      <c r="F150" s="540"/>
      <c r="G150" s="92"/>
      <c r="H150" s="533">
        <v>0</v>
      </c>
      <c r="I150" s="534">
        <f t="shared" si="24"/>
        <v>0</v>
      </c>
      <c r="J150" s="534">
        <f t="shared" si="24"/>
        <v>0</v>
      </c>
      <c r="K150" s="534">
        <f t="shared" si="25"/>
        <v>0</v>
      </c>
      <c r="L150" s="534">
        <f t="shared" si="25"/>
        <v>0</v>
      </c>
      <c r="M150" s="98"/>
      <c r="N150" s="37"/>
      <c r="P150" s="166"/>
    </row>
    <row r="151" spans="2:16" ht="12.75" customHeight="1" x14ac:dyDescent="0.2">
      <c r="B151" s="34"/>
      <c r="C151" s="91"/>
      <c r="D151" s="873"/>
      <c r="E151" s="361"/>
      <c r="F151" s="540"/>
      <c r="G151" s="92"/>
      <c r="H151" s="533">
        <v>0</v>
      </c>
      <c r="I151" s="534">
        <f t="shared" si="24"/>
        <v>0</v>
      </c>
      <c r="J151" s="534">
        <f t="shared" si="24"/>
        <v>0</v>
      </c>
      <c r="K151" s="534">
        <f t="shared" si="25"/>
        <v>0</v>
      </c>
      <c r="L151" s="534">
        <f t="shared" si="25"/>
        <v>0</v>
      </c>
      <c r="M151" s="98"/>
      <c r="N151" s="37"/>
      <c r="P151" s="166"/>
    </row>
    <row r="152" spans="2:16" ht="12.75" customHeight="1" x14ac:dyDescent="0.2">
      <c r="B152" s="34"/>
      <c r="C152" s="91"/>
      <c r="D152" s="873"/>
      <c r="E152" s="361"/>
      <c r="F152" s="540"/>
      <c r="G152" s="92"/>
      <c r="H152" s="533">
        <v>0</v>
      </c>
      <c r="I152" s="534">
        <f t="shared" si="24"/>
        <v>0</v>
      </c>
      <c r="J152" s="534">
        <f t="shared" si="24"/>
        <v>0</v>
      </c>
      <c r="K152" s="534">
        <f t="shared" si="25"/>
        <v>0</v>
      </c>
      <c r="L152" s="534">
        <f t="shared" si="25"/>
        <v>0</v>
      </c>
      <c r="M152" s="98"/>
      <c r="N152" s="37"/>
      <c r="P152" s="166"/>
    </row>
    <row r="153" spans="2:16" ht="12.75" customHeight="1" x14ac:dyDescent="0.2">
      <c r="B153" s="34"/>
      <c r="C153" s="91"/>
      <c r="D153" s="873"/>
      <c r="E153" s="361"/>
      <c r="F153" s="540"/>
      <c r="G153" s="92"/>
      <c r="H153" s="533">
        <v>0</v>
      </c>
      <c r="I153" s="534">
        <f t="shared" si="24"/>
        <v>0</v>
      </c>
      <c r="J153" s="534">
        <f t="shared" si="24"/>
        <v>0</v>
      </c>
      <c r="K153" s="534">
        <f t="shared" si="25"/>
        <v>0</v>
      </c>
      <c r="L153" s="534">
        <f t="shared" si="25"/>
        <v>0</v>
      </c>
      <c r="M153" s="98"/>
      <c r="N153" s="37"/>
      <c r="P153" s="166"/>
    </row>
    <row r="154" spans="2:16" ht="12.75" customHeight="1" x14ac:dyDescent="0.2">
      <c r="B154" s="34"/>
      <c r="C154" s="91"/>
      <c r="D154" s="873"/>
      <c r="E154" s="361"/>
      <c r="F154" s="540"/>
      <c r="G154" s="92"/>
      <c r="H154" s="533">
        <v>0</v>
      </c>
      <c r="I154" s="534">
        <f t="shared" si="24"/>
        <v>0</v>
      </c>
      <c r="J154" s="534">
        <f t="shared" si="24"/>
        <v>0</v>
      </c>
      <c r="K154" s="534">
        <f t="shared" si="25"/>
        <v>0</v>
      </c>
      <c r="L154" s="534">
        <f t="shared" si="25"/>
        <v>0</v>
      </c>
      <c r="M154" s="98"/>
      <c r="N154" s="37"/>
      <c r="P154" s="166"/>
    </row>
    <row r="155" spans="2:16" ht="12.75" customHeight="1" x14ac:dyDescent="0.2">
      <c r="B155" s="34"/>
      <c r="C155" s="91"/>
      <c r="D155" s="873"/>
      <c r="E155" s="361"/>
      <c r="F155" s="540"/>
      <c r="G155" s="92"/>
      <c r="H155" s="533">
        <v>0</v>
      </c>
      <c r="I155" s="534">
        <f t="shared" si="24"/>
        <v>0</v>
      </c>
      <c r="J155" s="534">
        <f t="shared" si="24"/>
        <v>0</v>
      </c>
      <c r="K155" s="534">
        <f t="shared" si="25"/>
        <v>0</v>
      </c>
      <c r="L155" s="534">
        <f t="shared" si="25"/>
        <v>0</v>
      </c>
      <c r="M155" s="98"/>
      <c r="N155" s="37"/>
      <c r="P155" s="166"/>
    </row>
    <row r="156" spans="2:16" ht="12.75" customHeight="1" x14ac:dyDescent="0.2">
      <c r="B156" s="34"/>
      <c r="C156" s="91"/>
      <c r="D156" s="873"/>
      <c r="E156" s="361"/>
      <c r="F156" s="540"/>
      <c r="G156" s="92"/>
      <c r="H156" s="533">
        <v>0</v>
      </c>
      <c r="I156" s="534">
        <f t="shared" si="24"/>
        <v>0</v>
      </c>
      <c r="J156" s="534">
        <f t="shared" si="24"/>
        <v>0</v>
      </c>
      <c r="K156" s="534">
        <f t="shared" si="25"/>
        <v>0</v>
      </c>
      <c r="L156" s="534">
        <f t="shared" si="25"/>
        <v>0</v>
      </c>
      <c r="M156" s="98"/>
      <c r="N156" s="37"/>
      <c r="P156" s="166"/>
    </row>
    <row r="157" spans="2:16" ht="12.75" customHeight="1" x14ac:dyDescent="0.2">
      <c r="B157" s="34"/>
      <c r="C157" s="91"/>
      <c r="D157" s="874"/>
      <c r="E157" s="361"/>
      <c r="F157" s="540"/>
      <c r="G157" s="92"/>
      <c r="H157" s="533">
        <v>0</v>
      </c>
      <c r="I157" s="534">
        <f t="shared" si="24"/>
        <v>0</v>
      </c>
      <c r="J157" s="534">
        <f t="shared" si="24"/>
        <v>0</v>
      </c>
      <c r="K157" s="534">
        <f t="shared" si="25"/>
        <v>0</v>
      </c>
      <c r="L157" s="534">
        <f t="shared" si="25"/>
        <v>0</v>
      </c>
      <c r="M157" s="98"/>
      <c r="N157" s="37"/>
      <c r="P157" s="167"/>
    </row>
    <row r="158" spans="2:16" ht="12.75" customHeight="1" x14ac:dyDescent="0.2">
      <c r="B158" s="34"/>
      <c r="C158" s="91"/>
      <c r="D158" s="874"/>
      <c r="E158" s="361"/>
      <c r="F158" s="540"/>
      <c r="G158" s="92"/>
      <c r="H158" s="533">
        <v>0</v>
      </c>
      <c r="I158" s="534">
        <f t="shared" si="24"/>
        <v>0</v>
      </c>
      <c r="J158" s="534">
        <f t="shared" si="24"/>
        <v>0</v>
      </c>
      <c r="K158" s="534">
        <f t="shared" si="25"/>
        <v>0</v>
      </c>
      <c r="L158" s="534">
        <f t="shared" si="25"/>
        <v>0</v>
      </c>
      <c r="M158" s="98"/>
      <c r="N158" s="37"/>
      <c r="P158" s="167"/>
    </row>
    <row r="159" spans="2:16" ht="12.75" customHeight="1" x14ac:dyDescent="0.2">
      <c r="B159" s="34"/>
      <c r="C159" s="91"/>
      <c r="D159" s="874"/>
      <c r="E159" s="361"/>
      <c r="F159" s="540"/>
      <c r="G159" s="92"/>
      <c r="H159" s="533">
        <v>0</v>
      </c>
      <c r="I159" s="534">
        <f t="shared" si="24"/>
        <v>0</v>
      </c>
      <c r="J159" s="534">
        <f t="shared" si="24"/>
        <v>0</v>
      </c>
      <c r="K159" s="534">
        <f t="shared" si="25"/>
        <v>0</v>
      </c>
      <c r="L159" s="534">
        <f t="shared" si="25"/>
        <v>0</v>
      </c>
      <c r="M159" s="98"/>
      <c r="N159" s="37"/>
      <c r="P159" s="167"/>
    </row>
    <row r="160" spans="2:16" ht="12.75" customHeight="1" x14ac:dyDescent="0.2">
      <c r="B160" s="34"/>
      <c r="C160" s="91"/>
      <c r="D160" s="874"/>
      <c r="E160" s="361"/>
      <c r="F160" s="540"/>
      <c r="G160" s="92"/>
      <c r="H160" s="533">
        <v>0</v>
      </c>
      <c r="I160" s="534">
        <f t="shared" si="24"/>
        <v>0</v>
      </c>
      <c r="J160" s="534">
        <f t="shared" si="24"/>
        <v>0</v>
      </c>
      <c r="K160" s="534">
        <f t="shared" si="25"/>
        <v>0</v>
      </c>
      <c r="L160" s="534">
        <f t="shared" si="25"/>
        <v>0</v>
      </c>
      <c r="M160" s="98"/>
      <c r="N160" s="37"/>
      <c r="P160" s="167"/>
    </row>
    <row r="161" spans="2:16" ht="12.75" customHeight="1" x14ac:dyDescent="0.2">
      <c r="B161" s="34"/>
      <c r="C161" s="91"/>
      <c r="D161" s="874"/>
      <c r="E161" s="361"/>
      <c r="F161" s="540"/>
      <c r="G161" s="92"/>
      <c r="H161" s="533">
        <v>0</v>
      </c>
      <c r="I161" s="534">
        <f t="shared" si="24"/>
        <v>0</v>
      </c>
      <c r="J161" s="534">
        <f t="shared" si="24"/>
        <v>0</v>
      </c>
      <c r="K161" s="534">
        <f t="shared" si="25"/>
        <v>0</v>
      </c>
      <c r="L161" s="534">
        <f t="shared" si="25"/>
        <v>0</v>
      </c>
      <c r="M161" s="98"/>
      <c r="N161" s="37"/>
      <c r="P161" s="167"/>
    </row>
    <row r="162" spans="2:16" ht="12.75" customHeight="1" x14ac:dyDescent="0.2">
      <c r="B162" s="34"/>
      <c r="C162" s="91"/>
      <c r="D162" s="874"/>
      <c r="E162" s="361"/>
      <c r="F162" s="540"/>
      <c r="G162" s="92"/>
      <c r="H162" s="533">
        <v>0</v>
      </c>
      <c r="I162" s="533">
        <f t="shared" si="24"/>
        <v>0</v>
      </c>
      <c r="J162" s="533">
        <f t="shared" si="24"/>
        <v>0</v>
      </c>
      <c r="K162" s="533">
        <f t="shared" ref="K162:L165" si="26">J162</f>
        <v>0</v>
      </c>
      <c r="L162" s="533">
        <f t="shared" si="26"/>
        <v>0</v>
      </c>
      <c r="M162" s="98"/>
      <c r="N162" s="37"/>
      <c r="P162" s="167"/>
    </row>
    <row r="163" spans="2:16" ht="12.75" customHeight="1" x14ac:dyDescent="0.2">
      <c r="B163" s="34"/>
      <c r="C163" s="91"/>
      <c r="D163" s="874"/>
      <c r="E163" s="361"/>
      <c r="F163" s="540"/>
      <c r="G163" s="92"/>
      <c r="H163" s="533">
        <v>0</v>
      </c>
      <c r="I163" s="533">
        <f t="shared" ref="I163:J165" si="27">H163</f>
        <v>0</v>
      </c>
      <c r="J163" s="533">
        <f t="shared" si="27"/>
        <v>0</v>
      </c>
      <c r="K163" s="533">
        <f t="shared" si="26"/>
        <v>0</v>
      </c>
      <c r="L163" s="533">
        <f t="shared" si="26"/>
        <v>0</v>
      </c>
      <c r="M163" s="98"/>
      <c r="N163" s="37"/>
      <c r="P163" s="167"/>
    </row>
    <row r="164" spans="2:16" ht="12.75" customHeight="1" x14ac:dyDescent="0.2">
      <c r="B164" s="34"/>
      <c r="C164" s="91"/>
      <c r="D164" s="874"/>
      <c r="E164" s="361"/>
      <c r="F164" s="540"/>
      <c r="G164" s="92"/>
      <c r="H164" s="533">
        <v>0</v>
      </c>
      <c r="I164" s="533">
        <f t="shared" si="27"/>
        <v>0</v>
      </c>
      <c r="J164" s="533">
        <f t="shared" si="27"/>
        <v>0</v>
      </c>
      <c r="K164" s="533">
        <f t="shared" si="26"/>
        <v>0</v>
      </c>
      <c r="L164" s="533">
        <f t="shared" si="26"/>
        <v>0</v>
      </c>
      <c r="M164" s="98"/>
      <c r="N164" s="37"/>
      <c r="P164" s="167"/>
    </row>
    <row r="165" spans="2:16" ht="12.75" customHeight="1" x14ac:dyDescent="0.2">
      <c r="B165" s="34"/>
      <c r="C165" s="91"/>
      <c r="D165" s="874"/>
      <c r="E165" s="361"/>
      <c r="F165" s="540"/>
      <c r="G165" s="92"/>
      <c r="H165" s="533">
        <v>0</v>
      </c>
      <c r="I165" s="533">
        <f t="shared" si="27"/>
        <v>0</v>
      </c>
      <c r="J165" s="533">
        <f t="shared" si="27"/>
        <v>0</v>
      </c>
      <c r="K165" s="533">
        <f t="shared" si="26"/>
        <v>0</v>
      </c>
      <c r="L165" s="533">
        <f t="shared" si="26"/>
        <v>0</v>
      </c>
      <c r="M165" s="98"/>
      <c r="N165" s="37"/>
      <c r="P165" s="167"/>
    </row>
    <row r="166" spans="2:16" ht="12.75" customHeight="1" x14ac:dyDescent="0.2">
      <c r="B166" s="34"/>
      <c r="C166" s="91"/>
      <c r="D166" s="645"/>
      <c r="E166" s="92"/>
      <c r="F166" s="115"/>
      <c r="G166" s="92"/>
      <c r="H166" s="358"/>
      <c r="I166" s="358"/>
      <c r="J166" s="358"/>
      <c r="K166" s="97"/>
      <c r="L166" s="97"/>
      <c r="M166" s="98"/>
      <c r="N166" s="37"/>
    </row>
    <row r="167" spans="2:16" ht="12.75" customHeight="1" x14ac:dyDescent="0.2">
      <c r="B167" s="34"/>
      <c r="C167" s="91"/>
      <c r="D167" s="871" t="s">
        <v>180</v>
      </c>
      <c r="E167" s="361"/>
      <c r="F167" s="115"/>
      <c r="G167" s="92"/>
      <c r="H167" s="891">
        <f>SUM(H131:H165)</f>
        <v>0</v>
      </c>
      <c r="I167" s="891">
        <f>SUM(I131:I165)</f>
        <v>0</v>
      </c>
      <c r="J167" s="891">
        <f>SUM(J131:J165)</f>
        <v>0</v>
      </c>
      <c r="K167" s="891">
        <f>SUM(K131:K165)</f>
        <v>0</v>
      </c>
      <c r="L167" s="891">
        <f>SUM(L131:L165)</f>
        <v>0</v>
      </c>
      <c r="M167" s="98"/>
      <c r="N167" s="37"/>
    </row>
    <row r="168" spans="2:16" ht="12.75" customHeight="1" x14ac:dyDescent="0.2">
      <c r="B168" s="34"/>
      <c r="C168" s="91"/>
      <c r="D168" s="868"/>
      <c r="E168" s="361"/>
      <c r="F168" s="115"/>
      <c r="G168" s="92"/>
      <c r="H168" s="357"/>
      <c r="I168" s="357"/>
      <c r="J168" s="357"/>
      <c r="K168" s="97"/>
      <c r="L168" s="97"/>
      <c r="M168" s="98"/>
      <c r="N168" s="37"/>
    </row>
    <row r="169" spans="2:16" ht="12.75" customHeight="1" x14ac:dyDescent="0.2">
      <c r="B169" s="34"/>
      <c r="C169" s="35"/>
      <c r="D169" s="756"/>
      <c r="E169" s="59"/>
      <c r="F169" s="62"/>
      <c r="G169" s="35"/>
      <c r="H169" s="188"/>
      <c r="I169" s="188"/>
      <c r="J169" s="188"/>
      <c r="K169" s="36"/>
      <c r="L169" s="36"/>
      <c r="M169" s="35"/>
      <c r="N169" s="37"/>
    </row>
    <row r="170" spans="2:16" ht="12.75" customHeight="1" x14ac:dyDescent="0.2">
      <c r="B170" s="34"/>
      <c r="C170" s="91"/>
      <c r="D170" s="868"/>
      <c r="E170" s="362"/>
      <c r="F170" s="115"/>
      <c r="G170" s="92"/>
      <c r="H170" s="357"/>
      <c r="I170" s="357"/>
      <c r="J170" s="357"/>
      <c r="K170" s="357"/>
      <c r="L170" s="357"/>
      <c r="M170" s="98"/>
      <c r="N170" s="37"/>
    </row>
    <row r="171" spans="2:16" ht="12.75" customHeight="1" x14ac:dyDescent="0.2">
      <c r="B171" s="34"/>
      <c r="C171" s="91"/>
      <c r="D171" s="191" t="s">
        <v>17</v>
      </c>
      <c r="E171" s="116"/>
      <c r="F171" s="115"/>
      <c r="G171" s="92"/>
      <c r="H171" s="891">
        <f>H125+H167+H108</f>
        <v>0</v>
      </c>
      <c r="I171" s="891">
        <f>I125+I167+I108</f>
        <v>0</v>
      </c>
      <c r="J171" s="891">
        <f>J125+J167+J108</f>
        <v>0</v>
      </c>
      <c r="K171" s="891">
        <f>K125+K167+K108</f>
        <v>0</v>
      </c>
      <c r="L171" s="891">
        <f>L125+L167+L108</f>
        <v>0</v>
      </c>
      <c r="M171" s="98"/>
      <c r="N171" s="37"/>
    </row>
    <row r="172" spans="2:16" ht="12.75" customHeight="1" x14ac:dyDescent="0.2">
      <c r="B172" s="34"/>
      <c r="C172" s="124"/>
      <c r="D172" s="409"/>
      <c r="E172" s="222"/>
      <c r="F172" s="223"/>
      <c r="G172" s="125"/>
      <c r="H172" s="363"/>
      <c r="I172" s="363"/>
      <c r="J172" s="363"/>
      <c r="K172" s="535"/>
      <c r="L172" s="535"/>
      <c r="M172" s="126"/>
      <c r="N172" s="37"/>
      <c r="P172" s="167"/>
    </row>
    <row r="173" spans="2:16" ht="12.75" customHeight="1" x14ac:dyDescent="0.2">
      <c r="B173" s="34"/>
      <c r="C173" s="35"/>
      <c r="D173" s="195"/>
      <c r="E173" s="59"/>
      <c r="F173" s="62"/>
      <c r="G173" s="35"/>
      <c r="H173" s="188"/>
      <c r="I173" s="188"/>
      <c r="J173" s="188"/>
      <c r="K173" s="36"/>
      <c r="L173" s="36"/>
      <c r="M173" s="35"/>
      <c r="N173" s="37"/>
    </row>
    <row r="174" spans="2:16" ht="12.75" customHeight="1" x14ac:dyDescent="0.2">
      <c r="B174" s="34"/>
      <c r="C174" s="35"/>
      <c r="D174" s="195"/>
      <c r="E174" s="59"/>
      <c r="F174" s="62"/>
      <c r="G174" s="35"/>
      <c r="H174" s="188"/>
      <c r="I174" s="188"/>
      <c r="J174" s="188"/>
      <c r="K174" s="36"/>
      <c r="L174" s="36"/>
      <c r="M174" s="35"/>
      <c r="N174" s="37"/>
    </row>
    <row r="175" spans="2:16" ht="12.75" customHeight="1" x14ac:dyDescent="0.2">
      <c r="B175" s="34"/>
      <c r="C175" s="86"/>
      <c r="D175" s="397"/>
      <c r="E175" s="217"/>
      <c r="F175" s="144"/>
      <c r="G175" s="87"/>
      <c r="H175" s="536"/>
      <c r="I175" s="536"/>
      <c r="J175" s="536"/>
      <c r="K175" s="339"/>
      <c r="L175" s="339"/>
      <c r="M175" s="128"/>
      <c r="N175" s="37"/>
    </row>
    <row r="176" spans="2:16" ht="12.75" customHeight="1" x14ac:dyDescent="0.2">
      <c r="B176" s="58"/>
      <c r="C176" s="105"/>
      <c r="D176" s="606" t="s">
        <v>18</v>
      </c>
      <c r="E176" s="116"/>
      <c r="F176" s="115"/>
      <c r="G176" s="92"/>
      <c r="H176" s="891">
        <f>H90-H171</f>
        <v>99220.81</v>
      </c>
      <c r="I176" s="891">
        <f>I90-I171</f>
        <v>84899.09</v>
      </c>
      <c r="J176" s="891">
        <f>J90-J171</f>
        <v>84899.09</v>
      </c>
      <c r="K176" s="891">
        <f>K90-K171</f>
        <v>84899.09</v>
      </c>
      <c r="L176" s="891">
        <f>L90-L171</f>
        <v>84899.09</v>
      </c>
      <c r="M176" s="98"/>
      <c r="N176" s="37"/>
    </row>
    <row r="177" spans="1:15" ht="12.75" customHeight="1" x14ac:dyDescent="0.2">
      <c r="B177" s="34"/>
      <c r="C177" s="124"/>
      <c r="D177" s="409"/>
      <c r="E177" s="222"/>
      <c r="F177" s="223"/>
      <c r="G177" s="125"/>
      <c r="H177" s="363"/>
      <c r="I177" s="363"/>
      <c r="J177" s="363"/>
      <c r="K177" s="364"/>
      <c r="L177" s="364"/>
      <c r="M177" s="126"/>
      <c r="N177" s="37"/>
    </row>
    <row r="178" spans="1:15" ht="12.75" customHeight="1" x14ac:dyDescent="0.2">
      <c r="B178" s="34"/>
      <c r="C178" s="35"/>
      <c r="D178" s="756"/>
      <c r="E178" s="59"/>
      <c r="F178" s="60"/>
      <c r="G178" s="188"/>
      <c r="H178" s="188"/>
      <c r="I178" s="181"/>
      <c r="J178" s="35"/>
      <c r="K178" s="36"/>
      <c r="L178" s="36"/>
      <c r="M178" s="35"/>
      <c r="N178" s="37"/>
    </row>
    <row r="179" spans="1:15" ht="12.75" customHeight="1" x14ac:dyDescent="0.25">
      <c r="B179" s="68"/>
      <c r="C179" s="69"/>
      <c r="D179" s="794"/>
      <c r="E179" s="69"/>
      <c r="F179" s="189"/>
      <c r="G179" s="84"/>
      <c r="H179" s="84"/>
      <c r="I179" s="69"/>
      <c r="J179" s="69"/>
      <c r="K179" s="84"/>
      <c r="L179" s="84"/>
      <c r="M179" s="72" t="s">
        <v>388</v>
      </c>
      <c r="N179" s="85"/>
    </row>
    <row r="180" spans="1:15" ht="12.75" customHeight="1" x14ac:dyDescent="0.2"/>
    <row r="181" spans="1:15" ht="12.75" customHeight="1" x14ac:dyDescent="0.2"/>
    <row r="182" spans="1:15" ht="12.75" customHeight="1" x14ac:dyDescent="0.2">
      <c r="G182" s="5"/>
    </row>
    <row r="183" spans="1:15" ht="12.75" customHeight="1" x14ac:dyDescent="0.2">
      <c r="F183" s="5"/>
      <c r="G183" s="5"/>
      <c r="H183" s="5"/>
      <c r="I183" s="5"/>
      <c r="J183" s="5"/>
      <c r="K183" s="5"/>
      <c r="L183" s="5"/>
    </row>
    <row r="184" spans="1:15" ht="12.75" customHeight="1" x14ac:dyDescent="0.2">
      <c r="A184" s="229"/>
      <c r="B184" s="229"/>
      <c r="C184" s="229"/>
      <c r="D184" s="749"/>
      <c r="E184" s="749"/>
      <c r="F184" s="749"/>
      <c r="G184" s="749"/>
      <c r="H184" s="749"/>
      <c r="I184" s="749"/>
      <c r="J184" s="749"/>
      <c r="K184" s="749"/>
      <c r="L184" s="749"/>
      <c r="M184" s="749"/>
      <c r="N184" s="749"/>
      <c r="O184" s="749"/>
    </row>
    <row r="185" spans="1:15" ht="12.75" customHeight="1" x14ac:dyDescent="0.2">
      <c r="A185" s="229"/>
      <c r="B185" s="229"/>
      <c r="C185" s="229"/>
      <c r="D185" s="881"/>
      <c r="E185" s="882"/>
      <c r="F185" s="811" t="s">
        <v>114</v>
      </c>
      <c r="G185" s="811"/>
      <c r="H185" s="811" t="str">
        <f>+pers!H9</f>
        <v>2016/17</v>
      </c>
      <c r="I185" s="811" t="str">
        <f>+pers!I9</f>
        <v>2017/18</v>
      </c>
      <c r="J185" s="811" t="str">
        <f>+pers!J9</f>
        <v>2018/19</v>
      </c>
      <c r="K185" s="811" t="str">
        <f>+pers!K9</f>
        <v>2019/20</v>
      </c>
      <c r="L185" s="811" t="str">
        <f>+pers!L9</f>
        <v>2020/21</v>
      </c>
      <c r="M185" s="811"/>
      <c r="N185" s="811"/>
      <c r="O185" s="749"/>
    </row>
    <row r="186" spans="1:15" ht="12.75" customHeight="1" x14ac:dyDescent="0.2">
      <c r="A186" s="229"/>
      <c r="B186" s="229"/>
      <c r="C186" s="229"/>
      <c r="D186" s="809" t="s">
        <v>87</v>
      </c>
      <c r="E186" s="749"/>
      <c r="F186" s="810"/>
      <c r="G186" s="749"/>
      <c r="H186" s="883"/>
      <c r="I186" s="883"/>
      <c r="J186" s="883"/>
      <c r="K186" s="883"/>
      <c r="L186" s="749"/>
      <c r="M186" s="749"/>
      <c r="N186" s="749"/>
      <c r="O186" s="749"/>
    </row>
    <row r="187" spans="1:15" ht="12.75" customHeight="1" x14ac:dyDescent="0.2">
      <c r="A187" s="229"/>
      <c r="B187" s="229"/>
      <c r="C187" s="229"/>
      <c r="D187" s="884" t="s">
        <v>234</v>
      </c>
      <c r="E187" s="749"/>
      <c r="F187" s="810"/>
      <c r="G187" s="749"/>
      <c r="H187" s="883">
        <f>5/12*H51+7/12*I51</f>
        <v>90866.473333333328</v>
      </c>
      <c r="I187" s="883">
        <f>5/12*I51+7/12*J51</f>
        <v>84899.09</v>
      </c>
      <c r="J187" s="883">
        <f>5/12*J51+7/12*K51</f>
        <v>84899.09</v>
      </c>
      <c r="K187" s="883">
        <f>5/12*K51+7/12*L51</f>
        <v>84899.09</v>
      </c>
      <c r="L187" s="883">
        <f>L51</f>
        <v>84899.09</v>
      </c>
      <c r="M187" s="885"/>
      <c r="N187" s="749"/>
      <c r="O187" s="749"/>
    </row>
    <row r="188" spans="1:15" ht="12.75" customHeight="1" x14ac:dyDescent="0.2">
      <c r="A188" s="229"/>
      <c r="B188" s="229"/>
      <c r="C188" s="229"/>
      <c r="D188" s="884" t="s">
        <v>356</v>
      </c>
      <c r="E188" s="749"/>
      <c r="F188" s="810"/>
      <c r="G188" s="749"/>
      <c r="H188" s="883">
        <f>5/12*H63+7/12*I63</f>
        <v>0</v>
      </c>
      <c r="I188" s="883">
        <f>5/12*I63+7/12*J63</f>
        <v>0</v>
      </c>
      <c r="J188" s="883">
        <f>5/12*J63+7/12*K63</f>
        <v>0</v>
      </c>
      <c r="K188" s="883">
        <f>5/12*K63+7/12*L63</f>
        <v>0</v>
      </c>
      <c r="L188" s="883">
        <f>L63</f>
        <v>0</v>
      </c>
      <c r="M188" s="885"/>
      <c r="N188" s="749"/>
      <c r="O188" s="749"/>
    </row>
    <row r="189" spans="1:15" ht="12.75" hidden="1" customHeight="1" x14ac:dyDescent="0.2">
      <c r="A189" s="229"/>
      <c r="B189" s="229"/>
      <c r="C189" s="229"/>
      <c r="D189" s="884" t="s">
        <v>357</v>
      </c>
      <c r="E189" s="749"/>
      <c r="F189" s="810"/>
      <c r="G189" s="749"/>
      <c r="H189" s="883"/>
      <c r="I189" s="883"/>
      <c r="J189" s="883"/>
      <c r="K189" s="883"/>
      <c r="L189" s="883"/>
      <c r="M189" s="883"/>
      <c r="N189" s="749"/>
      <c r="O189" s="749"/>
    </row>
    <row r="190" spans="1:15" ht="12.75" customHeight="1" x14ac:dyDescent="0.2">
      <c r="A190" s="229"/>
      <c r="B190" s="229"/>
      <c r="C190" s="229"/>
      <c r="D190" s="884" t="s">
        <v>358</v>
      </c>
      <c r="E190" s="749"/>
      <c r="F190" s="810"/>
      <c r="G190" s="749"/>
      <c r="H190" s="883">
        <f>0.416666666666667*H69+0.583333333333333*I69</f>
        <v>0</v>
      </c>
      <c r="I190" s="883">
        <f>0.416666666666667*I69+0.583333333333333*J69</f>
        <v>0</v>
      </c>
      <c r="J190" s="883">
        <f>0.416666666666667*J69+0.583333333333333*K69</f>
        <v>0</v>
      </c>
      <c r="K190" s="883">
        <f>0.416666666666667*K69+0.583333333333333*L69</f>
        <v>0</v>
      </c>
      <c r="L190" s="883">
        <f>L69</f>
        <v>0</v>
      </c>
      <c r="M190" s="885"/>
      <c r="N190" s="749"/>
      <c r="O190" s="749"/>
    </row>
    <row r="191" spans="1:15" ht="12.75" customHeight="1" x14ac:dyDescent="0.2">
      <c r="A191" s="229"/>
      <c r="B191" s="229"/>
      <c r="C191" s="229"/>
      <c r="D191" s="884" t="s">
        <v>235</v>
      </c>
      <c r="E191" s="749"/>
      <c r="F191" s="810"/>
      <c r="G191" s="749"/>
      <c r="H191" s="883">
        <f>0.416666666666667*(H79-H69)+0.583333333333333*(I79-I69)</f>
        <v>0</v>
      </c>
      <c r="I191" s="883">
        <f>0.416666666666667*(I79-I69)+0.583333333333333*(J79-J69)</f>
        <v>0</v>
      </c>
      <c r="J191" s="883">
        <f>0.416666666666667*(J79-J69)+0.583333333333333*(K79-K69)</f>
        <v>0</v>
      </c>
      <c r="K191" s="883">
        <f>0.416666666666667*(K79-K69)+0.583333333333333*(L79-L69)</f>
        <v>0</v>
      </c>
      <c r="L191" s="883">
        <f>(L79-L69)</f>
        <v>0</v>
      </c>
      <c r="M191" s="885"/>
      <c r="N191" s="749"/>
      <c r="O191" s="749"/>
    </row>
    <row r="192" spans="1:15" ht="12.75" customHeight="1" x14ac:dyDescent="0.2">
      <c r="A192" s="229"/>
      <c r="B192" s="229"/>
      <c r="C192" s="229"/>
      <c r="D192" s="847"/>
      <c r="E192" s="749"/>
      <c r="F192" s="810"/>
      <c r="G192" s="749"/>
      <c r="H192" s="885">
        <f>SUM(H187:H191)</f>
        <v>90866.473333333328</v>
      </c>
      <c r="I192" s="885">
        <f>SUM(I187:I191)</f>
        <v>84899.09</v>
      </c>
      <c r="J192" s="885">
        <f>SUM(J187:J191)</f>
        <v>84899.09</v>
      </c>
      <c r="K192" s="885">
        <f>SUM(K187:K191)</f>
        <v>84899.09</v>
      </c>
      <c r="L192" s="885">
        <f>SUM(L187:L191)</f>
        <v>84899.09</v>
      </c>
      <c r="M192" s="885"/>
      <c r="N192" s="749"/>
      <c r="O192" s="749"/>
    </row>
    <row r="193" spans="1:15" ht="12.75" customHeight="1" x14ac:dyDescent="0.2">
      <c r="A193" s="229"/>
      <c r="B193" s="539"/>
      <c r="C193" s="539"/>
      <c r="D193" s="809" t="s">
        <v>360</v>
      </c>
      <c r="E193" s="749"/>
      <c r="F193" s="810"/>
      <c r="G193" s="749"/>
      <c r="H193" s="883"/>
      <c r="I193" s="883"/>
      <c r="J193" s="883"/>
      <c r="K193" s="883"/>
      <c r="L193" s="883"/>
      <c r="M193" s="749"/>
      <c r="N193" s="749"/>
      <c r="O193" s="749"/>
    </row>
    <row r="194" spans="1:15" ht="12.75" customHeight="1" x14ac:dyDescent="0.2">
      <c r="A194" s="229"/>
      <c r="B194" s="229"/>
      <c r="C194" s="229"/>
      <c r="D194" s="749" t="s">
        <v>141</v>
      </c>
      <c r="E194" s="749"/>
      <c r="F194" s="810"/>
      <c r="G194" s="749"/>
      <c r="H194" s="883">
        <f>0.416666666666667*H108+0.583333333333333*I108</f>
        <v>0</v>
      </c>
      <c r="I194" s="883">
        <f>0.416666666666667*I108+0.583333333333333*J108</f>
        <v>0</v>
      </c>
      <c r="J194" s="883">
        <f>0.416666666666667*J108+0.583333333333333*K108</f>
        <v>0</v>
      </c>
      <c r="K194" s="883">
        <f>0.416666666666667*K108+0.583333333333333*L108</f>
        <v>0</v>
      </c>
      <c r="L194" s="883">
        <f>L108</f>
        <v>0</v>
      </c>
      <c r="M194" s="885"/>
      <c r="N194" s="749"/>
      <c r="O194" s="749"/>
    </row>
    <row r="195" spans="1:15" ht="12.75" customHeight="1" x14ac:dyDescent="0.2">
      <c r="A195" s="229"/>
      <c r="B195" s="229"/>
      <c r="C195" s="229"/>
      <c r="D195" s="749" t="s">
        <v>161</v>
      </c>
      <c r="E195" s="749"/>
      <c r="F195" s="810"/>
      <c r="G195" s="749"/>
      <c r="H195" s="883">
        <f>0.416666666666667*H125+0.583333333333333*I125</f>
        <v>0</v>
      </c>
      <c r="I195" s="883">
        <f>0.416666666666667*I125+0.583333333333333*J125</f>
        <v>0</v>
      </c>
      <c r="J195" s="883">
        <f>0.416666666666667*J125+0.583333333333333*K125</f>
        <v>0</v>
      </c>
      <c r="K195" s="883">
        <f>0.416666666666667*K125+0.583333333333333*L125</f>
        <v>0</v>
      </c>
      <c r="L195" s="883">
        <f>L125</f>
        <v>0</v>
      </c>
      <c r="M195" s="885"/>
      <c r="N195" s="749"/>
      <c r="O195" s="749"/>
    </row>
    <row r="196" spans="1:15" ht="12.75" customHeight="1" x14ac:dyDescent="0.2">
      <c r="A196" s="229"/>
      <c r="B196" s="229"/>
      <c r="C196" s="229"/>
      <c r="D196" s="749" t="s">
        <v>88</v>
      </c>
      <c r="E196" s="749"/>
      <c r="F196" s="810"/>
      <c r="G196" s="749"/>
      <c r="H196" s="883">
        <f>0.416666666666667*H167+0.583333333333333*I167</f>
        <v>0</v>
      </c>
      <c r="I196" s="883">
        <f>0.416666666666667*I167+0.583333333333333*J167</f>
        <v>0</v>
      </c>
      <c r="J196" s="883">
        <f>0.416666666666667*J167+0.583333333333333*K167</f>
        <v>0</v>
      </c>
      <c r="K196" s="883">
        <f>0.416666666666667*K167+0.583333333333333*L167</f>
        <v>0</v>
      </c>
      <c r="L196" s="883">
        <f>L167</f>
        <v>0</v>
      </c>
      <c r="M196" s="885"/>
      <c r="N196" s="749"/>
      <c r="O196" s="749"/>
    </row>
    <row r="197" spans="1:15" ht="12.75" customHeight="1" x14ac:dyDescent="0.2">
      <c r="A197" s="229"/>
      <c r="B197" s="229"/>
      <c r="C197" s="229"/>
      <c r="D197" s="847"/>
      <c r="E197" s="749"/>
      <c r="F197" s="810"/>
      <c r="G197" s="749"/>
      <c r="H197" s="885">
        <f>SUM(H194:H196)</f>
        <v>0</v>
      </c>
      <c r="I197" s="885">
        <f>SUM(I194:I196)</f>
        <v>0</v>
      </c>
      <c r="J197" s="885">
        <f>SUM(J194:J196)</f>
        <v>0</v>
      </c>
      <c r="K197" s="885">
        <f>SUM(K194:K196)</f>
        <v>0</v>
      </c>
      <c r="L197" s="885">
        <f>SUM(L194:L196)</f>
        <v>0</v>
      </c>
      <c r="M197" s="885"/>
      <c r="N197" s="749"/>
      <c r="O197" s="749"/>
    </row>
    <row r="198" spans="1:15" ht="12.75" customHeight="1" x14ac:dyDescent="0.2">
      <c r="A198" s="229"/>
      <c r="B198" s="229"/>
      <c r="C198" s="229"/>
      <c r="D198" s="886"/>
      <c r="E198" s="749"/>
      <c r="F198" s="810"/>
      <c r="G198" s="749"/>
      <c r="H198" s="883"/>
      <c r="I198" s="883"/>
      <c r="J198" s="883"/>
      <c r="K198" s="883"/>
      <c r="L198" s="883"/>
      <c r="M198" s="749"/>
      <c r="N198" s="749"/>
      <c r="O198" s="749"/>
    </row>
    <row r="199" spans="1:15" ht="12.75" customHeight="1" x14ac:dyDescent="0.2">
      <c r="A199" s="229"/>
      <c r="B199" s="230"/>
      <c r="C199" s="230"/>
      <c r="D199" s="847" t="s">
        <v>89</v>
      </c>
      <c r="E199" s="749"/>
      <c r="F199" s="810"/>
      <c r="G199" s="749"/>
      <c r="H199" s="885">
        <f>+H192-H197</f>
        <v>90866.473333333328</v>
      </c>
      <c r="I199" s="885">
        <f>+I192-I197</f>
        <v>84899.09</v>
      </c>
      <c r="J199" s="885">
        <f>+J192-J197</f>
        <v>84899.09</v>
      </c>
      <c r="K199" s="885">
        <f>+K192-K197</f>
        <v>84899.09</v>
      </c>
      <c r="L199" s="885">
        <f>+L192-L197</f>
        <v>84899.09</v>
      </c>
      <c r="M199" s="885"/>
      <c r="N199" s="749"/>
      <c r="O199" s="749"/>
    </row>
    <row r="200" spans="1:15" ht="12.75" customHeight="1" x14ac:dyDescent="0.2">
      <c r="D200" s="887"/>
      <c r="E200" s="749"/>
      <c r="F200" s="810"/>
      <c r="G200" s="749"/>
      <c r="H200" s="883"/>
      <c r="I200" s="883"/>
      <c r="J200" s="883"/>
      <c r="K200" s="883"/>
      <c r="L200" s="749"/>
      <c r="M200" s="749"/>
      <c r="N200" s="749"/>
      <c r="O200" s="749"/>
    </row>
    <row r="201" spans="1:15" ht="12.75" customHeight="1" x14ac:dyDescent="0.2">
      <c r="D201" s="875"/>
      <c r="G201" s="5"/>
      <c r="L201" s="5"/>
    </row>
    <row r="202" spans="1:15" ht="12.75" customHeight="1" x14ac:dyDescent="0.2">
      <c r="D202" s="876"/>
      <c r="G202" s="5"/>
      <c r="L202" s="5"/>
    </row>
    <row r="203" spans="1:15" ht="12.75" customHeight="1" x14ac:dyDescent="0.2">
      <c r="G203" s="5"/>
    </row>
    <row r="204" spans="1:15" ht="12.75" customHeight="1" x14ac:dyDescent="0.2">
      <c r="G204" s="5"/>
    </row>
    <row r="205" spans="1:15" ht="12.75" customHeight="1" x14ac:dyDescent="0.2">
      <c r="G205" s="5"/>
    </row>
    <row r="206" spans="1:15" ht="12.75" customHeight="1" x14ac:dyDescent="0.2">
      <c r="G206" s="5"/>
    </row>
    <row r="207" spans="1:15" ht="12.75" customHeight="1" x14ac:dyDescent="0.2">
      <c r="G207" s="5"/>
    </row>
    <row r="208" spans="1:15" ht="12.75" customHeight="1" x14ac:dyDescent="0.2">
      <c r="G208" s="5"/>
    </row>
    <row r="209" spans="7:7" ht="12.75" customHeight="1" x14ac:dyDescent="0.2">
      <c r="G209" s="5"/>
    </row>
    <row r="210" spans="7:7" ht="12.75" customHeight="1" x14ac:dyDescent="0.2">
      <c r="G210" s="5"/>
    </row>
    <row r="211" spans="7:7" ht="12.75" customHeight="1" x14ac:dyDescent="0.2">
      <c r="G211" s="5"/>
    </row>
    <row r="212" spans="7:7" ht="12.75" customHeight="1" x14ac:dyDescent="0.2">
      <c r="G212" s="5"/>
    </row>
    <row r="213" spans="7:7" ht="12.75" customHeight="1" x14ac:dyDescent="0.2">
      <c r="G213" s="5"/>
    </row>
    <row r="214" spans="7:7" ht="12.75" customHeight="1" x14ac:dyDescent="0.2">
      <c r="G214" s="5"/>
    </row>
    <row r="215" spans="7:7" ht="12.75" customHeight="1" x14ac:dyDescent="0.2">
      <c r="G215" s="5"/>
    </row>
    <row r="216" spans="7:7" ht="12.75" customHeight="1" x14ac:dyDescent="0.2">
      <c r="G216" s="5"/>
    </row>
    <row r="217" spans="7:7" ht="12.75" customHeight="1" x14ac:dyDescent="0.2">
      <c r="G217" s="5"/>
    </row>
    <row r="218" spans="7:7" ht="12.75" customHeight="1" x14ac:dyDescent="0.2">
      <c r="G218" s="5"/>
    </row>
    <row r="219" spans="7:7" ht="12.75" customHeight="1" x14ac:dyDescent="0.2">
      <c r="G219" s="5"/>
    </row>
    <row r="220" spans="7:7" ht="12.75" customHeight="1" x14ac:dyDescent="0.2">
      <c r="G220" s="5"/>
    </row>
    <row r="221" spans="7:7" ht="12.75" customHeight="1" x14ac:dyDescent="0.2">
      <c r="G221" s="5"/>
    </row>
    <row r="222" spans="7:7" ht="12.75" customHeight="1" x14ac:dyDescent="0.2">
      <c r="G222" s="5"/>
    </row>
    <row r="223" spans="7:7" ht="12.75" customHeight="1" x14ac:dyDescent="0.2">
      <c r="G223" s="5"/>
    </row>
    <row r="224" spans="7:7" ht="12.75" customHeight="1" x14ac:dyDescent="0.2">
      <c r="G224" s="5"/>
    </row>
    <row r="225" spans="7:7" ht="12.75" customHeight="1" x14ac:dyDescent="0.2">
      <c r="G225" s="5"/>
    </row>
    <row r="226" spans="7:7" ht="12.75" customHeight="1" x14ac:dyDescent="0.2">
      <c r="G226" s="5"/>
    </row>
    <row r="227" spans="7:7" ht="12.75" customHeight="1" x14ac:dyDescent="0.2">
      <c r="G227" s="5"/>
    </row>
    <row r="228" spans="7:7" ht="12.75" customHeight="1" x14ac:dyDescent="0.2">
      <c r="G228" s="5"/>
    </row>
    <row r="229" spans="7:7" ht="12.75" customHeight="1" x14ac:dyDescent="0.2">
      <c r="G229" s="5"/>
    </row>
    <row r="230" spans="7:7" ht="12.75" customHeight="1" x14ac:dyDescent="0.2">
      <c r="G230" s="5"/>
    </row>
    <row r="231" spans="7:7" ht="12.75" customHeight="1" x14ac:dyDescent="0.2">
      <c r="G231" s="5"/>
    </row>
    <row r="232" spans="7:7" ht="12.75" customHeight="1" x14ac:dyDescent="0.2">
      <c r="G232" s="5"/>
    </row>
    <row r="233" spans="7:7" ht="12.75" customHeight="1" x14ac:dyDescent="0.2">
      <c r="G233" s="5"/>
    </row>
    <row r="234" spans="7:7" ht="12.75" customHeight="1" x14ac:dyDescent="0.2">
      <c r="G234" s="5"/>
    </row>
    <row r="235" spans="7:7" ht="12.75" customHeight="1" x14ac:dyDescent="0.2">
      <c r="G235" s="5"/>
    </row>
    <row r="236" spans="7:7" ht="12.75" customHeight="1" x14ac:dyDescent="0.2">
      <c r="G236" s="5"/>
    </row>
    <row r="237" spans="7:7" ht="12.75" customHeight="1" x14ac:dyDescent="0.2">
      <c r="G237" s="5"/>
    </row>
    <row r="238" spans="7:7" ht="12.75" customHeight="1" x14ac:dyDescent="0.2">
      <c r="G238" s="5"/>
    </row>
    <row r="239" spans="7:7" ht="12.75" customHeight="1" x14ac:dyDescent="0.2">
      <c r="G239" s="5"/>
    </row>
    <row r="240" spans="7:7" ht="12.75" customHeight="1" x14ac:dyDescent="0.2">
      <c r="G240" s="5"/>
    </row>
    <row r="241" spans="7:7" ht="12.75" customHeight="1" x14ac:dyDescent="0.2">
      <c r="G241" s="5"/>
    </row>
    <row r="242" spans="7:7" ht="12.75" customHeight="1" x14ac:dyDescent="0.2">
      <c r="G242" s="5"/>
    </row>
    <row r="243" spans="7:7" ht="12.75" customHeight="1" x14ac:dyDescent="0.2">
      <c r="G243" s="5"/>
    </row>
    <row r="244" spans="7:7" ht="12.75" customHeight="1" x14ac:dyDescent="0.2">
      <c r="G244" s="5"/>
    </row>
    <row r="245" spans="7:7" ht="12.75" customHeight="1" x14ac:dyDescent="0.2">
      <c r="G245" s="5"/>
    </row>
    <row r="246" spans="7:7" ht="12.75" customHeight="1" x14ac:dyDescent="0.2">
      <c r="G246" s="5"/>
    </row>
    <row r="247" spans="7:7" ht="12.75" customHeight="1" x14ac:dyDescent="0.2">
      <c r="G247" s="5"/>
    </row>
    <row r="248" spans="7:7" ht="12.75" customHeight="1" x14ac:dyDescent="0.2">
      <c r="G248" s="5"/>
    </row>
    <row r="249" spans="7:7" ht="12.75" customHeight="1" x14ac:dyDescent="0.2">
      <c r="G249" s="5"/>
    </row>
    <row r="250" spans="7:7" ht="12.75" customHeight="1" x14ac:dyDescent="0.2">
      <c r="G250" s="5"/>
    </row>
    <row r="251" spans="7:7" ht="12.75" customHeight="1" x14ac:dyDescent="0.2">
      <c r="G251" s="5"/>
    </row>
    <row r="252" spans="7:7" ht="12.75" customHeight="1" x14ac:dyDescent="0.2">
      <c r="G252" s="5"/>
    </row>
    <row r="253" spans="7:7" ht="12.75" customHeight="1" x14ac:dyDescent="0.2"/>
    <row r="254" spans="7:7" ht="12.75" customHeight="1" x14ac:dyDescent="0.2"/>
    <row r="255" spans="7:7" ht="12.75" customHeight="1" x14ac:dyDescent="0.2"/>
    <row r="256" spans="7:7"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sheetData>
  <sheetProtection algorithmName="SHA-512" hashValue="+XKlyJa1IxGaM/LyhhMYYkWFpcxvsvECNCDKFXz3Abiv7MZmz/Vgn6CTqxBpo8ylQiTDETeNzaJcqsPOHrr7rw==" saltValue="mV8Ocw2gB3c5Wek8BDEVAQ=="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93" min="1"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22</vt:i4>
      </vt:variant>
    </vt:vector>
  </HeadingPairs>
  <TitlesOfParts>
    <vt:vector size="39" baseType="lpstr">
      <vt:lpstr>toel</vt:lpstr>
      <vt:lpstr>geg</vt:lpstr>
      <vt:lpstr>pers</vt:lpstr>
      <vt:lpstr>form t</vt:lpstr>
      <vt:lpstr>form t+1</vt:lpstr>
      <vt:lpstr>sim</vt:lpstr>
      <vt:lpstr>fiebouw</vt:lpstr>
      <vt:lpstr>persbel</vt:lpstr>
      <vt:lpstr>mat</vt:lpstr>
      <vt:lpstr>mop</vt:lpstr>
      <vt:lpstr>mip</vt:lpstr>
      <vt:lpstr>act</vt:lpstr>
      <vt:lpstr>beleid</vt:lpstr>
      <vt:lpstr>begr</vt:lpstr>
      <vt:lpstr>ken</vt:lpstr>
      <vt:lpstr>som</vt:lpstr>
      <vt:lpstr>tab</vt:lpstr>
      <vt:lpstr>act!Afdrukbereik</vt:lpstr>
      <vt:lpstr>begr!Afdrukbereik</vt:lpstr>
      <vt:lpstr>beleid!Afdrukbereik</vt:lpstr>
      <vt:lpstr>fiebouw!Afdrukbereik</vt:lpstr>
      <vt:lpstr>'form t'!Afdrukbereik</vt:lpstr>
      <vt:lpstr>'form t+1'!Afdrukbereik</vt:lpstr>
      <vt:lpstr>geg!Afdrukbereik</vt:lpstr>
      <vt:lpstr>ken!Afdrukbereik</vt:lpstr>
      <vt:lpstr>mat!Afdrukbereik</vt:lpstr>
      <vt:lpstr>mip!Afdrukbereik</vt:lpstr>
      <vt:lpstr>mop!Afdrukbereik</vt:lpstr>
      <vt:lpstr>pers!Afdrukbereik</vt:lpstr>
      <vt:lpstr>persbel!Afdrukbereik</vt:lpstr>
      <vt:lpstr>sim!Afdrukbereik</vt:lpstr>
      <vt:lpstr>som!Afdrukbereik</vt:lpstr>
      <vt:lpstr>tab!Afdrukbereik</vt:lpstr>
      <vt:lpstr>toel!Afdrukbereik</vt:lpstr>
      <vt:lpstr>FPE_LA</vt:lpstr>
      <vt:lpstr>FPE_LB</vt:lpstr>
      <vt:lpstr>groepenleerlingennu</vt:lpstr>
      <vt:lpstr>Postcode_gebieden</vt:lpstr>
      <vt:lpstr>vloeroppervlaknu</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FPE bas 2008</dc:title>
  <dc:creator>Reinier Goedhart / Bé Keizer</dc:creator>
  <cp:lastModifiedBy>B. Keizer</cp:lastModifiedBy>
  <cp:lastPrinted>2016-07-12T13:58:29Z</cp:lastPrinted>
  <dcterms:created xsi:type="dcterms:W3CDTF">2002-03-02T17:48:17Z</dcterms:created>
  <dcterms:modified xsi:type="dcterms:W3CDTF">2016-10-10T19:26:26Z</dcterms:modified>
</cp:coreProperties>
</file>